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drawings/drawing17.xml" ContentType="application/vnd.openxmlformats-officedocument.drawing+xml"/>
  <Override PartName="/xl/comments18.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8.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codeName="DieseArbeitsmappe" defaultThemeVersion="124226"/>
  <mc:AlternateContent xmlns:mc="http://schemas.openxmlformats.org/markup-compatibility/2006">
    <mc:Choice Requires="x15">
      <x15ac:absPath xmlns:x15ac="http://schemas.microsoft.com/office/spreadsheetml/2010/11/ac" url="V:\Migration_CMS\Struktur_Medialibrary\Hochbau\Weitere Dokumente\Fachstellen\Energie&amp;Gebaeudetechnik\Werkzeuge\"/>
    </mc:Choice>
  </mc:AlternateContent>
  <bookViews>
    <workbookView xWindow="12607" yWindow="-14" windowWidth="12648" windowHeight="12539" tabRatio="948" firstSheet="1" activeTab="2"/>
  </bookViews>
  <sheets>
    <sheet name="Versionsinfo" sheetId="38" state="hidden" r:id="rId1"/>
    <sheet name="INFO" sheetId="39" r:id="rId2"/>
    <sheet name="Projektdaten" sheetId="34" r:id="rId3"/>
    <sheet name="Grunddaten" sheetId="40" r:id="rId4"/>
    <sheet name="EV_Var1" sheetId="45" r:id="rId5"/>
    <sheet name="EV_Var2" sheetId="47" r:id="rId6"/>
    <sheet name="EV_Var3" sheetId="52" r:id="rId7"/>
    <sheet name="EV_Var4" sheetId="53" r:id="rId8"/>
    <sheet name="WR_Var1" sheetId="24" r:id="rId9"/>
    <sheet name="DK_Var1" sheetId="56" r:id="rId10"/>
    <sheet name="WR_Var2" sheetId="46" r:id="rId11"/>
    <sheet name="DK_Var2" sheetId="57" r:id="rId12"/>
    <sheet name="WR_Var3" sheetId="54" r:id="rId13"/>
    <sheet name="DK_Var3" sheetId="58" r:id="rId14"/>
    <sheet name="WR_Var4" sheetId="55" r:id="rId15"/>
    <sheet name="DK_Var4" sheetId="59" r:id="rId16"/>
    <sheet name="WR_Übersicht" sheetId="23" r:id="rId17"/>
    <sheet name="Ergebnisse" sheetId="1" r:id="rId18"/>
    <sheet name="Berechnungen" sheetId="7" r:id="rId19"/>
  </sheets>
  <definedNames>
    <definedName name="Brennstoffe">Berechnungen!$A$28:$A$33</definedName>
    <definedName name="_xlnm.Print_Area" localSheetId="18">Berechnungen!$A$1:$G$103</definedName>
    <definedName name="_xlnm.Print_Area" localSheetId="9">DK_Var1!$A$1:$M$414</definedName>
    <definedName name="_xlnm.Print_Area" localSheetId="11">DK_Var2!$A$1:$M$414</definedName>
    <definedName name="_xlnm.Print_Area" localSheetId="13">DK_Var3!$A$1:$M$414</definedName>
    <definedName name="_xlnm.Print_Area" localSheetId="15">DK_Var4!$A$1:$M$414</definedName>
    <definedName name="_xlnm.Print_Area" localSheetId="17">Ergebnisse!$A$1:$Y$237</definedName>
    <definedName name="_xlnm.Print_Area" localSheetId="4">EV_Var1!$A$1:$U$79</definedName>
    <definedName name="_xlnm.Print_Area" localSheetId="5">EV_Var2!$A$1:$U$79</definedName>
    <definedName name="_xlnm.Print_Area" localSheetId="6">EV_Var3!$A$1:$U$79</definedName>
    <definedName name="_xlnm.Print_Area" localSheetId="7">EV_Var4!$A$1:$U$79</definedName>
    <definedName name="_xlnm.Print_Area" localSheetId="3">Grunddaten!$A$1:$AF$131</definedName>
    <definedName name="_xlnm.Print_Area" localSheetId="1">INFO!$A:$J</definedName>
    <definedName name="_xlnm.Print_Area" localSheetId="2">Projektdaten!$A$1:$M$73</definedName>
    <definedName name="_xlnm.Print_Area" localSheetId="16">WR_Übersicht!$A$1:$F$50</definedName>
    <definedName name="_xlnm.Print_Area" localSheetId="8">WR_Var1!$A$1:$N$120</definedName>
    <definedName name="_xlnm.Print_Area" localSheetId="10">WR_Var2!$A$1:$N$120</definedName>
    <definedName name="_xlnm.Print_Area" localSheetId="12">WR_Var3!$A$1:$N$120</definedName>
    <definedName name="_xlnm.Print_Area" localSheetId="14">WR_Var4!$A$1:$N$120</definedName>
    <definedName name="_xlnm.Print_Titles" localSheetId="18">Berechnungen!$1:$8</definedName>
    <definedName name="_xlnm.Print_Titles" localSheetId="9">DK_Var1!$1:$13</definedName>
    <definedName name="_xlnm.Print_Titles" localSheetId="11">DK_Var2!$1:$13</definedName>
    <definedName name="_xlnm.Print_Titles" localSheetId="13">DK_Var3!$1:$13</definedName>
    <definedName name="_xlnm.Print_Titles" localSheetId="15">DK_Var4!$1:$13</definedName>
    <definedName name="_xlnm.Print_Titles" localSheetId="17">Ergebnisse!$1:$7</definedName>
    <definedName name="_xlnm.Print_Titles" localSheetId="4">EV_Var1!$5:$6</definedName>
    <definedName name="_xlnm.Print_Titles" localSheetId="5">EV_Var2!$5:$6</definedName>
    <definedName name="_xlnm.Print_Titles" localSheetId="6">EV_Var3!$5:$6</definedName>
    <definedName name="_xlnm.Print_Titles" localSheetId="7">EV_Var4!$5:$6</definedName>
    <definedName name="_xlnm.Print_Titles" localSheetId="3">Grunddaten!$1:$4</definedName>
    <definedName name="_xlnm.Print_Titles" localSheetId="1">INFO!$1:$4</definedName>
    <definedName name="_xlnm.Print_Titles" localSheetId="8">WR_Var1!$1:$8</definedName>
    <definedName name="_xlnm.Print_Titles" localSheetId="10">WR_Var2!$1:$8</definedName>
    <definedName name="_xlnm.Print_Titles" localSheetId="12">WR_Var3!$1:$8</definedName>
    <definedName name="_xlnm.Print_Titles" localSheetId="14">WR_Var4!$1:$8</definedName>
    <definedName name="Eigener_Brennstoff">Grunddaten!$C$51</definedName>
    <definedName name="El_Produkt">Grunddaten!$AQ$44</definedName>
    <definedName name="FW_Produkt">Grunddaten!$AQ$54</definedName>
    <definedName name="Gasbrennstoffe">Berechnungen!$A$29:$A$30</definedName>
    <definedName name="Neu_in_Version">INFO!$A$83</definedName>
    <definedName name="Nutzungskategorien">Grunddaten!$A$108:$A$118</definedName>
    <definedName name="testrange" localSheetId="9">DK_Var1!$BQ$7</definedName>
    <definedName name="testrange">WR_Var1!#REF!</definedName>
    <definedName name="Vorgaben_Jahresarbeitszahl_Kältemaschine">Grunddaten!$N$129:$Y$129</definedName>
    <definedName name="WR_Var1_PBreak1" localSheetId="9">DK_Var1!$A$106</definedName>
    <definedName name="WR_Var1_PBreak1" localSheetId="11">WR_Var1!#REF!</definedName>
    <definedName name="WR_Var1_PBreak1" localSheetId="13">WR_Var1!#REF!</definedName>
    <definedName name="WR_Var1_PBreak1" localSheetId="15">WR_Var1!#REF!</definedName>
    <definedName name="WR_Var1_PBreak1">WR_Var1!#REF!</definedName>
    <definedName name="WR_Var1_PBreak2" localSheetId="9">DK_Var1!$A$166</definedName>
    <definedName name="WR_Var1_PBreak2" localSheetId="11">WR_Var1!#REF!</definedName>
    <definedName name="WR_Var1_PBreak2" localSheetId="13">WR_Var1!#REF!</definedName>
    <definedName name="WR_Var1_PBreak2" localSheetId="15">WR_Var1!#REF!</definedName>
    <definedName name="WR_Var1_PBreak2">WR_Var1!#REF!</definedName>
    <definedName name="WR_Var1_PBreak3" localSheetId="9">DK_Var1!$A$226</definedName>
    <definedName name="WR_Var1_PBreak3" localSheetId="11">WR_Var1!#REF!</definedName>
    <definedName name="WR_Var1_PBreak3" localSheetId="13">WR_Var1!#REF!</definedName>
    <definedName name="WR_Var1_PBreak3" localSheetId="15">WR_Var1!#REF!</definedName>
    <definedName name="WR_Var1_PBreak3">WR_Var1!#REF!</definedName>
    <definedName name="WR_Var1_PBreak4" localSheetId="9">DK_Var1!$A$286</definedName>
    <definedName name="WR_Var1_PBreak4" localSheetId="11">WR_Var1!#REF!</definedName>
    <definedName name="WR_Var1_PBreak4" localSheetId="13">WR_Var1!#REF!</definedName>
    <definedName name="WR_Var1_PBreak4" localSheetId="15">WR_Var1!#REF!</definedName>
    <definedName name="WR_Var1_PBreak4">WR_Var1!#REF!</definedName>
    <definedName name="WR_Var1_PBreak5" localSheetId="9">DK_Var1!$A$347</definedName>
    <definedName name="WR_Var1_PBreak5" localSheetId="11">WR_Var1!#REF!</definedName>
    <definedName name="WR_Var1_PBreak5" localSheetId="13">WR_Var1!#REF!</definedName>
    <definedName name="WR_Var1_PBreak5" localSheetId="15">WR_Var1!#REF!</definedName>
    <definedName name="WR_Var1_PBreak5">WR_Var1!#REF!</definedName>
    <definedName name="WR_Var1_PBreakS1" localSheetId="9">DK_Var1!#REF!</definedName>
    <definedName name="WR_Var1_PBreakS1">WR_Var1!$A$81</definedName>
    <definedName name="WR_Var1_PrintArea_Invest" localSheetId="9">DK_Var1!$A$1:$M$414</definedName>
    <definedName name="WR_Var1_PrintArea_Invest">WR_Var1!$A$1:$N$39</definedName>
    <definedName name="WR_Var1_PrintArea_Summary" localSheetId="9">DK_Var1!$A$1:$M$414</definedName>
    <definedName name="WR_Var1_PrintArea_Summary">WR_Var1!$A$1:$N$120</definedName>
    <definedName name="WR_Var2_PBreak1" localSheetId="11">DK_Var2!$A$106</definedName>
    <definedName name="WR_Var2_PBreak1" localSheetId="13">WR_Var2!#REF!</definedName>
    <definedName name="WR_Var2_PBreak1" localSheetId="15">WR_Var2!#REF!</definedName>
    <definedName name="WR_Var2_PBreak1">WR_Var2!#REF!</definedName>
    <definedName name="WR_Var2_PBreak2" localSheetId="11">DK_Var2!$A$166</definedName>
    <definedName name="WR_Var2_PBreak2" localSheetId="13">WR_Var2!#REF!</definedName>
    <definedName name="WR_Var2_PBreak2" localSheetId="15">WR_Var2!#REF!</definedName>
    <definedName name="WR_Var2_PBreak2">WR_Var2!#REF!</definedName>
    <definedName name="WR_Var2_PBreak3" localSheetId="11">DK_Var2!$A$226</definedName>
    <definedName name="WR_Var2_PBreak3" localSheetId="13">WR_Var2!#REF!</definedName>
    <definedName name="WR_Var2_PBreak3" localSheetId="15">WR_Var2!#REF!</definedName>
    <definedName name="WR_Var2_PBreak3">WR_Var2!#REF!</definedName>
    <definedName name="WR_Var2_PBreak4" localSheetId="11">DK_Var2!$A$286</definedName>
    <definedName name="WR_Var2_PBreak4" localSheetId="13">WR_Var2!#REF!</definedName>
    <definedName name="WR_Var2_PBreak4" localSheetId="15">WR_Var2!#REF!</definedName>
    <definedName name="WR_Var2_PBreak4">WR_Var2!#REF!</definedName>
    <definedName name="WR_Var2_PBreak5" localSheetId="11">DK_Var2!$A$347</definedName>
    <definedName name="WR_Var2_PBreak5" localSheetId="13">WR_Var2!#REF!</definedName>
    <definedName name="WR_Var2_PBreak5" localSheetId="15">WR_Var2!#REF!</definedName>
    <definedName name="WR_Var2_PBreak5">WR_Var2!#REF!</definedName>
    <definedName name="WR_Var2_PBreakS1" localSheetId="11">DK_Var2!#REF!</definedName>
    <definedName name="WR_Var2_PBreakS1">WR_Var2!$A$81</definedName>
    <definedName name="WR_Var2_Printarea_Invest" localSheetId="11">DK_Var2!$A$1:$M$414</definedName>
    <definedName name="WR_Var2_Printarea_Invest">WR_Var2!$A$1:$N$39</definedName>
    <definedName name="WR_Var2_Printarea_Summary" localSheetId="11">DK_Var2!$A$1:$M$414</definedName>
    <definedName name="WR_Var2_Printarea_Summary">WR_Var2!$A$1:$N$120</definedName>
    <definedName name="WR_Var3_PBreak1" localSheetId="13">DK_Var3!$A$106</definedName>
    <definedName name="WR_Var3_PBreak1" localSheetId="15">WR_Var3!#REF!</definedName>
    <definedName name="WR_Var3_PBreak1">WR_Var3!#REF!</definedName>
    <definedName name="WR_Var3_PBreak2" localSheetId="13">DK_Var3!$A$166</definedName>
    <definedName name="WR_Var3_PBreak2" localSheetId="15">WR_Var3!#REF!</definedName>
    <definedName name="WR_Var3_PBreak2">WR_Var3!#REF!</definedName>
    <definedName name="WR_Var3_PBreak3" localSheetId="13">DK_Var3!$A$226</definedName>
    <definedName name="WR_Var3_PBreak3" localSheetId="15">WR_Var3!#REF!</definedName>
    <definedName name="WR_Var3_PBreak3">WR_Var3!#REF!</definedName>
    <definedName name="WR_Var3_PBreak4" localSheetId="13">DK_Var3!$A$286</definedName>
    <definedName name="WR_Var3_PBreak4" localSheetId="15">WR_Var3!#REF!</definedName>
    <definedName name="WR_Var3_PBreak4">WR_Var3!#REF!</definedName>
    <definedName name="WR_Var3_PBreak5" localSheetId="13">DK_Var3!$A$347</definedName>
    <definedName name="WR_Var3_PBreak5" localSheetId="15">WR_Var3!#REF!</definedName>
    <definedName name="WR_Var3_PBreak5">WR_Var3!#REF!</definedName>
    <definedName name="WR_Var3_PBreakS1" localSheetId="13">DK_Var3!#REF!</definedName>
    <definedName name="WR_Var3_PBreakS1">WR_Var3!$A$81</definedName>
    <definedName name="WR_Var3_Printarea_Invest" localSheetId="13">DK_Var3!$A$1:$M$414</definedName>
    <definedName name="WR_Var3_Printarea_Invest">WR_Var3!$A$1:$N$39</definedName>
    <definedName name="WR_Var3_Printarea_Summary" localSheetId="13">DK_Var3!$A$1:$M$414</definedName>
    <definedName name="WR_Var3_Printarea_Summary">WR_Var3!$A$1:$N$120</definedName>
    <definedName name="WR_Var4_PBreak1" localSheetId="15">DK_Var4!$A$106</definedName>
    <definedName name="WR_Var4_PBreak1">WR_Var4!#REF!</definedName>
    <definedName name="WR_Var4_PBreak2" localSheetId="15">DK_Var4!$A$166</definedName>
    <definedName name="WR_Var4_PBreak2">WR_Var4!#REF!</definedName>
    <definedName name="WR_Var4_PBreak3" localSheetId="15">DK_Var4!$A$226</definedName>
    <definedName name="WR_Var4_PBreak3">WR_Var4!#REF!</definedName>
    <definedName name="WR_Var4_PBreak4" localSheetId="15">DK_Var4!$A$286</definedName>
    <definedName name="WR_Var4_PBreak4">WR_Var4!#REF!</definedName>
    <definedName name="WR_Var4_PBreak5" localSheetId="15">DK_Var4!$A$347</definedName>
    <definedName name="WR_Var4_PBreak5">WR_Var4!#REF!</definedName>
    <definedName name="WR_Var4_PBreakS1" localSheetId="15">DK_Var4!#REF!</definedName>
    <definedName name="WR_Var4_PBreakS1">WR_Var4!$A$81</definedName>
    <definedName name="WR_Var4_Printarea_Invest" localSheetId="15">DK_Var4!$A$1:$M$414</definedName>
    <definedName name="WR_Var4_Printarea_Invest">WR_Var4!$A$1:$N$39</definedName>
    <definedName name="WR_Var4_Printarea_Summary" localSheetId="15">DK_Var4!$A$1:$M$414</definedName>
    <definedName name="WR_Var4_Printarea_Summary">WR_Var4!$A$1:$N$120</definedName>
  </definedNames>
  <calcPr calcId="152511"/>
</workbook>
</file>

<file path=xl/calcChain.xml><?xml version="1.0" encoding="utf-8"?>
<calcChain xmlns="http://schemas.openxmlformats.org/spreadsheetml/2006/main">
  <c r="I13" i="34" l="1"/>
  <c r="G41" i="7"/>
  <c r="F41" i="7"/>
  <c r="E41" i="7"/>
  <c r="G43" i="7"/>
  <c r="F43" i="7"/>
  <c r="E43" i="7"/>
  <c r="G42" i="7"/>
  <c r="F42" i="7"/>
  <c r="E42" i="7"/>
  <c r="T60" i="34" l="1"/>
  <c r="S60" i="34"/>
  <c r="R60" i="34"/>
  <c r="A72" i="55" l="1"/>
  <c r="A72" i="54"/>
  <c r="A72" i="46"/>
  <c r="A72" i="24"/>
  <c r="F86" i="34"/>
  <c r="F85" i="34"/>
  <c r="R14" i="40" l="1"/>
  <c r="Q14" i="40"/>
  <c r="R13" i="40"/>
  <c r="Q13" i="40"/>
  <c r="R12" i="40"/>
  <c r="Q12" i="40"/>
  <c r="R11" i="40"/>
  <c r="Q11" i="40"/>
  <c r="I49" i="40" l="1"/>
  <c r="Y48" i="40"/>
  <c r="AH48" i="40"/>
  <c r="K48" i="40"/>
  <c r="S48" i="40" s="1"/>
  <c r="I48" i="40"/>
  <c r="AI48" i="40" s="1"/>
  <c r="R82" i="40" l="1"/>
  <c r="O100" i="59" l="1"/>
  <c r="M100" i="59"/>
  <c r="O99" i="59"/>
  <c r="M99" i="59"/>
  <c r="O100" i="58"/>
  <c r="M100" i="58"/>
  <c r="O99" i="58"/>
  <c r="M99" i="58"/>
  <c r="O102" i="57"/>
  <c r="M102" i="57"/>
  <c r="O101" i="57"/>
  <c r="M101" i="57"/>
  <c r="Y19" i="40" l="1"/>
  <c r="Y15" i="40"/>
  <c r="O97" i="56" l="1"/>
  <c r="M97" i="56"/>
  <c r="O96" i="56"/>
  <c r="M96" i="56"/>
  <c r="O94" i="56"/>
  <c r="M94" i="56"/>
  <c r="K49" i="40"/>
  <c r="O26" i="40"/>
  <c r="O25" i="40"/>
  <c r="M26" i="40"/>
  <c r="M25" i="40"/>
  <c r="K26" i="40"/>
  <c r="K25" i="40"/>
  <c r="M24" i="40"/>
  <c r="M23" i="40"/>
  <c r="M20" i="40"/>
  <c r="M19" i="40"/>
  <c r="O16" i="40"/>
  <c r="O15" i="40"/>
  <c r="M16" i="40"/>
  <c r="M18" i="40" s="1"/>
  <c r="M15" i="40"/>
  <c r="M17" i="40" s="1"/>
  <c r="AC53" i="40" l="1"/>
  <c r="AA53" i="40"/>
  <c r="Y53" i="40"/>
  <c r="AC45" i="40"/>
  <c r="AA45" i="40"/>
  <c r="AC46" i="40"/>
  <c r="AA46" i="40"/>
  <c r="AC47" i="40"/>
  <c r="AA47" i="40"/>
  <c r="Y47" i="40"/>
  <c r="AC49" i="40"/>
  <c r="AA49" i="40"/>
  <c r="AC50" i="40"/>
  <c r="AA50" i="40"/>
  <c r="B7" i="59" l="1"/>
  <c r="B7" i="58"/>
  <c r="C117" i="46" l="1"/>
  <c r="C117" i="54"/>
  <c r="C117" i="55"/>
  <c r="C117" i="24"/>
  <c r="A78" i="55"/>
  <c r="A77" i="55"/>
  <c r="A107" i="55" l="1"/>
  <c r="A78" i="54"/>
  <c r="A77" i="54"/>
  <c r="A78" i="46"/>
  <c r="E55" i="53"/>
  <c r="A55" i="53"/>
  <c r="E55" i="52"/>
  <c r="A55" i="52"/>
  <c r="E55" i="47"/>
  <c r="A55" i="47"/>
  <c r="A46" i="7"/>
  <c r="A37" i="7"/>
  <c r="A107" i="54" l="1"/>
  <c r="A107" i="46"/>
  <c r="A78" i="24"/>
  <c r="A77" i="24"/>
  <c r="A106" i="24" s="1"/>
  <c r="AC27" i="40" l="1"/>
  <c r="AA27" i="40"/>
  <c r="Y27" i="40"/>
  <c r="AC13" i="40" l="1"/>
  <c r="Y25" i="40"/>
  <c r="Y23" i="40"/>
  <c r="AD14" i="40"/>
  <c r="AC14" i="40"/>
  <c r="AB14" i="40"/>
  <c r="AA14" i="40"/>
  <c r="Z14" i="40"/>
  <c r="Y14" i="40"/>
  <c r="AD13" i="40"/>
  <c r="AB13" i="40"/>
  <c r="Z13" i="40"/>
  <c r="AD12" i="40"/>
  <c r="AC12" i="40"/>
  <c r="AB12" i="40"/>
  <c r="AA12" i="40"/>
  <c r="Z12" i="40"/>
  <c r="Y12" i="40"/>
  <c r="AD11" i="40"/>
  <c r="AB11" i="40"/>
  <c r="Z11" i="40"/>
  <c r="X14" i="40"/>
  <c r="W14" i="40"/>
  <c r="X13" i="40"/>
  <c r="W13" i="40"/>
  <c r="X12" i="40"/>
  <c r="W12" i="40"/>
  <c r="X11" i="40"/>
  <c r="W11" i="40"/>
  <c r="I11" i="40"/>
  <c r="Y11" i="40" l="1"/>
  <c r="AC11" i="40"/>
  <c r="B80" i="34"/>
  <c r="B79" i="34"/>
  <c r="B78" i="34"/>
  <c r="AH18" i="40" l="1"/>
  <c r="AH17" i="40"/>
  <c r="AH16" i="40"/>
  <c r="K16" i="40"/>
  <c r="K18" i="40" s="1"/>
  <c r="AH15" i="40"/>
  <c r="K15" i="40"/>
  <c r="K17" i="40" s="1"/>
  <c r="I15" i="40"/>
  <c r="AI15" i="40" s="1"/>
  <c r="AC52" i="40"/>
  <c r="W52" i="40"/>
  <c r="O17" i="40" l="1"/>
  <c r="S17" i="40" s="1"/>
  <c r="AL15" i="40" s="1"/>
  <c r="S15" i="40"/>
  <c r="AJ15" i="40" s="1"/>
  <c r="S16" i="40"/>
  <c r="AK15" i="40" s="1"/>
  <c r="O18" i="40"/>
  <c r="A55" i="45"/>
  <c r="D91" i="40"/>
  <c r="D90" i="40"/>
  <c r="AI56" i="40"/>
  <c r="AH56" i="40"/>
  <c r="S56" i="40"/>
  <c r="E55" i="45"/>
  <c r="E78" i="55" l="1"/>
  <c r="E78" i="24"/>
  <c r="E78" i="54"/>
  <c r="E78" i="46"/>
  <c r="CN56" i="40"/>
  <c r="CF56" i="40"/>
  <c r="BX56" i="40"/>
  <c r="BP56" i="40"/>
  <c r="BH56" i="40"/>
  <c r="AZ56" i="40"/>
  <c r="CM56" i="40"/>
  <c r="CE56" i="40"/>
  <c r="BW56" i="40"/>
  <c r="BO56" i="40"/>
  <c r="BG56" i="40"/>
  <c r="AY56" i="40"/>
  <c r="CL56" i="40"/>
  <c r="CD56" i="40"/>
  <c r="BV56" i="40"/>
  <c r="BN56" i="40"/>
  <c r="BF56" i="40"/>
  <c r="AX56" i="40"/>
  <c r="CK56" i="40"/>
  <c r="CC56" i="40"/>
  <c r="BU56" i="40"/>
  <c r="BM56" i="40"/>
  <c r="BE56" i="40"/>
  <c r="AW56" i="40"/>
  <c r="CR56" i="40"/>
  <c r="CJ56" i="40"/>
  <c r="CB56" i="40"/>
  <c r="BT56" i="40"/>
  <c r="BL56" i="40"/>
  <c r="BD56" i="40"/>
  <c r="AV56" i="40"/>
  <c r="CQ56" i="40"/>
  <c r="CI56" i="40"/>
  <c r="CA56" i="40"/>
  <c r="BS56" i="40"/>
  <c r="BK56" i="40"/>
  <c r="BC56" i="40"/>
  <c r="AU56" i="40"/>
  <c r="CP56" i="40"/>
  <c r="CH56" i="40"/>
  <c r="BZ56" i="40"/>
  <c r="BR56" i="40"/>
  <c r="BJ56" i="40"/>
  <c r="BB56" i="40"/>
  <c r="AT56" i="40"/>
  <c r="CO56" i="40"/>
  <c r="CG56" i="40"/>
  <c r="BY56" i="40"/>
  <c r="BQ56" i="40"/>
  <c r="BI56" i="40"/>
  <c r="BA56" i="40"/>
  <c r="S18" i="40"/>
  <c r="AM15" i="40" s="1"/>
  <c r="O103" i="40"/>
  <c r="U102" i="40"/>
  <c r="O102" i="40"/>
  <c r="U101" i="40"/>
  <c r="O101" i="40"/>
  <c r="O100" i="40"/>
  <c r="O99" i="40"/>
  <c r="O98" i="40"/>
  <c r="O97" i="40"/>
  <c r="R78" i="40" l="1"/>
  <c r="R77" i="40"/>
  <c r="R76" i="40"/>
  <c r="K45" i="40" s="1"/>
  <c r="D88" i="40" l="1"/>
  <c r="D89" i="40"/>
  <c r="D87" i="40"/>
  <c r="D86" i="40"/>
  <c r="D85" i="40"/>
  <c r="I52" i="40"/>
  <c r="K52" i="40"/>
  <c r="K50" i="40"/>
  <c r="M12" i="40"/>
  <c r="M11" i="40" l="1"/>
  <c r="N15" i="46"/>
  <c r="D82" i="7"/>
  <c r="D81" i="7"/>
  <c r="D71" i="7"/>
  <c r="D70" i="7"/>
  <c r="D59" i="7"/>
  <c r="D50" i="7"/>
  <c r="D52" i="7" s="1"/>
  <c r="A45" i="7"/>
  <c r="AC25" i="47"/>
  <c r="AC24" i="47"/>
  <c r="AC23" i="47"/>
  <c r="AC25" i="52"/>
  <c r="AC24" i="52"/>
  <c r="AC23" i="52"/>
  <c r="AC25" i="53"/>
  <c r="AC24" i="53"/>
  <c r="AC23" i="53"/>
  <c r="E12" i="53"/>
  <c r="A12" i="53"/>
  <c r="E12" i="52"/>
  <c r="A12" i="52"/>
  <c r="A12" i="47"/>
  <c r="E12" i="47"/>
  <c r="AC25" i="45"/>
  <c r="AC24" i="45"/>
  <c r="AC23" i="45"/>
  <c r="A12" i="45"/>
  <c r="E12" i="45"/>
  <c r="N37" i="55"/>
  <c r="N36" i="55"/>
  <c r="N35" i="55"/>
  <c r="N34" i="55"/>
  <c r="N33" i="55"/>
  <c r="N32" i="55"/>
  <c r="N31" i="55"/>
  <c r="N30" i="55"/>
  <c r="N29" i="55"/>
  <c r="N28" i="55"/>
  <c r="N27" i="55"/>
  <c r="N26" i="55"/>
  <c r="N25" i="55"/>
  <c r="N24" i="55"/>
  <c r="N23" i="55"/>
  <c r="N22" i="55"/>
  <c r="N21" i="55"/>
  <c r="N20" i="55"/>
  <c r="N19" i="55"/>
  <c r="N18" i="55"/>
  <c r="N17" i="55"/>
  <c r="N16" i="55"/>
  <c r="N15" i="55"/>
  <c r="N37" i="54"/>
  <c r="N36" i="54"/>
  <c r="N35" i="54"/>
  <c r="N34" i="54"/>
  <c r="N33" i="54"/>
  <c r="N32" i="54"/>
  <c r="N31" i="54"/>
  <c r="N30" i="54"/>
  <c r="N29" i="54"/>
  <c r="N28" i="54"/>
  <c r="N27" i="54"/>
  <c r="N26" i="54"/>
  <c r="N25" i="54"/>
  <c r="N24" i="54"/>
  <c r="N23" i="54"/>
  <c r="N22" i="54"/>
  <c r="N21" i="54"/>
  <c r="N20" i="54"/>
  <c r="N19" i="54"/>
  <c r="N18" i="54"/>
  <c r="N17" i="54"/>
  <c r="N16" i="54"/>
  <c r="N15" i="54"/>
  <c r="N37" i="46"/>
  <c r="N36" i="46"/>
  <c r="N35" i="46"/>
  <c r="N34" i="46"/>
  <c r="N33" i="46"/>
  <c r="N32" i="46"/>
  <c r="N31" i="46"/>
  <c r="N30" i="46"/>
  <c r="N29" i="46"/>
  <c r="N28" i="46"/>
  <c r="N27" i="46"/>
  <c r="N26" i="46"/>
  <c r="N25" i="46"/>
  <c r="N24" i="46"/>
  <c r="N23" i="46"/>
  <c r="N22" i="46"/>
  <c r="N21" i="46"/>
  <c r="N20" i="46"/>
  <c r="N19" i="46"/>
  <c r="N18" i="46"/>
  <c r="N17" i="46"/>
  <c r="N16" i="46"/>
  <c r="N37" i="24"/>
  <c r="N36" i="24"/>
  <c r="N35" i="24"/>
  <c r="N34" i="24"/>
  <c r="N33" i="24"/>
  <c r="N32" i="24"/>
  <c r="N31" i="24"/>
  <c r="N30" i="24"/>
  <c r="N29" i="24"/>
  <c r="N28" i="24"/>
  <c r="N27" i="24"/>
  <c r="N26" i="24"/>
  <c r="N25" i="24"/>
  <c r="N24" i="24"/>
  <c r="N23" i="24"/>
  <c r="N22" i="24"/>
  <c r="N21" i="24"/>
  <c r="N20" i="24"/>
  <c r="N19" i="24"/>
  <c r="N18" i="24"/>
  <c r="N17" i="24"/>
  <c r="N16" i="24"/>
  <c r="N15" i="24"/>
  <c r="AP10" i="40"/>
  <c r="D45" i="23"/>
  <c r="D53" i="7" l="1"/>
  <c r="N38" i="55"/>
  <c r="N38" i="54"/>
  <c r="N38" i="46"/>
  <c r="Y50" i="40"/>
  <c r="Y49" i="40"/>
  <c r="Y46" i="40"/>
  <c r="Y13" i="40"/>
  <c r="A211" i="1"/>
  <c r="A71" i="1"/>
  <c r="I9" i="59"/>
  <c r="I9" i="58"/>
  <c r="I9" i="57"/>
  <c r="I99" i="59" l="1"/>
  <c r="J99" i="59" s="1"/>
  <c r="I100" i="59"/>
  <c r="J100" i="59" s="1"/>
  <c r="I99" i="58"/>
  <c r="J99" i="58" s="1"/>
  <c r="I100" i="58"/>
  <c r="J100" i="58" s="1"/>
  <c r="I101" i="57"/>
  <c r="J101" i="57" s="1"/>
  <c r="I102" i="57"/>
  <c r="J102" i="57" s="1"/>
  <c r="N38" i="24"/>
  <c r="A98" i="55"/>
  <c r="A97" i="55"/>
  <c r="A96" i="55"/>
  <c r="A95" i="55"/>
  <c r="C69" i="55"/>
  <c r="A98" i="54"/>
  <c r="A97" i="54"/>
  <c r="A96" i="54"/>
  <c r="A95" i="54"/>
  <c r="C69" i="54"/>
  <c r="A98" i="46"/>
  <c r="A97" i="46"/>
  <c r="A96" i="46"/>
  <c r="A95" i="46"/>
  <c r="C69" i="46"/>
  <c r="A98" i="24"/>
  <c r="A97" i="24"/>
  <c r="A96" i="24"/>
  <c r="A95" i="24"/>
  <c r="C69" i="24"/>
  <c r="G50" i="7"/>
  <c r="F50" i="7"/>
  <c r="F52" i="7" s="1"/>
  <c r="E50" i="7"/>
  <c r="E52" i="7" s="1"/>
  <c r="A36" i="7"/>
  <c r="A33" i="7"/>
  <c r="G52" i="7" l="1"/>
  <c r="G53" i="7" s="1"/>
  <c r="F53" i="7"/>
  <c r="E53" i="7"/>
  <c r="AH55" i="40"/>
  <c r="AH51" i="40"/>
  <c r="AH44" i="40"/>
  <c r="AH43" i="40"/>
  <c r="AH42" i="40"/>
  <c r="AH41" i="40"/>
  <c r="AH40" i="40"/>
  <c r="AH39" i="40"/>
  <c r="AH38" i="40"/>
  <c r="AH37" i="40"/>
  <c r="AH36" i="40"/>
  <c r="AH35" i="40"/>
  <c r="AH34" i="40"/>
  <c r="AH33" i="40"/>
  <c r="AH32" i="40"/>
  <c r="AH31" i="40"/>
  <c r="AH30" i="40"/>
  <c r="AH29" i="40"/>
  <c r="AH28" i="40"/>
  <c r="AH27" i="40"/>
  <c r="AH26" i="40"/>
  <c r="AH25" i="40"/>
  <c r="AH24" i="40"/>
  <c r="AH23" i="40"/>
  <c r="AH22" i="40"/>
  <c r="AH21" i="40"/>
  <c r="AH20" i="40"/>
  <c r="AH11" i="40"/>
  <c r="AH14" i="40"/>
  <c r="AH13" i="40"/>
  <c r="AH12" i="40"/>
  <c r="O24" i="40"/>
  <c r="O23" i="40"/>
  <c r="K24" i="40"/>
  <c r="K23" i="40"/>
  <c r="O20" i="40"/>
  <c r="O19" i="40"/>
  <c r="M22" i="40"/>
  <c r="M14" i="40" s="1"/>
  <c r="M21" i="40"/>
  <c r="M13" i="40" s="1"/>
  <c r="K20" i="40"/>
  <c r="K22" i="40" s="1"/>
  <c r="K19" i="40"/>
  <c r="I25" i="40"/>
  <c r="I23" i="40"/>
  <c r="I19" i="40"/>
  <c r="I28" i="47"/>
  <c r="K11" i="40" l="1"/>
  <c r="K21" i="40"/>
  <c r="K13" i="40" s="1"/>
  <c r="K14" i="40"/>
  <c r="O21" i="40"/>
  <c r="O13" i="40" s="1"/>
  <c r="O11" i="40"/>
  <c r="O22" i="40"/>
  <c r="O14" i="40" s="1"/>
  <c r="O12" i="40"/>
  <c r="K12" i="40"/>
  <c r="AI55" i="40"/>
  <c r="AI51" i="40"/>
  <c r="S55" i="40"/>
  <c r="S54" i="40"/>
  <c r="S53" i="40"/>
  <c r="S52" i="40"/>
  <c r="S51" i="40"/>
  <c r="S50" i="40"/>
  <c r="S49" i="40"/>
  <c r="F82" i="34"/>
  <c r="F81" i="34"/>
  <c r="F78" i="34"/>
  <c r="F77" i="34"/>
  <c r="B88" i="34"/>
  <c r="B87" i="34"/>
  <c r="B86" i="34"/>
  <c r="B85" i="34"/>
  <c r="B82" i="34"/>
  <c r="B81" i="34"/>
  <c r="B77" i="34"/>
  <c r="S36" i="40"/>
  <c r="AM33" i="40" s="1"/>
  <c r="S35" i="40"/>
  <c r="AL33" i="40" s="1"/>
  <c r="S34" i="40"/>
  <c r="AK33" i="40" s="1"/>
  <c r="AI33" i="40"/>
  <c r="S33" i="40"/>
  <c r="S40" i="40"/>
  <c r="AM37" i="40" s="1"/>
  <c r="S39" i="40"/>
  <c r="AL37" i="40" s="1"/>
  <c r="S38" i="40"/>
  <c r="AK37" i="40" s="1"/>
  <c r="AI37" i="40"/>
  <c r="S37" i="40"/>
  <c r="AJ33" i="40" l="1"/>
  <c r="AJ37" i="40"/>
  <c r="A29" i="45" l="1"/>
  <c r="D29" i="45"/>
  <c r="AF29" i="45"/>
  <c r="J36" i="59"/>
  <c r="E36" i="59"/>
  <c r="K36" i="59" s="1"/>
  <c r="B36" i="59"/>
  <c r="A36" i="59"/>
  <c r="B35" i="59"/>
  <c r="A35" i="59"/>
  <c r="B34" i="59"/>
  <c r="A34" i="59"/>
  <c r="B33" i="59"/>
  <c r="A33" i="59"/>
  <c r="B32" i="59"/>
  <c r="A32" i="59"/>
  <c r="B31" i="59"/>
  <c r="A31" i="59"/>
  <c r="B30" i="59"/>
  <c r="A30" i="59"/>
  <c r="B29" i="59"/>
  <c r="A29" i="59"/>
  <c r="B28" i="59"/>
  <c r="A28" i="59"/>
  <c r="B27" i="59"/>
  <c r="A27" i="59"/>
  <c r="B26" i="59"/>
  <c r="A26" i="59"/>
  <c r="B25" i="59"/>
  <c r="A25" i="59"/>
  <c r="B24" i="59"/>
  <c r="A24" i="59"/>
  <c r="B23" i="59"/>
  <c r="A23" i="59"/>
  <c r="B22" i="59"/>
  <c r="A22" i="59"/>
  <c r="B21" i="59"/>
  <c r="A21" i="59"/>
  <c r="B20" i="59"/>
  <c r="A20" i="59"/>
  <c r="B19" i="59"/>
  <c r="A19" i="59"/>
  <c r="B18" i="59"/>
  <c r="A18" i="59"/>
  <c r="B17" i="59"/>
  <c r="A17" i="59"/>
  <c r="B16" i="59"/>
  <c r="A16" i="59"/>
  <c r="D15" i="59"/>
  <c r="C15" i="59"/>
  <c r="B15" i="59"/>
  <c r="A15" i="59"/>
  <c r="J36" i="58" l="1"/>
  <c r="E36" i="58"/>
  <c r="K36" i="58" s="1"/>
  <c r="B36" i="58"/>
  <c r="A36" i="58"/>
  <c r="B35" i="58"/>
  <c r="A35" i="58"/>
  <c r="B34" i="58"/>
  <c r="A34" i="58"/>
  <c r="B33" i="58"/>
  <c r="A33" i="58"/>
  <c r="B32" i="58"/>
  <c r="A32" i="58"/>
  <c r="B31" i="58"/>
  <c r="A31" i="58"/>
  <c r="B30" i="58"/>
  <c r="A30" i="58"/>
  <c r="B29" i="58"/>
  <c r="A29" i="58"/>
  <c r="B28" i="58"/>
  <c r="A28" i="58"/>
  <c r="B27" i="58"/>
  <c r="A27" i="58"/>
  <c r="B26" i="58"/>
  <c r="A26" i="58"/>
  <c r="B25" i="58"/>
  <c r="A25" i="58"/>
  <c r="B24" i="58"/>
  <c r="A24" i="58"/>
  <c r="B23" i="58"/>
  <c r="A23" i="58"/>
  <c r="B22" i="58"/>
  <c r="A22" i="58"/>
  <c r="B21" i="58"/>
  <c r="A21" i="58"/>
  <c r="B20" i="58"/>
  <c r="A20" i="58"/>
  <c r="B19" i="58"/>
  <c r="A19" i="58"/>
  <c r="B18" i="58"/>
  <c r="A18" i="58"/>
  <c r="B17" i="58"/>
  <c r="A17" i="58"/>
  <c r="B16" i="58"/>
  <c r="A16" i="58"/>
  <c r="D15" i="58"/>
  <c r="C15" i="58"/>
  <c r="B15" i="58"/>
  <c r="A15" i="58"/>
  <c r="M360" i="57"/>
  <c r="M359" i="57"/>
  <c r="M358" i="57"/>
  <c r="M357" i="57"/>
  <c r="M356" i="57"/>
  <c r="M355" i="57"/>
  <c r="M354" i="57"/>
  <c r="M353" i="57"/>
  <c r="M352" i="57"/>
  <c r="M346" i="57"/>
  <c r="M345" i="57"/>
  <c r="M344" i="57"/>
  <c r="M343" i="57"/>
  <c r="M342" i="57"/>
  <c r="M341" i="57"/>
  <c r="M339" i="57"/>
  <c r="M338" i="57"/>
  <c r="M337" i="57"/>
  <c r="M336" i="57"/>
  <c r="M335" i="57"/>
  <c r="M334" i="57"/>
  <c r="M330" i="57"/>
  <c r="M329" i="57"/>
  <c r="M328" i="57"/>
  <c r="M327" i="57"/>
  <c r="M326" i="57"/>
  <c r="M325" i="57"/>
  <c r="M324" i="57"/>
  <c r="M323" i="57"/>
  <c r="M322" i="57"/>
  <c r="M321" i="57"/>
  <c r="M320" i="57"/>
  <c r="M319" i="57"/>
  <c r="M318" i="57"/>
  <c r="M317" i="57"/>
  <c r="M315" i="57"/>
  <c r="M314" i="57"/>
  <c r="M313" i="57"/>
  <c r="M312" i="57"/>
  <c r="M311" i="57"/>
  <c r="M310" i="57"/>
  <c r="M309" i="57"/>
  <c r="M308" i="57"/>
  <c r="M307" i="57"/>
  <c r="M306" i="57"/>
  <c r="M305" i="57"/>
  <c r="M304" i="57"/>
  <c r="M303" i="57"/>
  <c r="M302" i="57"/>
  <c r="M300" i="57"/>
  <c r="M299" i="57"/>
  <c r="M298" i="57"/>
  <c r="M297" i="57"/>
  <c r="M296" i="57"/>
  <c r="M295" i="57"/>
  <c r="M294" i="57"/>
  <c r="M293" i="57"/>
  <c r="M292" i="57"/>
  <c r="M291" i="57"/>
  <c r="M290" i="57"/>
  <c r="M289" i="57"/>
  <c r="M288" i="57"/>
  <c r="M287" i="57"/>
  <c r="M285" i="57"/>
  <c r="M284" i="57"/>
  <c r="M283" i="57"/>
  <c r="M282" i="57"/>
  <c r="M281" i="57"/>
  <c r="M280" i="57"/>
  <c r="M279" i="57"/>
  <c r="M278" i="57"/>
  <c r="M277" i="57"/>
  <c r="M276" i="57"/>
  <c r="M275" i="57"/>
  <c r="M274" i="57"/>
  <c r="M273" i="57"/>
  <c r="M272" i="57"/>
  <c r="M270" i="57"/>
  <c r="M269" i="57"/>
  <c r="M268" i="57"/>
  <c r="M267" i="57"/>
  <c r="M266" i="57"/>
  <c r="M265" i="57"/>
  <c r="M264" i="57"/>
  <c r="M263" i="57"/>
  <c r="M262" i="57"/>
  <c r="M261" i="57"/>
  <c r="M260" i="57"/>
  <c r="M259" i="57"/>
  <c r="M258" i="57"/>
  <c r="M257" i="57"/>
  <c r="M255" i="57"/>
  <c r="M254" i="57"/>
  <c r="M253" i="57"/>
  <c r="M252" i="57"/>
  <c r="M251" i="57"/>
  <c r="M250" i="57"/>
  <c r="M249" i="57"/>
  <c r="M248" i="57"/>
  <c r="M247" i="57"/>
  <c r="M246" i="57"/>
  <c r="M245" i="57"/>
  <c r="M244" i="57"/>
  <c r="M243" i="57"/>
  <c r="M242" i="57"/>
  <c r="M240" i="57"/>
  <c r="M239" i="57"/>
  <c r="M238" i="57"/>
  <c r="M237" i="57"/>
  <c r="M236" i="57"/>
  <c r="M235" i="57"/>
  <c r="M234" i="57"/>
  <c r="M233" i="57"/>
  <c r="M232" i="57"/>
  <c r="M231" i="57"/>
  <c r="M230" i="57"/>
  <c r="M229" i="57"/>
  <c r="M228" i="57"/>
  <c r="M227" i="57"/>
  <c r="M225" i="57"/>
  <c r="M224" i="57"/>
  <c r="M223" i="57"/>
  <c r="M222" i="57"/>
  <c r="M221" i="57"/>
  <c r="M220" i="57"/>
  <c r="M219" i="57"/>
  <c r="M218" i="57"/>
  <c r="M217" i="57"/>
  <c r="M216" i="57"/>
  <c r="M215" i="57"/>
  <c r="M214" i="57"/>
  <c r="M213" i="57"/>
  <c r="M212" i="57"/>
  <c r="M210" i="57"/>
  <c r="M209" i="57"/>
  <c r="M208" i="57"/>
  <c r="M207" i="57"/>
  <c r="M206" i="57"/>
  <c r="M205" i="57"/>
  <c r="M204" i="57"/>
  <c r="M203" i="57"/>
  <c r="M202" i="57"/>
  <c r="M201" i="57"/>
  <c r="M200" i="57"/>
  <c r="M199" i="57"/>
  <c r="M198" i="57"/>
  <c r="M197" i="57"/>
  <c r="M195" i="57"/>
  <c r="M194" i="57"/>
  <c r="M193" i="57"/>
  <c r="M192" i="57"/>
  <c r="M191" i="57"/>
  <c r="M190" i="57"/>
  <c r="M189" i="57"/>
  <c r="M188" i="57"/>
  <c r="M187" i="57"/>
  <c r="M186" i="57"/>
  <c r="M185" i="57"/>
  <c r="M184" i="57"/>
  <c r="M183" i="57"/>
  <c r="M182" i="57"/>
  <c r="M180" i="57"/>
  <c r="M179" i="57"/>
  <c r="M178" i="57"/>
  <c r="M177" i="57"/>
  <c r="M176" i="57"/>
  <c r="M175" i="57"/>
  <c r="M174" i="57"/>
  <c r="M173" i="57"/>
  <c r="M172" i="57"/>
  <c r="M171" i="57"/>
  <c r="M170" i="57"/>
  <c r="M169" i="57"/>
  <c r="M168" i="57"/>
  <c r="M167" i="57"/>
  <c r="M165" i="57"/>
  <c r="M164" i="57"/>
  <c r="M163" i="57"/>
  <c r="M162" i="57"/>
  <c r="M161" i="57"/>
  <c r="M160" i="57"/>
  <c r="M159" i="57"/>
  <c r="M158" i="57"/>
  <c r="M157" i="57"/>
  <c r="M156" i="57"/>
  <c r="M155" i="57"/>
  <c r="M154" i="57"/>
  <c r="M153" i="57"/>
  <c r="M152" i="57"/>
  <c r="M150" i="57"/>
  <c r="M149" i="57"/>
  <c r="M148" i="57"/>
  <c r="M147" i="57"/>
  <c r="M146" i="57"/>
  <c r="M145" i="57"/>
  <c r="M144" i="57"/>
  <c r="M143" i="57"/>
  <c r="M142" i="57"/>
  <c r="M141" i="57"/>
  <c r="M140" i="57"/>
  <c r="M139" i="57"/>
  <c r="M138" i="57"/>
  <c r="M137" i="57"/>
  <c r="M135" i="57"/>
  <c r="M134" i="57"/>
  <c r="M133" i="57"/>
  <c r="M132" i="57"/>
  <c r="M131" i="57"/>
  <c r="M130" i="57"/>
  <c r="M129" i="57"/>
  <c r="M128" i="57"/>
  <c r="M127" i="57"/>
  <c r="M126" i="57"/>
  <c r="M125" i="57"/>
  <c r="M124" i="57"/>
  <c r="M123" i="57"/>
  <c r="M122" i="57"/>
  <c r="M120" i="57"/>
  <c r="M119" i="57"/>
  <c r="M118" i="57"/>
  <c r="M117" i="57"/>
  <c r="M116" i="57"/>
  <c r="M115" i="57"/>
  <c r="M114" i="57"/>
  <c r="M113" i="57"/>
  <c r="M112" i="57"/>
  <c r="M111" i="57"/>
  <c r="M110" i="57"/>
  <c r="M109" i="57"/>
  <c r="M108" i="57"/>
  <c r="M107" i="57"/>
  <c r="M105" i="57"/>
  <c r="M104" i="57"/>
  <c r="M103" i="57"/>
  <c r="M100" i="57"/>
  <c r="M99" i="57"/>
  <c r="M98" i="57"/>
  <c r="M97" i="57"/>
  <c r="M96" i="57"/>
  <c r="M95" i="57"/>
  <c r="M94" i="57"/>
  <c r="M93" i="57"/>
  <c r="M92" i="57"/>
  <c r="M91" i="57"/>
  <c r="M90" i="57"/>
  <c r="M88" i="57"/>
  <c r="M87" i="57"/>
  <c r="M86" i="57"/>
  <c r="M85" i="57"/>
  <c r="M84" i="57"/>
  <c r="M83" i="57"/>
  <c r="M82" i="57"/>
  <c r="M81" i="57"/>
  <c r="M80" i="57"/>
  <c r="M79" i="57"/>
  <c r="M78" i="57"/>
  <c r="M77" i="57"/>
  <c r="M76" i="57"/>
  <c r="M75" i="57"/>
  <c r="M73" i="57"/>
  <c r="M72" i="57"/>
  <c r="M71" i="57"/>
  <c r="M70" i="57"/>
  <c r="M69" i="57"/>
  <c r="M68" i="57"/>
  <c r="M67" i="57"/>
  <c r="M66" i="57"/>
  <c r="M65" i="57"/>
  <c r="M64" i="57"/>
  <c r="M63" i="57"/>
  <c r="M62" i="57"/>
  <c r="M61" i="57"/>
  <c r="M60" i="57"/>
  <c r="M58" i="57"/>
  <c r="M57" i="57"/>
  <c r="M56" i="57"/>
  <c r="M55" i="57"/>
  <c r="M54" i="57"/>
  <c r="M53" i="57"/>
  <c r="M52" i="57"/>
  <c r="M51" i="57"/>
  <c r="M50" i="57"/>
  <c r="M49" i="57"/>
  <c r="M48" i="57"/>
  <c r="M47" i="57"/>
  <c r="M46" i="57"/>
  <c r="M45" i="57"/>
  <c r="M360" i="58"/>
  <c r="M359" i="58"/>
  <c r="M358" i="58"/>
  <c r="M357" i="58"/>
  <c r="M356" i="58"/>
  <c r="M355" i="58"/>
  <c r="M354" i="58"/>
  <c r="M353" i="58"/>
  <c r="M352" i="58"/>
  <c r="M346" i="58"/>
  <c r="M345" i="58"/>
  <c r="M344" i="58"/>
  <c r="M343" i="58"/>
  <c r="M342" i="58"/>
  <c r="M341" i="58"/>
  <c r="M339" i="58"/>
  <c r="M338" i="58"/>
  <c r="M337" i="58"/>
  <c r="M336" i="58"/>
  <c r="M335" i="58"/>
  <c r="M334" i="58"/>
  <c r="M330" i="58"/>
  <c r="M329" i="58"/>
  <c r="M328" i="58"/>
  <c r="M327" i="58"/>
  <c r="M326" i="58"/>
  <c r="M325" i="58"/>
  <c r="M324" i="58"/>
  <c r="M323" i="58"/>
  <c r="M322" i="58"/>
  <c r="M321" i="58"/>
  <c r="M320" i="58"/>
  <c r="M319" i="58"/>
  <c r="M318" i="58"/>
  <c r="M317" i="58"/>
  <c r="M315" i="58"/>
  <c r="M314" i="58"/>
  <c r="M313" i="58"/>
  <c r="M312" i="58"/>
  <c r="M311" i="58"/>
  <c r="M310" i="58"/>
  <c r="M309" i="58"/>
  <c r="M308" i="58"/>
  <c r="M307" i="58"/>
  <c r="M306" i="58"/>
  <c r="M305" i="58"/>
  <c r="M304" i="58"/>
  <c r="M303" i="58"/>
  <c r="M302" i="58"/>
  <c r="M300" i="58"/>
  <c r="M299" i="58"/>
  <c r="M298" i="58"/>
  <c r="M297" i="58"/>
  <c r="M296" i="58"/>
  <c r="M295" i="58"/>
  <c r="M294" i="58"/>
  <c r="M293" i="58"/>
  <c r="M292" i="58"/>
  <c r="M291" i="58"/>
  <c r="M290" i="58"/>
  <c r="M289" i="58"/>
  <c r="M288" i="58"/>
  <c r="M287" i="58"/>
  <c r="M285" i="58"/>
  <c r="M284" i="58"/>
  <c r="M283" i="58"/>
  <c r="M282" i="58"/>
  <c r="M281" i="58"/>
  <c r="M280" i="58"/>
  <c r="M279" i="58"/>
  <c r="M278" i="58"/>
  <c r="M277" i="58"/>
  <c r="M276" i="58"/>
  <c r="M275" i="58"/>
  <c r="M274" i="58"/>
  <c r="M273" i="58"/>
  <c r="M272" i="58"/>
  <c r="M270" i="58"/>
  <c r="M269" i="58"/>
  <c r="M268" i="58"/>
  <c r="M267" i="58"/>
  <c r="M266" i="58"/>
  <c r="M265" i="58"/>
  <c r="M264" i="58"/>
  <c r="M263" i="58"/>
  <c r="M262" i="58"/>
  <c r="M261" i="58"/>
  <c r="M260" i="58"/>
  <c r="M259" i="58"/>
  <c r="M258" i="58"/>
  <c r="M257" i="58"/>
  <c r="M255" i="58"/>
  <c r="M254" i="58"/>
  <c r="M253" i="58"/>
  <c r="M252" i="58"/>
  <c r="M251" i="58"/>
  <c r="M250" i="58"/>
  <c r="M249" i="58"/>
  <c r="M248" i="58"/>
  <c r="M247" i="58"/>
  <c r="M246" i="58"/>
  <c r="M245" i="58"/>
  <c r="M244" i="58"/>
  <c r="M243" i="58"/>
  <c r="M242" i="58"/>
  <c r="M240" i="58"/>
  <c r="M239" i="58"/>
  <c r="M238" i="58"/>
  <c r="M237" i="58"/>
  <c r="M236" i="58"/>
  <c r="M235" i="58"/>
  <c r="M234" i="58"/>
  <c r="M233" i="58"/>
  <c r="M232" i="58"/>
  <c r="M231" i="58"/>
  <c r="M230" i="58"/>
  <c r="M229" i="58"/>
  <c r="M228" i="58"/>
  <c r="M227" i="58"/>
  <c r="M225" i="58"/>
  <c r="M224" i="58"/>
  <c r="M223" i="58"/>
  <c r="M222" i="58"/>
  <c r="M221" i="58"/>
  <c r="M220" i="58"/>
  <c r="M219" i="58"/>
  <c r="M218" i="58"/>
  <c r="M217" i="58"/>
  <c r="M216" i="58"/>
  <c r="M215" i="58"/>
  <c r="M214" i="58"/>
  <c r="M213" i="58"/>
  <c r="M212" i="58"/>
  <c r="M210" i="58"/>
  <c r="M209" i="58"/>
  <c r="M208" i="58"/>
  <c r="M207" i="58"/>
  <c r="M206" i="58"/>
  <c r="M205" i="58"/>
  <c r="M204" i="58"/>
  <c r="M203" i="58"/>
  <c r="M202" i="58"/>
  <c r="M201" i="58"/>
  <c r="M200" i="58"/>
  <c r="M199" i="58"/>
  <c r="M198" i="58"/>
  <c r="M197" i="58"/>
  <c r="M195" i="58"/>
  <c r="M194" i="58"/>
  <c r="M193" i="58"/>
  <c r="M192" i="58"/>
  <c r="M191" i="58"/>
  <c r="M190" i="58"/>
  <c r="M189" i="58"/>
  <c r="M188" i="58"/>
  <c r="M187" i="58"/>
  <c r="M186" i="58"/>
  <c r="M185" i="58"/>
  <c r="M184" i="58"/>
  <c r="M183" i="58"/>
  <c r="M182" i="58"/>
  <c r="M180" i="58"/>
  <c r="M179" i="58"/>
  <c r="M178" i="58"/>
  <c r="M177" i="58"/>
  <c r="M176" i="58"/>
  <c r="M175" i="58"/>
  <c r="M174" i="58"/>
  <c r="M173" i="58"/>
  <c r="M172" i="58"/>
  <c r="M171" i="58"/>
  <c r="M170" i="58"/>
  <c r="M169" i="58"/>
  <c r="M168" i="58"/>
  <c r="M167" i="58"/>
  <c r="M165" i="58"/>
  <c r="M164" i="58"/>
  <c r="M163" i="58"/>
  <c r="M162" i="58"/>
  <c r="M161" i="58"/>
  <c r="M160" i="58"/>
  <c r="M159" i="58"/>
  <c r="M158" i="58"/>
  <c r="M157" i="58"/>
  <c r="M156" i="58"/>
  <c r="M155" i="58"/>
  <c r="M154" i="58"/>
  <c r="M153" i="58"/>
  <c r="M152" i="58"/>
  <c r="M150" i="58"/>
  <c r="M149" i="58"/>
  <c r="M148" i="58"/>
  <c r="M147" i="58"/>
  <c r="M146" i="58"/>
  <c r="M145" i="58"/>
  <c r="M144" i="58"/>
  <c r="M143" i="58"/>
  <c r="M142" i="58"/>
  <c r="M141" i="58"/>
  <c r="M140" i="58"/>
  <c r="M139" i="58"/>
  <c r="M138" i="58"/>
  <c r="M137" i="58"/>
  <c r="M135" i="58"/>
  <c r="M134" i="58"/>
  <c r="M133" i="58"/>
  <c r="M132" i="58"/>
  <c r="M131" i="58"/>
  <c r="M130" i="58"/>
  <c r="M129" i="58"/>
  <c r="M128" i="58"/>
  <c r="M127" i="58"/>
  <c r="M126" i="58"/>
  <c r="M125" i="58"/>
  <c r="M124" i="58"/>
  <c r="M123" i="58"/>
  <c r="M122" i="58"/>
  <c r="M120" i="58"/>
  <c r="M119" i="58"/>
  <c r="M118" i="58"/>
  <c r="M117" i="58"/>
  <c r="M116" i="58"/>
  <c r="M115" i="58"/>
  <c r="M114" i="58"/>
  <c r="M113" i="58"/>
  <c r="M112" i="58"/>
  <c r="M111" i="58"/>
  <c r="M110" i="58"/>
  <c r="M109" i="58"/>
  <c r="M108" i="58"/>
  <c r="M107" i="58"/>
  <c r="M105" i="58"/>
  <c r="M104" i="58"/>
  <c r="M103" i="58"/>
  <c r="M102" i="58"/>
  <c r="M101" i="58"/>
  <c r="M98" i="58"/>
  <c r="M97" i="58"/>
  <c r="M96" i="58"/>
  <c r="M95" i="58"/>
  <c r="M94" i="58"/>
  <c r="M93" i="58"/>
  <c r="M92" i="58"/>
  <c r="M91" i="58"/>
  <c r="M90" i="58"/>
  <c r="M88" i="58"/>
  <c r="M87" i="58"/>
  <c r="M86" i="58"/>
  <c r="M85" i="58"/>
  <c r="M84" i="58"/>
  <c r="M83" i="58"/>
  <c r="M82" i="58"/>
  <c r="M81" i="58"/>
  <c r="M80" i="58"/>
  <c r="M79" i="58"/>
  <c r="M78" i="58"/>
  <c r="M77" i="58"/>
  <c r="M76" i="58"/>
  <c r="M75" i="58"/>
  <c r="M73" i="58"/>
  <c r="M72" i="58"/>
  <c r="M71" i="58"/>
  <c r="M70" i="58"/>
  <c r="M69" i="58"/>
  <c r="M68" i="58"/>
  <c r="M67" i="58"/>
  <c r="M66" i="58"/>
  <c r="M65" i="58"/>
  <c r="M64" i="58"/>
  <c r="M63" i="58"/>
  <c r="M62" i="58"/>
  <c r="M61" i="58"/>
  <c r="M60" i="58"/>
  <c r="M58" i="58"/>
  <c r="M57" i="58"/>
  <c r="M56" i="58"/>
  <c r="M55" i="58"/>
  <c r="M54" i="58"/>
  <c r="M53" i="58"/>
  <c r="M52" i="58"/>
  <c r="M51" i="58"/>
  <c r="M50" i="58"/>
  <c r="M49" i="58"/>
  <c r="M48" i="58"/>
  <c r="M47" i="58"/>
  <c r="M46" i="58"/>
  <c r="M45" i="58"/>
  <c r="M360" i="59"/>
  <c r="M359" i="59"/>
  <c r="M358" i="59"/>
  <c r="M357" i="59"/>
  <c r="M356" i="59"/>
  <c r="M355" i="59"/>
  <c r="M354" i="59"/>
  <c r="M353" i="59"/>
  <c r="M352" i="59"/>
  <c r="M346" i="59"/>
  <c r="M345" i="59"/>
  <c r="M344" i="59"/>
  <c r="M343" i="59"/>
  <c r="M342" i="59"/>
  <c r="M341" i="59"/>
  <c r="M339" i="59"/>
  <c r="M338" i="59"/>
  <c r="M337" i="59"/>
  <c r="M336" i="59"/>
  <c r="M335" i="59"/>
  <c r="M334" i="59"/>
  <c r="M330" i="59"/>
  <c r="M329" i="59"/>
  <c r="M328" i="59"/>
  <c r="M327" i="59"/>
  <c r="M326" i="59"/>
  <c r="M325" i="59"/>
  <c r="M324" i="59"/>
  <c r="M323" i="59"/>
  <c r="M322" i="59"/>
  <c r="M321" i="59"/>
  <c r="M320" i="59"/>
  <c r="M319" i="59"/>
  <c r="M318" i="59"/>
  <c r="M317" i="59"/>
  <c r="M315" i="59"/>
  <c r="M314" i="59"/>
  <c r="M313" i="59"/>
  <c r="M312" i="59"/>
  <c r="M311" i="59"/>
  <c r="M310" i="59"/>
  <c r="M309" i="59"/>
  <c r="M308" i="59"/>
  <c r="M307" i="59"/>
  <c r="M306" i="59"/>
  <c r="M305" i="59"/>
  <c r="M304" i="59"/>
  <c r="M303" i="59"/>
  <c r="M302" i="59"/>
  <c r="M300" i="59"/>
  <c r="M299" i="59"/>
  <c r="M298" i="59"/>
  <c r="M297" i="59"/>
  <c r="M296" i="59"/>
  <c r="M295" i="59"/>
  <c r="M294" i="59"/>
  <c r="M293" i="59"/>
  <c r="M292" i="59"/>
  <c r="M291" i="59"/>
  <c r="M290" i="59"/>
  <c r="M289" i="59"/>
  <c r="M288" i="59"/>
  <c r="M287" i="59"/>
  <c r="M285" i="59"/>
  <c r="M284" i="59"/>
  <c r="M283" i="59"/>
  <c r="M282" i="59"/>
  <c r="M281" i="59"/>
  <c r="M280" i="59"/>
  <c r="M279" i="59"/>
  <c r="M278" i="59"/>
  <c r="M277" i="59"/>
  <c r="M276" i="59"/>
  <c r="M275" i="59"/>
  <c r="M274" i="59"/>
  <c r="M273" i="59"/>
  <c r="M272" i="59"/>
  <c r="M270" i="59"/>
  <c r="M269" i="59"/>
  <c r="M268" i="59"/>
  <c r="M267" i="59"/>
  <c r="M266" i="59"/>
  <c r="M265" i="59"/>
  <c r="M264" i="59"/>
  <c r="M263" i="59"/>
  <c r="M262" i="59"/>
  <c r="M261" i="59"/>
  <c r="M260" i="59"/>
  <c r="M259" i="59"/>
  <c r="M258" i="59"/>
  <c r="M257" i="59"/>
  <c r="M255" i="59"/>
  <c r="M254" i="59"/>
  <c r="M253" i="59"/>
  <c r="M252" i="59"/>
  <c r="M251" i="59"/>
  <c r="M250" i="59"/>
  <c r="M249" i="59"/>
  <c r="M248" i="59"/>
  <c r="M247" i="59"/>
  <c r="M246" i="59"/>
  <c r="M245" i="59"/>
  <c r="M244" i="59"/>
  <c r="M243" i="59"/>
  <c r="M242" i="59"/>
  <c r="M240" i="59"/>
  <c r="M239" i="59"/>
  <c r="M238" i="59"/>
  <c r="M237" i="59"/>
  <c r="M236" i="59"/>
  <c r="M235" i="59"/>
  <c r="M234" i="59"/>
  <c r="M233" i="59"/>
  <c r="M232" i="59"/>
  <c r="M231" i="59"/>
  <c r="M230" i="59"/>
  <c r="M229" i="59"/>
  <c r="M228" i="59"/>
  <c r="M227" i="59"/>
  <c r="M225" i="59"/>
  <c r="M224" i="59"/>
  <c r="M223" i="59"/>
  <c r="M222" i="59"/>
  <c r="M221" i="59"/>
  <c r="M220" i="59"/>
  <c r="M219" i="59"/>
  <c r="M218" i="59"/>
  <c r="M217" i="59"/>
  <c r="M216" i="59"/>
  <c r="M215" i="59"/>
  <c r="M214" i="59"/>
  <c r="M213" i="59"/>
  <c r="M212" i="59"/>
  <c r="M210" i="59"/>
  <c r="M209" i="59"/>
  <c r="M208" i="59"/>
  <c r="M207" i="59"/>
  <c r="M206" i="59"/>
  <c r="M205" i="59"/>
  <c r="M204" i="59"/>
  <c r="M203" i="59"/>
  <c r="M202" i="59"/>
  <c r="M201" i="59"/>
  <c r="M200" i="59"/>
  <c r="M199" i="59"/>
  <c r="M198" i="59"/>
  <c r="M197" i="59"/>
  <c r="M195" i="59"/>
  <c r="M194" i="59"/>
  <c r="M193" i="59"/>
  <c r="M192" i="59"/>
  <c r="M191" i="59"/>
  <c r="M190" i="59"/>
  <c r="M189" i="59"/>
  <c r="M188" i="59"/>
  <c r="M187" i="59"/>
  <c r="M186" i="59"/>
  <c r="M185" i="59"/>
  <c r="M184" i="59"/>
  <c r="M183" i="59"/>
  <c r="M182" i="59"/>
  <c r="M180" i="59"/>
  <c r="M179" i="59"/>
  <c r="M178" i="59"/>
  <c r="M177" i="59"/>
  <c r="M176" i="59"/>
  <c r="M175" i="59"/>
  <c r="M174" i="59"/>
  <c r="M173" i="59"/>
  <c r="M172" i="59"/>
  <c r="M171" i="59"/>
  <c r="M170" i="59"/>
  <c r="M169" i="59"/>
  <c r="M168" i="59"/>
  <c r="M167" i="59"/>
  <c r="M165" i="59"/>
  <c r="M164" i="59"/>
  <c r="M163" i="59"/>
  <c r="M162" i="59"/>
  <c r="M161" i="59"/>
  <c r="M160" i="59"/>
  <c r="M159" i="59"/>
  <c r="M158" i="59"/>
  <c r="M157" i="59"/>
  <c r="M156" i="59"/>
  <c r="M155" i="59"/>
  <c r="M154" i="59"/>
  <c r="M153" i="59"/>
  <c r="M152" i="59"/>
  <c r="M150" i="59"/>
  <c r="M149" i="59"/>
  <c r="M148" i="59"/>
  <c r="M147" i="59"/>
  <c r="M146" i="59"/>
  <c r="M145" i="59"/>
  <c r="M144" i="59"/>
  <c r="M143" i="59"/>
  <c r="M142" i="59"/>
  <c r="M141" i="59"/>
  <c r="M140" i="59"/>
  <c r="M139" i="59"/>
  <c r="M138" i="59"/>
  <c r="M137" i="59"/>
  <c r="M135" i="59"/>
  <c r="M134" i="59"/>
  <c r="M133" i="59"/>
  <c r="M132" i="59"/>
  <c r="M131" i="59"/>
  <c r="M130" i="59"/>
  <c r="M129" i="59"/>
  <c r="M128" i="59"/>
  <c r="M127" i="59"/>
  <c r="M126" i="59"/>
  <c r="M125" i="59"/>
  <c r="M124" i="59"/>
  <c r="M123" i="59"/>
  <c r="M122" i="59"/>
  <c r="M120" i="59"/>
  <c r="M119" i="59"/>
  <c r="M118" i="59"/>
  <c r="M117" i="59"/>
  <c r="M116" i="59"/>
  <c r="M115" i="59"/>
  <c r="M114" i="59"/>
  <c r="M113" i="59"/>
  <c r="M112" i="59"/>
  <c r="M111" i="59"/>
  <c r="M110" i="59"/>
  <c r="M109" i="59"/>
  <c r="M108" i="59"/>
  <c r="M107" i="59"/>
  <c r="M105" i="59"/>
  <c r="M104" i="59"/>
  <c r="M103" i="59"/>
  <c r="M102" i="59"/>
  <c r="M101" i="59"/>
  <c r="M98" i="59"/>
  <c r="M97" i="59"/>
  <c r="M96" i="59"/>
  <c r="M95" i="59"/>
  <c r="M94" i="59"/>
  <c r="M93" i="59"/>
  <c r="M92" i="59"/>
  <c r="M91" i="59"/>
  <c r="M90" i="59"/>
  <c r="M88" i="59"/>
  <c r="M87" i="59"/>
  <c r="M86" i="59"/>
  <c r="M85" i="59"/>
  <c r="M84" i="59"/>
  <c r="M83" i="59"/>
  <c r="M82" i="59"/>
  <c r="M81" i="59"/>
  <c r="M80" i="59"/>
  <c r="M79" i="59"/>
  <c r="M78" i="59"/>
  <c r="M77" i="59"/>
  <c r="M76" i="59"/>
  <c r="M75" i="59"/>
  <c r="M73" i="59"/>
  <c r="M72" i="59"/>
  <c r="M71" i="59"/>
  <c r="M70" i="59"/>
  <c r="M69" i="59"/>
  <c r="M68" i="59"/>
  <c r="M67" i="59"/>
  <c r="M66" i="59"/>
  <c r="M65" i="59"/>
  <c r="M64" i="59"/>
  <c r="M63" i="59"/>
  <c r="M62" i="59"/>
  <c r="M61" i="59"/>
  <c r="M60" i="59"/>
  <c r="M58" i="59"/>
  <c r="M57" i="59"/>
  <c r="M56" i="59"/>
  <c r="M55" i="59"/>
  <c r="M54" i="59"/>
  <c r="M53" i="59"/>
  <c r="M52" i="59"/>
  <c r="M51" i="59"/>
  <c r="M50" i="59"/>
  <c r="M49" i="59"/>
  <c r="M48" i="59"/>
  <c r="M47" i="59"/>
  <c r="M46" i="59"/>
  <c r="M45" i="59"/>
  <c r="B7" i="57"/>
  <c r="J36" i="57"/>
  <c r="E36" i="57"/>
  <c r="K36" i="57" s="1"/>
  <c r="B36" i="57"/>
  <c r="A36" i="57"/>
  <c r="B35" i="57"/>
  <c r="A35" i="57"/>
  <c r="B34" i="57"/>
  <c r="A34" i="57"/>
  <c r="B33" i="57"/>
  <c r="A33" i="57"/>
  <c r="B32" i="57"/>
  <c r="A32" i="57"/>
  <c r="B31" i="57"/>
  <c r="A31" i="57"/>
  <c r="B30" i="57"/>
  <c r="A30" i="57"/>
  <c r="B29" i="57"/>
  <c r="A29" i="57"/>
  <c r="B28" i="57"/>
  <c r="A28" i="57"/>
  <c r="B27" i="57"/>
  <c r="A27" i="57"/>
  <c r="B26" i="57"/>
  <c r="A26" i="57"/>
  <c r="B25" i="57"/>
  <c r="A25" i="57"/>
  <c r="B24" i="57"/>
  <c r="A24" i="57"/>
  <c r="B23" i="57"/>
  <c r="A23" i="57"/>
  <c r="B22" i="57"/>
  <c r="A22" i="57"/>
  <c r="B21" i="57"/>
  <c r="A21" i="57"/>
  <c r="B20" i="57"/>
  <c r="A20" i="57"/>
  <c r="B19" i="57"/>
  <c r="A19" i="57"/>
  <c r="B18" i="57"/>
  <c r="A18" i="57"/>
  <c r="B17" i="57"/>
  <c r="A17" i="57"/>
  <c r="B16" i="57"/>
  <c r="A16" i="57"/>
  <c r="D15" i="57"/>
  <c r="C15" i="57"/>
  <c r="B15" i="57"/>
  <c r="A15" i="57"/>
  <c r="B7" i="56"/>
  <c r="M360" i="56"/>
  <c r="M359" i="56"/>
  <c r="M358" i="56"/>
  <c r="M357" i="56"/>
  <c r="M356" i="56"/>
  <c r="M355" i="56"/>
  <c r="M354" i="56"/>
  <c r="M353" i="56"/>
  <c r="M352" i="56"/>
  <c r="M346" i="56"/>
  <c r="M345" i="56"/>
  <c r="M344" i="56"/>
  <c r="M343" i="56"/>
  <c r="M342" i="56"/>
  <c r="M341" i="56"/>
  <c r="M339" i="56"/>
  <c r="M338" i="56"/>
  <c r="M337" i="56"/>
  <c r="M336" i="56"/>
  <c r="M335" i="56"/>
  <c r="M334" i="56"/>
  <c r="M330" i="56"/>
  <c r="M329" i="56"/>
  <c r="M328" i="56"/>
  <c r="M327" i="56"/>
  <c r="M326" i="56"/>
  <c r="M325" i="56"/>
  <c r="M324" i="56"/>
  <c r="M323" i="56"/>
  <c r="M322" i="56"/>
  <c r="M321" i="56"/>
  <c r="M320" i="56"/>
  <c r="M319" i="56"/>
  <c r="M318" i="56"/>
  <c r="M317" i="56"/>
  <c r="M315" i="56"/>
  <c r="M314" i="56"/>
  <c r="M313" i="56"/>
  <c r="M312" i="56"/>
  <c r="M311" i="56"/>
  <c r="M310" i="56"/>
  <c r="M309" i="56"/>
  <c r="M308" i="56"/>
  <c r="M307" i="56"/>
  <c r="M306" i="56"/>
  <c r="M305" i="56"/>
  <c r="M304" i="56"/>
  <c r="M303" i="56"/>
  <c r="M302" i="56"/>
  <c r="M300" i="56"/>
  <c r="M299" i="56"/>
  <c r="M298" i="56"/>
  <c r="M297" i="56"/>
  <c r="M296" i="56"/>
  <c r="M295" i="56"/>
  <c r="M294" i="56"/>
  <c r="M293" i="56"/>
  <c r="M292" i="56"/>
  <c r="M291" i="56"/>
  <c r="M290" i="56"/>
  <c r="M289" i="56"/>
  <c r="M288" i="56"/>
  <c r="M287" i="56"/>
  <c r="M285" i="56"/>
  <c r="M284" i="56"/>
  <c r="M283" i="56"/>
  <c r="M282" i="56"/>
  <c r="M281" i="56"/>
  <c r="M280" i="56"/>
  <c r="M279" i="56"/>
  <c r="M278" i="56"/>
  <c r="M277" i="56"/>
  <c r="M276" i="56"/>
  <c r="M275" i="56"/>
  <c r="M274" i="56"/>
  <c r="M273" i="56"/>
  <c r="M272" i="56"/>
  <c r="M270" i="56"/>
  <c r="M269" i="56"/>
  <c r="M268" i="56"/>
  <c r="M267" i="56"/>
  <c r="M266" i="56"/>
  <c r="M265" i="56"/>
  <c r="M264" i="56"/>
  <c r="M263" i="56"/>
  <c r="M262" i="56"/>
  <c r="M261" i="56"/>
  <c r="M260" i="56"/>
  <c r="M259" i="56"/>
  <c r="M258" i="56"/>
  <c r="M257" i="56"/>
  <c r="M255" i="56"/>
  <c r="M254" i="56"/>
  <c r="M253" i="56"/>
  <c r="M252" i="56"/>
  <c r="M251" i="56"/>
  <c r="M250" i="56"/>
  <c r="M249" i="56"/>
  <c r="M248" i="56"/>
  <c r="M247" i="56"/>
  <c r="M246" i="56"/>
  <c r="M245" i="56"/>
  <c r="M244" i="56"/>
  <c r="M243" i="56"/>
  <c r="M242" i="56"/>
  <c r="M240" i="56"/>
  <c r="M239" i="56"/>
  <c r="M238" i="56"/>
  <c r="M237" i="56"/>
  <c r="M236" i="56"/>
  <c r="M235" i="56"/>
  <c r="M234" i="56"/>
  <c r="M233" i="56"/>
  <c r="M232" i="56"/>
  <c r="M231" i="56"/>
  <c r="M230" i="56"/>
  <c r="M229" i="56"/>
  <c r="M228" i="56"/>
  <c r="M227" i="56"/>
  <c r="M225" i="56"/>
  <c r="M224" i="56"/>
  <c r="M223" i="56"/>
  <c r="M222" i="56"/>
  <c r="M221" i="56"/>
  <c r="M220" i="56"/>
  <c r="M219" i="56"/>
  <c r="M218" i="56"/>
  <c r="M217" i="56"/>
  <c r="M216" i="56"/>
  <c r="M215" i="56"/>
  <c r="M214" i="56"/>
  <c r="M213" i="56"/>
  <c r="M212" i="56"/>
  <c r="M210" i="56"/>
  <c r="M209" i="56"/>
  <c r="M208" i="56"/>
  <c r="M207" i="56"/>
  <c r="M206" i="56"/>
  <c r="M205" i="56"/>
  <c r="M204" i="56"/>
  <c r="M203" i="56"/>
  <c r="M202" i="56"/>
  <c r="M201" i="56"/>
  <c r="M200" i="56"/>
  <c r="M199" i="56"/>
  <c r="M198" i="56"/>
  <c r="M197" i="56"/>
  <c r="M195" i="56"/>
  <c r="M194" i="56"/>
  <c r="M193" i="56"/>
  <c r="M192" i="56"/>
  <c r="M191" i="56"/>
  <c r="M190" i="56"/>
  <c r="M189" i="56"/>
  <c r="M188" i="56"/>
  <c r="M187" i="56"/>
  <c r="M186" i="56"/>
  <c r="M185" i="56"/>
  <c r="M184" i="56"/>
  <c r="M183" i="56"/>
  <c r="M182" i="56"/>
  <c r="M180" i="56"/>
  <c r="M179" i="56"/>
  <c r="M178" i="56"/>
  <c r="M177" i="56"/>
  <c r="M176" i="56"/>
  <c r="M175" i="56"/>
  <c r="M174" i="56"/>
  <c r="M173" i="56"/>
  <c r="M172" i="56"/>
  <c r="M171" i="56"/>
  <c r="M170" i="56"/>
  <c r="M169" i="56"/>
  <c r="M168" i="56"/>
  <c r="M167" i="56"/>
  <c r="M165" i="56"/>
  <c r="M164" i="56"/>
  <c r="M163" i="56"/>
  <c r="M162" i="56"/>
  <c r="M161" i="56"/>
  <c r="M160" i="56"/>
  <c r="M159" i="56"/>
  <c r="M158" i="56"/>
  <c r="M157" i="56"/>
  <c r="M156" i="56"/>
  <c r="M155" i="56"/>
  <c r="M154" i="56"/>
  <c r="M153" i="56"/>
  <c r="M152" i="56"/>
  <c r="M150" i="56"/>
  <c r="M149" i="56"/>
  <c r="M148" i="56"/>
  <c r="M147" i="56"/>
  <c r="M146" i="56"/>
  <c r="M145" i="56"/>
  <c r="M144" i="56"/>
  <c r="M143" i="56"/>
  <c r="M142" i="56"/>
  <c r="M141" i="56"/>
  <c r="M140" i="56"/>
  <c r="M139" i="56"/>
  <c r="M138" i="56"/>
  <c r="M137" i="56"/>
  <c r="M135" i="56"/>
  <c r="M134" i="56"/>
  <c r="M133" i="56"/>
  <c r="M132" i="56"/>
  <c r="M131" i="56"/>
  <c r="M130" i="56"/>
  <c r="M129" i="56"/>
  <c r="M128" i="56"/>
  <c r="M127" i="56"/>
  <c r="M126" i="56"/>
  <c r="M125" i="56"/>
  <c r="M124" i="56"/>
  <c r="M123" i="56"/>
  <c r="M122" i="56"/>
  <c r="M120" i="56"/>
  <c r="M119" i="56"/>
  <c r="M118" i="56"/>
  <c r="M117" i="56"/>
  <c r="M116" i="56"/>
  <c r="M115" i="56"/>
  <c r="M114" i="56"/>
  <c r="M113" i="56"/>
  <c r="M112" i="56"/>
  <c r="M111" i="56"/>
  <c r="M110" i="56"/>
  <c r="M109" i="56"/>
  <c r="M108" i="56"/>
  <c r="M107" i="56"/>
  <c r="M105" i="56"/>
  <c r="M104" i="56"/>
  <c r="M103" i="56"/>
  <c r="M102" i="56"/>
  <c r="M101" i="56"/>
  <c r="M100" i="56"/>
  <c r="M99" i="56"/>
  <c r="M98" i="56"/>
  <c r="M95" i="56"/>
  <c r="M93" i="56"/>
  <c r="M92" i="56"/>
  <c r="M91" i="56"/>
  <c r="M90" i="56"/>
  <c r="M88" i="56"/>
  <c r="M87" i="56"/>
  <c r="M86" i="56"/>
  <c r="M85" i="56"/>
  <c r="M84" i="56"/>
  <c r="M83" i="56"/>
  <c r="M82" i="56"/>
  <c r="M81" i="56"/>
  <c r="M80" i="56"/>
  <c r="M79" i="56"/>
  <c r="M78" i="56"/>
  <c r="M77" i="56"/>
  <c r="M76" i="56"/>
  <c r="M75" i="56"/>
  <c r="M73" i="56"/>
  <c r="M72" i="56"/>
  <c r="M71" i="56"/>
  <c r="M70" i="56"/>
  <c r="M69" i="56"/>
  <c r="M68" i="56"/>
  <c r="M67" i="56"/>
  <c r="M66" i="56"/>
  <c r="M65" i="56"/>
  <c r="M64" i="56"/>
  <c r="M63" i="56"/>
  <c r="M62" i="56"/>
  <c r="M61" i="56"/>
  <c r="M60" i="56"/>
  <c r="M58" i="56"/>
  <c r="M57" i="56"/>
  <c r="M56" i="56"/>
  <c r="M55" i="56"/>
  <c r="M54" i="56"/>
  <c r="M53" i="56"/>
  <c r="M52" i="56"/>
  <c r="M51" i="56"/>
  <c r="M50" i="56"/>
  <c r="M49" i="56"/>
  <c r="M48" i="56"/>
  <c r="M47" i="56"/>
  <c r="M46" i="56"/>
  <c r="M45" i="56"/>
  <c r="J36" i="56"/>
  <c r="E36" i="56"/>
  <c r="K36" i="56" s="1"/>
  <c r="B36" i="56"/>
  <c r="B35" i="56"/>
  <c r="B34" i="56"/>
  <c r="B33" i="56"/>
  <c r="B32" i="56"/>
  <c r="B31" i="56"/>
  <c r="B30" i="56"/>
  <c r="B29" i="56"/>
  <c r="B28" i="56"/>
  <c r="B27" i="56"/>
  <c r="B26" i="56"/>
  <c r="B25" i="56"/>
  <c r="B24" i="56"/>
  <c r="B23" i="56"/>
  <c r="B22" i="56"/>
  <c r="B21" i="56"/>
  <c r="B20" i="56"/>
  <c r="B19" i="56"/>
  <c r="B18" i="56"/>
  <c r="B17" i="56"/>
  <c r="B15" i="56"/>
  <c r="A35" i="56"/>
  <c r="A31" i="56"/>
  <c r="A27" i="56"/>
  <c r="A23" i="56"/>
  <c r="A19" i="56"/>
  <c r="A36" i="56"/>
  <c r="A34" i="56"/>
  <c r="A33" i="56"/>
  <c r="A32" i="56"/>
  <c r="A30" i="56"/>
  <c r="A29" i="56"/>
  <c r="A28" i="56"/>
  <c r="A26" i="56"/>
  <c r="A25" i="56"/>
  <c r="A24" i="56"/>
  <c r="A22" i="56"/>
  <c r="A21" i="56"/>
  <c r="A20" i="56"/>
  <c r="A18" i="56"/>
  <c r="A17" i="56"/>
  <c r="A16" i="56"/>
  <c r="A15" i="56"/>
  <c r="AF28" i="45" l="1"/>
  <c r="AC16" i="45"/>
  <c r="AF29" i="47"/>
  <c r="AF28" i="47"/>
  <c r="AC16" i="47"/>
  <c r="AF29" i="52"/>
  <c r="AF28" i="52"/>
  <c r="AC16" i="52"/>
  <c r="AF28" i="53"/>
  <c r="G52" i="40"/>
  <c r="AM55" i="40" s="1"/>
  <c r="AF30" i="52" l="1"/>
  <c r="AF30" i="47"/>
  <c r="H20" i="46"/>
  <c r="J20" i="46" s="1"/>
  <c r="H24" i="46"/>
  <c r="J24" i="46" s="1"/>
  <c r="H25" i="46"/>
  <c r="J25" i="46" s="1"/>
  <c r="H26" i="46"/>
  <c r="J26" i="46" s="1"/>
  <c r="H27" i="46"/>
  <c r="J27" i="46" s="1"/>
  <c r="H28" i="46"/>
  <c r="J28" i="46" s="1"/>
  <c r="H29" i="46"/>
  <c r="J29" i="46" s="1"/>
  <c r="H30" i="46"/>
  <c r="J30" i="46" s="1"/>
  <c r="H31" i="46"/>
  <c r="J31" i="46" s="1"/>
  <c r="H32" i="46"/>
  <c r="J32" i="46" s="1"/>
  <c r="H33" i="46"/>
  <c r="J33" i="46" s="1"/>
  <c r="H34" i="46"/>
  <c r="J34" i="46" s="1"/>
  <c r="H35" i="46"/>
  <c r="J35" i="46" s="1"/>
  <c r="H36" i="46"/>
  <c r="J36" i="46" s="1"/>
  <c r="H37" i="46"/>
  <c r="J37" i="46" s="1"/>
  <c r="H24" i="54"/>
  <c r="J24" i="54" s="1"/>
  <c r="H25" i="54"/>
  <c r="J25" i="54" s="1"/>
  <c r="H26" i="54"/>
  <c r="J26" i="54" s="1"/>
  <c r="H27" i="54"/>
  <c r="J27" i="54" s="1"/>
  <c r="H28" i="54"/>
  <c r="J28" i="54" s="1"/>
  <c r="H29" i="54"/>
  <c r="J29" i="54" s="1"/>
  <c r="H30" i="54"/>
  <c r="J30" i="54" s="1"/>
  <c r="H31" i="54"/>
  <c r="J31" i="54" s="1"/>
  <c r="H32" i="54"/>
  <c r="J32" i="54" s="1"/>
  <c r="H33" i="54"/>
  <c r="J33" i="54" s="1"/>
  <c r="H34" i="54"/>
  <c r="J34" i="54" s="1"/>
  <c r="H35" i="54"/>
  <c r="J35" i="54" s="1"/>
  <c r="H36" i="54"/>
  <c r="J36" i="54" s="1"/>
  <c r="H37" i="54"/>
  <c r="J37" i="54" s="1"/>
  <c r="H24" i="55"/>
  <c r="J24" i="55" s="1"/>
  <c r="H25" i="55"/>
  <c r="J25" i="55" s="1"/>
  <c r="H26" i="55"/>
  <c r="J26" i="55" s="1"/>
  <c r="H27" i="55"/>
  <c r="J27" i="55" s="1"/>
  <c r="H28" i="55"/>
  <c r="J28" i="55" s="1"/>
  <c r="H29" i="55"/>
  <c r="J29" i="55" s="1"/>
  <c r="H30" i="55"/>
  <c r="J30" i="55" s="1"/>
  <c r="H31" i="55"/>
  <c r="J31" i="55" s="1"/>
  <c r="H32" i="55"/>
  <c r="J32" i="55" s="1"/>
  <c r="H33" i="55"/>
  <c r="J33" i="55" s="1"/>
  <c r="H34" i="55"/>
  <c r="J34" i="55" s="1"/>
  <c r="H35" i="55"/>
  <c r="J35" i="55" s="1"/>
  <c r="H36" i="55"/>
  <c r="J36" i="55" s="1"/>
  <c r="H37" i="55"/>
  <c r="J37" i="55" s="1"/>
  <c r="X12" i="55" l="1"/>
  <c r="X11" i="55"/>
  <c r="X12" i="54"/>
  <c r="X11" i="54"/>
  <c r="X12" i="46"/>
  <c r="X11" i="46"/>
  <c r="X11" i="24" l="1"/>
  <c r="X12" i="24"/>
  <c r="E89" i="24"/>
  <c r="I37" i="53"/>
  <c r="I28" i="53"/>
  <c r="I28" i="52"/>
  <c r="AC16" i="53"/>
  <c r="A77" i="46"/>
  <c r="E77" i="54" l="1"/>
  <c r="A106" i="55"/>
  <c r="E77" i="46"/>
  <c r="A106" i="54"/>
  <c r="A106" i="46"/>
  <c r="W126" i="40"/>
  <c r="A107" i="24" l="1"/>
  <c r="G70" i="7"/>
  <c r="F70" i="7"/>
  <c r="G81" i="7"/>
  <c r="F81" i="7"/>
  <c r="G59" i="7"/>
  <c r="F59" i="7"/>
  <c r="J9" i="55" l="1"/>
  <c r="O413" i="59"/>
  <c r="I413" i="59" s="1"/>
  <c r="M413" i="59"/>
  <c r="O412" i="59"/>
  <c r="I412" i="59" s="1"/>
  <c r="J412" i="59" s="1"/>
  <c r="M412" i="59"/>
  <c r="O411" i="59"/>
  <c r="I411" i="59" s="1"/>
  <c r="J411" i="59" s="1"/>
  <c r="M411" i="59"/>
  <c r="O410" i="59"/>
  <c r="I410" i="59" s="1"/>
  <c r="J410" i="59" s="1"/>
  <c r="O409" i="59"/>
  <c r="O408" i="59"/>
  <c r="O407" i="59"/>
  <c r="I407" i="59" s="1"/>
  <c r="M407" i="59"/>
  <c r="E406" i="59"/>
  <c r="E351" i="59" s="1"/>
  <c r="M351" i="59" s="1"/>
  <c r="O360" i="59"/>
  <c r="O359" i="59"/>
  <c r="I359" i="59" s="1"/>
  <c r="J359" i="59" s="1"/>
  <c r="O358" i="59"/>
  <c r="I358" i="59" s="1"/>
  <c r="O357" i="59"/>
  <c r="I357" i="59" s="1"/>
  <c r="O356" i="59"/>
  <c r="I356" i="59" s="1"/>
  <c r="O355" i="59"/>
  <c r="I355" i="59" s="1"/>
  <c r="O354" i="59"/>
  <c r="I354" i="59" s="1"/>
  <c r="O353" i="59"/>
  <c r="I353" i="59" s="1"/>
  <c r="O352" i="59"/>
  <c r="I352" i="59" s="1"/>
  <c r="O351" i="59"/>
  <c r="I351" i="59" s="1"/>
  <c r="O350" i="59"/>
  <c r="I350" i="59" s="1"/>
  <c r="O349" i="59"/>
  <c r="I349" i="59" s="1"/>
  <c r="F349" i="59"/>
  <c r="O348" i="59"/>
  <c r="I348" i="59" s="1"/>
  <c r="F348" i="59"/>
  <c r="O347" i="59"/>
  <c r="O346" i="59"/>
  <c r="I346" i="59" s="1"/>
  <c r="O345" i="59"/>
  <c r="I345" i="59" s="1"/>
  <c r="J345" i="59" s="1"/>
  <c r="O344" i="59"/>
  <c r="O343" i="59"/>
  <c r="O342" i="59"/>
  <c r="O341" i="59"/>
  <c r="O340" i="59"/>
  <c r="I340" i="59" s="1"/>
  <c r="O339" i="59"/>
  <c r="O338" i="59"/>
  <c r="O337" i="59"/>
  <c r="O336" i="59"/>
  <c r="O335" i="59"/>
  <c r="O334" i="59"/>
  <c r="O333" i="59"/>
  <c r="I333" i="59" s="1"/>
  <c r="O331" i="59"/>
  <c r="O330" i="59"/>
  <c r="I330" i="59" s="1"/>
  <c r="O329" i="59"/>
  <c r="O328" i="59"/>
  <c r="O327" i="59"/>
  <c r="O326" i="59"/>
  <c r="O325" i="59"/>
  <c r="O324" i="59"/>
  <c r="O323" i="59"/>
  <c r="O322" i="59"/>
  <c r="O321" i="59"/>
  <c r="O320" i="59"/>
  <c r="I320" i="59" s="1"/>
  <c r="O319" i="59"/>
  <c r="I319" i="59" s="1"/>
  <c r="O318" i="59"/>
  <c r="I318" i="59" s="1"/>
  <c r="O317" i="59"/>
  <c r="I317" i="59" s="1"/>
  <c r="M316" i="59"/>
  <c r="M33" i="59" s="1"/>
  <c r="O316" i="59"/>
  <c r="E316" i="59"/>
  <c r="O315" i="59"/>
  <c r="I315" i="59" s="1"/>
  <c r="O314" i="59"/>
  <c r="O313" i="59"/>
  <c r="O312" i="59"/>
  <c r="O311" i="59"/>
  <c r="O310" i="59"/>
  <c r="O309" i="59"/>
  <c r="O308" i="59"/>
  <c r="I308" i="59" s="1"/>
  <c r="O307" i="59"/>
  <c r="I307" i="59" s="1"/>
  <c r="O306" i="59"/>
  <c r="I306" i="59" s="1"/>
  <c r="O305" i="59"/>
  <c r="I305" i="59" s="1"/>
  <c r="O304" i="59"/>
  <c r="I304" i="59" s="1"/>
  <c r="O303" i="59"/>
  <c r="I303" i="59" s="1"/>
  <c r="O302" i="59"/>
  <c r="I302" i="59" s="1"/>
  <c r="O301" i="59"/>
  <c r="E301" i="59"/>
  <c r="O300" i="59"/>
  <c r="I300" i="59" s="1"/>
  <c r="O299" i="59"/>
  <c r="O298" i="59"/>
  <c r="O297" i="59"/>
  <c r="O296" i="59"/>
  <c r="O295" i="59"/>
  <c r="I295" i="59" s="1"/>
  <c r="O294" i="59"/>
  <c r="I294" i="59" s="1"/>
  <c r="O293" i="59"/>
  <c r="I293" i="59" s="1"/>
  <c r="O292" i="59"/>
  <c r="I292" i="59" s="1"/>
  <c r="O291" i="59"/>
  <c r="I291" i="59" s="1"/>
  <c r="O290" i="59"/>
  <c r="I290" i="59" s="1"/>
  <c r="O289" i="59"/>
  <c r="I289" i="59" s="1"/>
  <c r="O288" i="59"/>
  <c r="I288" i="59" s="1"/>
  <c r="O287" i="59"/>
  <c r="I287" i="59" s="1"/>
  <c r="O286" i="59"/>
  <c r="M286" i="59"/>
  <c r="M31" i="59" s="1"/>
  <c r="E286" i="59"/>
  <c r="O285" i="59"/>
  <c r="I285" i="59" s="1"/>
  <c r="O284" i="59"/>
  <c r="O283" i="59"/>
  <c r="O282" i="59"/>
  <c r="O281" i="59"/>
  <c r="I281" i="59" s="1"/>
  <c r="O280" i="59"/>
  <c r="I280" i="59" s="1"/>
  <c r="O279" i="59"/>
  <c r="I279" i="59" s="1"/>
  <c r="O278" i="59"/>
  <c r="I278" i="59" s="1"/>
  <c r="O277" i="59"/>
  <c r="I277" i="59" s="1"/>
  <c r="O276" i="59"/>
  <c r="I276" i="59" s="1"/>
  <c r="O275" i="59"/>
  <c r="I275" i="59" s="1"/>
  <c r="O274" i="59"/>
  <c r="I274" i="59" s="1"/>
  <c r="O273" i="59"/>
  <c r="I273" i="59" s="1"/>
  <c r="O272" i="59"/>
  <c r="I272" i="59" s="1"/>
  <c r="O271" i="59"/>
  <c r="E271" i="59"/>
  <c r="O270" i="59"/>
  <c r="I270" i="59" s="1"/>
  <c r="O269" i="59"/>
  <c r="O268" i="59"/>
  <c r="O267" i="59"/>
  <c r="O266" i="59"/>
  <c r="O265" i="59"/>
  <c r="O264" i="59"/>
  <c r="O263" i="59"/>
  <c r="O262" i="59"/>
  <c r="O261" i="59"/>
  <c r="I261" i="59" s="1"/>
  <c r="O260" i="59"/>
  <c r="I260" i="59" s="1"/>
  <c r="O259" i="59"/>
  <c r="I259" i="59" s="1"/>
  <c r="O258" i="59"/>
  <c r="I258" i="59" s="1"/>
  <c r="O257" i="59"/>
  <c r="I257" i="59" s="1"/>
  <c r="O256" i="59"/>
  <c r="M256" i="59"/>
  <c r="M29" i="59" s="1"/>
  <c r="E256" i="59"/>
  <c r="O255" i="59"/>
  <c r="I255" i="59" s="1"/>
  <c r="O254" i="59"/>
  <c r="O253" i="59"/>
  <c r="O252" i="59"/>
  <c r="O251" i="59"/>
  <c r="O250" i="59"/>
  <c r="O249" i="59"/>
  <c r="I249" i="59" s="1"/>
  <c r="O248" i="59"/>
  <c r="I248" i="59" s="1"/>
  <c r="O247" i="59"/>
  <c r="I247" i="59" s="1"/>
  <c r="O246" i="59"/>
  <c r="I246" i="59" s="1"/>
  <c r="O245" i="59"/>
  <c r="I245" i="59" s="1"/>
  <c r="O244" i="59"/>
  <c r="I244" i="59" s="1"/>
  <c r="O243" i="59"/>
  <c r="I243" i="59" s="1"/>
  <c r="O242" i="59"/>
  <c r="I242" i="59" s="1"/>
  <c r="M241" i="59"/>
  <c r="M28" i="59" s="1"/>
  <c r="O241" i="59"/>
  <c r="E241" i="59"/>
  <c r="O240" i="59"/>
  <c r="I240" i="59" s="1"/>
  <c r="O239" i="59"/>
  <c r="O238" i="59"/>
  <c r="O237" i="59"/>
  <c r="O236" i="59"/>
  <c r="O235" i="59"/>
  <c r="O234" i="59"/>
  <c r="O233" i="59"/>
  <c r="O232" i="59"/>
  <c r="O231" i="59"/>
  <c r="O230" i="59"/>
  <c r="I230" i="59" s="1"/>
  <c r="O229" i="59"/>
  <c r="I229" i="59" s="1"/>
  <c r="O228" i="59"/>
  <c r="I228" i="59" s="1"/>
  <c r="O227" i="59"/>
  <c r="I227" i="59" s="1"/>
  <c r="M226" i="59"/>
  <c r="M27" i="59" s="1"/>
  <c r="O226" i="59"/>
  <c r="E226" i="59"/>
  <c r="O225" i="59"/>
  <c r="I225" i="59" s="1"/>
  <c r="O224" i="59"/>
  <c r="I224" i="59" s="1"/>
  <c r="J224" i="59" s="1"/>
  <c r="O223" i="59"/>
  <c r="O222" i="59"/>
  <c r="O221" i="59"/>
  <c r="I221" i="59" s="1"/>
  <c r="J221" i="59" s="1"/>
  <c r="O220" i="59"/>
  <c r="O219" i="59"/>
  <c r="O218" i="59"/>
  <c r="O217" i="59"/>
  <c r="O216" i="59"/>
  <c r="I216" i="59" s="1"/>
  <c r="O215" i="59"/>
  <c r="I215" i="59" s="1"/>
  <c r="O214" i="59"/>
  <c r="I214" i="59" s="1"/>
  <c r="O213" i="59"/>
  <c r="I213" i="59" s="1"/>
  <c r="O212" i="59"/>
  <c r="I212" i="59" s="1"/>
  <c r="M211" i="59"/>
  <c r="M26" i="59" s="1"/>
  <c r="O211" i="59"/>
  <c r="E211" i="59"/>
  <c r="O210" i="59"/>
  <c r="I210" i="59" s="1"/>
  <c r="O209" i="59"/>
  <c r="O208" i="59"/>
  <c r="O207" i="59"/>
  <c r="O206" i="59"/>
  <c r="O205" i="59"/>
  <c r="O204" i="59"/>
  <c r="O203" i="59"/>
  <c r="O202" i="59"/>
  <c r="I202" i="59" s="1"/>
  <c r="O201" i="59"/>
  <c r="I201" i="59" s="1"/>
  <c r="O200" i="59"/>
  <c r="I200" i="59" s="1"/>
  <c r="O199" i="59"/>
  <c r="I199" i="59" s="1"/>
  <c r="O198" i="59"/>
  <c r="I198" i="59" s="1"/>
  <c r="O197" i="59"/>
  <c r="I197" i="59" s="1"/>
  <c r="M196" i="59"/>
  <c r="M25" i="59" s="1"/>
  <c r="O196" i="59"/>
  <c r="E196" i="59"/>
  <c r="O195" i="59"/>
  <c r="I195" i="59" s="1"/>
  <c r="O194" i="59"/>
  <c r="I194" i="59" s="1"/>
  <c r="J194" i="59" s="1"/>
  <c r="O193" i="59"/>
  <c r="O192" i="59"/>
  <c r="O191" i="59"/>
  <c r="I191" i="59" s="1"/>
  <c r="J191" i="59" s="1"/>
  <c r="O190" i="59"/>
  <c r="O189" i="59"/>
  <c r="O188" i="59"/>
  <c r="O187" i="59"/>
  <c r="O186" i="59"/>
  <c r="I186" i="59" s="1"/>
  <c r="O185" i="59"/>
  <c r="I185" i="59" s="1"/>
  <c r="O184" i="59"/>
  <c r="I184" i="59" s="1"/>
  <c r="O183" i="59"/>
  <c r="I183" i="59" s="1"/>
  <c r="O182" i="59"/>
  <c r="I182" i="59" s="1"/>
  <c r="M181" i="59"/>
  <c r="M24" i="59" s="1"/>
  <c r="O181" i="59"/>
  <c r="E181" i="59"/>
  <c r="O180" i="59"/>
  <c r="I180" i="59" s="1"/>
  <c r="O179" i="59"/>
  <c r="O178" i="59"/>
  <c r="O177" i="59"/>
  <c r="O176" i="59"/>
  <c r="O175" i="59"/>
  <c r="I175" i="59" s="1"/>
  <c r="O174" i="59"/>
  <c r="I174" i="59" s="1"/>
  <c r="O173" i="59"/>
  <c r="I173" i="59" s="1"/>
  <c r="O172" i="59"/>
  <c r="I172" i="59" s="1"/>
  <c r="O171" i="59"/>
  <c r="I171" i="59" s="1"/>
  <c r="O170" i="59"/>
  <c r="I170" i="59" s="1"/>
  <c r="O169" i="59"/>
  <c r="I169" i="59" s="1"/>
  <c r="O168" i="59"/>
  <c r="I168" i="59" s="1"/>
  <c r="O167" i="59"/>
  <c r="I167" i="59" s="1"/>
  <c r="O166" i="59"/>
  <c r="E166" i="59"/>
  <c r="O165" i="59"/>
  <c r="I165" i="59" s="1"/>
  <c r="O164" i="59"/>
  <c r="O163" i="59"/>
  <c r="O162" i="59"/>
  <c r="I162" i="59" s="1"/>
  <c r="J162" i="59" s="1"/>
  <c r="O161" i="59"/>
  <c r="O160" i="59"/>
  <c r="O159" i="59"/>
  <c r="I159" i="59" s="1"/>
  <c r="J159" i="59" s="1"/>
  <c r="O158" i="59"/>
  <c r="O157" i="59"/>
  <c r="O156" i="59"/>
  <c r="O155" i="59"/>
  <c r="I155" i="59" s="1"/>
  <c r="O154" i="59"/>
  <c r="I154" i="59" s="1"/>
  <c r="O153" i="59"/>
  <c r="I153" i="59" s="1"/>
  <c r="O152" i="59"/>
  <c r="I152" i="59" s="1"/>
  <c r="O151" i="59"/>
  <c r="E151" i="59"/>
  <c r="O150" i="59"/>
  <c r="I150" i="59" s="1"/>
  <c r="O149" i="59"/>
  <c r="O148" i="59"/>
  <c r="O147" i="59"/>
  <c r="O146" i="59"/>
  <c r="O145" i="59"/>
  <c r="I145" i="59" s="1"/>
  <c r="O144" i="59"/>
  <c r="I144" i="59" s="1"/>
  <c r="O143" i="59"/>
  <c r="I143" i="59" s="1"/>
  <c r="O142" i="59"/>
  <c r="I142" i="59" s="1"/>
  <c r="O141" i="59"/>
  <c r="I141" i="59" s="1"/>
  <c r="O140" i="59"/>
  <c r="I140" i="59" s="1"/>
  <c r="O139" i="59"/>
  <c r="I139" i="59" s="1"/>
  <c r="O138" i="59"/>
  <c r="I138" i="59" s="1"/>
  <c r="O137" i="59"/>
  <c r="I137" i="59" s="1"/>
  <c r="O136" i="59"/>
  <c r="E136" i="59"/>
  <c r="O135" i="59"/>
  <c r="I135" i="59" s="1"/>
  <c r="O134" i="59"/>
  <c r="O133" i="59"/>
  <c r="O132" i="59"/>
  <c r="I132" i="59" s="1"/>
  <c r="O131" i="59"/>
  <c r="I131" i="59" s="1"/>
  <c r="O130" i="59"/>
  <c r="I130" i="59" s="1"/>
  <c r="O129" i="59"/>
  <c r="I129" i="59" s="1"/>
  <c r="O128" i="59"/>
  <c r="I128" i="59" s="1"/>
  <c r="O127" i="59"/>
  <c r="I127" i="59" s="1"/>
  <c r="O126" i="59"/>
  <c r="I126" i="59" s="1"/>
  <c r="O125" i="59"/>
  <c r="I125" i="59" s="1"/>
  <c r="O124" i="59"/>
  <c r="I124" i="59" s="1"/>
  <c r="O123" i="59"/>
  <c r="I123" i="59" s="1"/>
  <c r="O122" i="59"/>
  <c r="I122" i="59" s="1"/>
  <c r="O121" i="59"/>
  <c r="E121" i="59"/>
  <c r="E20" i="59" s="1"/>
  <c r="K20" i="59" s="1"/>
  <c r="O120" i="59"/>
  <c r="I120" i="59" s="1"/>
  <c r="O119" i="59"/>
  <c r="O118" i="59"/>
  <c r="O117" i="59"/>
  <c r="O116" i="59"/>
  <c r="O115" i="59"/>
  <c r="O114" i="59"/>
  <c r="O113" i="59"/>
  <c r="O112" i="59"/>
  <c r="O111" i="59"/>
  <c r="O110" i="59"/>
  <c r="I110" i="59" s="1"/>
  <c r="O109" i="59"/>
  <c r="I109" i="59" s="1"/>
  <c r="O108" i="59"/>
  <c r="I108" i="59" s="1"/>
  <c r="O107" i="59"/>
  <c r="I107" i="59" s="1"/>
  <c r="O106" i="59"/>
  <c r="E106" i="59"/>
  <c r="O105" i="59"/>
  <c r="I105" i="59" s="1"/>
  <c r="O104" i="59"/>
  <c r="O103" i="59"/>
  <c r="O102" i="59"/>
  <c r="I102" i="59" s="1"/>
  <c r="O101" i="59"/>
  <c r="I101" i="59" s="1"/>
  <c r="O98" i="59"/>
  <c r="I98" i="59" s="1"/>
  <c r="O97" i="59"/>
  <c r="I97" i="59" s="1"/>
  <c r="O96" i="59"/>
  <c r="I96" i="59" s="1"/>
  <c r="O95" i="59"/>
  <c r="I95" i="59" s="1"/>
  <c r="O94" i="59"/>
  <c r="I94" i="59" s="1"/>
  <c r="O93" i="59"/>
  <c r="I93" i="59" s="1"/>
  <c r="O92" i="59"/>
  <c r="I92" i="59" s="1"/>
  <c r="O91" i="59"/>
  <c r="I91" i="59" s="1"/>
  <c r="O90" i="59"/>
  <c r="I90" i="59" s="1"/>
  <c r="O89" i="59"/>
  <c r="E89" i="59"/>
  <c r="E18" i="59" s="1"/>
  <c r="K18" i="59" s="1"/>
  <c r="O88" i="59"/>
  <c r="I88" i="59" s="1"/>
  <c r="O87" i="59"/>
  <c r="O86" i="59"/>
  <c r="O85" i="59"/>
  <c r="O84" i="59"/>
  <c r="O83" i="59"/>
  <c r="O82" i="59"/>
  <c r="O81" i="59"/>
  <c r="I81" i="59" s="1"/>
  <c r="O80" i="59"/>
  <c r="I80" i="59" s="1"/>
  <c r="O79" i="59"/>
  <c r="I79" i="59" s="1"/>
  <c r="O78" i="59"/>
  <c r="I78" i="59" s="1"/>
  <c r="O77" i="59"/>
  <c r="I77" i="59" s="1"/>
  <c r="O76" i="59"/>
  <c r="I76" i="59" s="1"/>
  <c r="O75" i="59"/>
  <c r="I75" i="59" s="1"/>
  <c r="O74" i="59"/>
  <c r="E74" i="59"/>
  <c r="O73" i="59"/>
  <c r="I73" i="59" s="1"/>
  <c r="O72" i="59"/>
  <c r="O71" i="59"/>
  <c r="O70" i="59"/>
  <c r="I70" i="59" s="1"/>
  <c r="O69" i="59"/>
  <c r="I69" i="59" s="1"/>
  <c r="O68" i="59"/>
  <c r="I68" i="59" s="1"/>
  <c r="O67" i="59"/>
  <c r="I67" i="59" s="1"/>
  <c r="O66" i="59"/>
  <c r="I66" i="59" s="1"/>
  <c r="O65" i="59"/>
  <c r="I65" i="59" s="1"/>
  <c r="O64" i="59"/>
  <c r="I64" i="59" s="1"/>
  <c r="O63" i="59"/>
  <c r="I63" i="59" s="1"/>
  <c r="O62" i="59"/>
  <c r="I62" i="59" s="1"/>
  <c r="O61" i="59"/>
  <c r="I61" i="59" s="1"/>
  <c r="O60" i="59"/>
  <c r="I60" i="59" s="1"/>
  <c r="O59" i="59"/>
  <c r="E59" i="59"/>
  <c r="O58" i="59"/>
  <c r="I58" i="59" s="1"/>
  <c r="O57" i="59"/>
  <c r="O56" i="59"/>
  <c r="O55" i="59"/>
  <c r="O54" i="59"/>
  <c r="O53" i="59"/>
  <c r="O52" i="59"/>
  <c r="O51" i="59"/>
  <c r="I51" i="59" s="1"/>
  <c r="O50" i="59"/>
  <c r="I50" i="59" s="1"/>
  <c r="O49" i="59"/>
  <c r="I49" i="59" s="1"/>
  <c r="O48" i="59"/>
  <c r="I48" i="59" s="1"/>
  <c r="O47" i="59"/>
  <c r="I47" i="59" s="1"/>
  <c r="O46" i="59"/>
  <c r="I46" i="59" s="1"/>
  <c r="O45" i="59"/>
  <c r="I45" i="59" s="1"/>
  <c r="O44" i="59"/>
  <c r="E44" i="59"/>
  <c r="M5" i="59"/>
  <c r="A5" i="59"/>
  <c r="A2" i="59"/>
  <c r="J9" i="54"/>
  <c r="O413" i="58"/>
  <c r="I413" i="58" s="1"/>
  <c r="M413" i="58"/>
  <c r="O412" i="58"/>
  <c r="I412" i="58" s="1"/>
  <c r="J412" i="58" s="1"/>
  <c r="M412" i="58"/>
  <c r="O411" i="58"/>
  <c r="I411" i="58" s="1"/>
  <c r="J411" i="58" s="1"/>
  <c r="M411" i="58"/>
  <c r="O410" i="58"/>
  <c r="I410" i="58" s="1"/>
  <c r="J410" i="58" s="1"/>
  <c r="M410" i="58"/>
  <c r="O409" i="58"/>
  <c r="O408" i="58"/>
  <c r="O407" i="58"/>
  <c r="I407" i="58" s="1"/>
  <c r="M407" i="58"/>
  <c r="E406" i="58"/>
  <c r="E351" i="58" s="1"/>
  <c r="M351" i="58" s="1"/>
  <c r="E398" i="58"/>
  <c r="E350" i="58" s="1"/>
  <c r="M350" i="58" s="1"/>
  <c r="O360" i="58"/>
  <c r="O359" i="58"/>
  <c r="O358" i="58"/>
  <c r="I358" i="58" s="1"/>
  <c r="O357" i="58"/>
  <c r="I357" i="58" s="1"/>
  <c r="O356" i="58"/>
  <c r="I356" i="58" s="1"/>
  <c r="O355" i="58"/>
  <c r="I355" i="58" s="1"/>
  <c r="O354" i="58"/>
  <c r="I354" i="58" s="1"/>
  <c r="O353" i="58"/>
  <c r="I353" i="58" s="1"/>
  <c r="O352" i="58"/>
  <c r="I352" i="58" s="1"/>
  <c r="O351" i="58"/>
  <c r="I351" i="58" s="1"/>
  <c r="O350" i="58"/>
  <c r="I350" i="58" s="1"/>
  <c r="O349" i="58"/>
  <c r="I349" i="58" s="1"/>
  <c r="F349" i="58"/>
  <c r="O348" i="58"/>
  <c r="I348" i="58" s="1"/>
  <c r="F348" i="58"/>
  <c r="O347" i="58"/>
  <c r="O346" i="58"/>
  <c r="I346" i="58" s="1"/>
  <c r="O345" i="58"/>
  <c r="O344" i="58"/>
  <c r="O343" i="58"/>
  <c r="O342" i="58"/>
  <c r="O341" i="58"/>
  <c r="O340" i="58"/>
  <c r="I340" i="58" s="1"/>
  <c r="O339" i="58"/>
  <c r="O338" i="58"/>
  <c r="O337" i="58"/>
  <c r="O336" i="58"/>
  <c r="O335" i="58"/>
  <c r="O334" i="58"/>
  <c r="O333" i="58"/>
  <c r="I333" i="58" s="1"/>
  <c r="O331" i="58"/>
  <c r="O330" i="58"/>
  <c r="I330" i="58" s="1"/>
  <c r="O329" i="58"/>
  <c r="O328" i="58"/>
  <c r="O327" i="58"/>
  <c r="O326" i="58"/>
  <c r="O325" i="58"/>
  <c r="O324" i="58"/>
  <c r="O323" i="58"/>
  <c r="O322" i="58"/>
  <c r="O321" i="58"/>
  <c r="O320" i="58"/>
  <c r="I320" i="58" s="1"/>
  <c r="O319" i="58"/>
  <c r="I319" i="58" s="1"/>
  <c r="O318" i="58"/>
  <c r="I318" i="58" s="1"/>
  <c r="O317" i="58"/>
  <c r="I317" i="58" s="1"/>
  <c r="O316" i="58"/>
  <c r="E316" i="58"/>
  <c r="O315" i="58"/>
  <c r="I315" i="58" s="1"/>
  <c r="O314" i="58"/>
  <c r="O313" i="58"/>
  <c r="O312" i="58"/>
  <c r="O311" i="58"/>
  <c r="O310" i="58"/>
  <c r="O309" i="58"/>
  <c r="O308" i="58"/>
  <c r="I308" i="58" s="1"/>
  <c r="O307" i="58"/>
  <c r="I307" i="58" s="1"/>
  <c r="O306" i="58"/>
  <c r="I306" i="58" s="1"/>
  <c r="O305" i="58"/>
  <c r="I305" i="58" s="1"/>
  <c r="O304" i="58"/>
  <c r="I304" i="58" s="1"/>
  <c r="O303" i="58"/>
  <c r="I303" i="58" s="1"/>
  <c r="O302" i="58"/>
  <c r="I302" i="58" s="1"/>
  <c r="M301" i="58"/>
  <c r="M32" i="58" s="1"/>
  <c r="O301" i="58"/>
  <c r="E301" i="58"/>
  <c r="O300" i="58"/>
  <c r="I300" i="58" s="1"/>
  <c r="O299" i="58"/>
  <c r="O298" i="58"/>
  <c r="O297" i="58"/>
  <c r="O296" i="58"/>
  <c r="O295" i="58"/>
  <c r="I295" i="58" s="1"/>
  <c r="O294" i="58"/>
  <c r="I294" i="58" s="1"/>
  <c r="O293" i="58"/>
  <c r="I293" i="58" s="1"/>
  <c r="O292" i="58"/>
  <c r="I292" i="58" s="1"/>
  <c r="O291" i="58"/>
  <c r="I291" i="58" s="1"/>
  <c r="O290" i="58"/>
  <c r="I290" i="58" s="1"/>
  <c r="O289" i="58"/>
  <c r="I289" i="58" s="1"/>
  <c r="O288" i="58"/>
  <c r="I288" i="58" s="1"/>
  <c r="O287" i="58"/>
  <c r="I287" i="58" s="1"/>
  <c r="O286" i="58"/>
  <c r="E286" i="58"/>
  <c r="E31" i="58" s="1"/>
  <c r="K31" i="58" s="1"/>
  <c r="O285" i="58"/>
  <c r="I285" i="58" s="1"/>
  <c r="O284" i="58"/>
  <c r="O283" i="58"/>
  <c r="O282" i="58"/>
  <c r="O281" i="58"/>
  <c r="I281" i="58" s="1"/>
  <c r="O280" i="58"/>
  <c r="I280" i="58" s="1"/>
  <c r="O279" i="58"/>
  <c r="I279" i="58" s="1"/>
  <c r="O278" i="58"/>
  <c r="I278" i="58" s="1"/>
  <c r="O277" i="58"/>
  <c r="I277" i="58" s="1"/>
  <c r="O276" i="58"/>
  <c r="I276" i="58" s="1"/>
  <c r="O275" i="58"/>
  <c r="I275" i="58" s="1"/>
  <c r="O274" i="58"/>
  <c r="I274" i="58" s="1"/>
  <c r="O273" i="58"/>
  <c r="I273" i="58" s="1"/>
  <c r="O272" i="58"/>
  <c r="I272" i="58" s="1"/>
  <c r="O271" i="58"/>
  <c r="E271" i="58"/>
  <c r="O270" i="58"/>
  <c r="I270" i="58" s="1"/>
  <c r="O269" i="58"/>
  <c r="O268" i="58"/>
  <c r="O267" i="58"/>
  <c r="O266" i="58"/>
  <c r="O265" i="58"/>
  <c r="O264" i="58"/>
  <c r="O263" i="58"/>
  <c r="O262" i="58"/>
  <c r="O261" i="58"/>
  <c r="I261" i="58" s="1"/>
  <c r="O260" i="58"/>
  <c r="I260" i="58" s="1"/>
  <c r="O259" i="58"/>
  <c r="I259" i="58" s="1"/>
  <c r="O258" i="58"/>
  <c r="I258" i="58" s="1"/>
  <c r="O257" i="58"/>
  <c r="I257" i="58" s="1"/>
  <c r="O256" i="58"/>
  <c r="E256" i="58"/>
  <c r="E29" i="58" s="1"/>
  <c r="K29" i="58" s="1"/>
  <c r="O255" i="58"/>
  <c r="I255" i="58" s="1"/>
  <c r="O254" i="58"/>
  <c r="O253" i="58"/>
  <c r="O252" i="58"/>
  <c r="O251" i="58"/>
  <c r="O250" i="58"/>
  <c r="O249" i="58"/>
  <c r="I249" i="58" s="1"/>
  <c r="O248" i="58"/>
  <c r="I248" i="58" s="1"/>
  <c r="O247" i="58"/>
  <c r="I247" i="58" s="1"/>
  <c r="O246" i="58"/>
  <c r="I246" i="58" s="1"/>
  <c r="O245" i="58"/>
  <c r="I245" i="58" s="1"/>
  <c r="O244" i="58"/>
  <c r="I244" i="58" s="1"/>
  <c r="O243" i="58"/>
  <c r="I243" i="58" s="1"/>
  <c r="O242" i="58"/>
  <c r="I242" i="58" s="1"/>
  <c r="M241" i="58"/>
  <c r="M28" i="58" s="1"/>
  <c r="O241" i="58"/>
  <c r="E241" i="58"/>
  <c r="O240" i="58"/>
  <c r="I240" i="58" s="1"/>
  <c r="O239" i="58"/>
  <c r="O238" i="58"/>
  <c r="O237" i="58"/>
  <c r="O236" i="58"/>
  <c r="O235" i="58"/>
  <c r="O234" i="58"/>
  <c r="O233" i="58"/>
  <c r="O232" i="58"/>
  <c r="O231" i="58"/>
  <c r="O230" i="58"/>
  <c r="I230" i="58" s="1"/>
  <c r="O229" i="58"/>
  <c r="I229" i="58" s="1"/>
  <c r="O228" i="58"/>
  <c r="I228" i="58" s="1"/>
  <c r="O227" i="58"/>
  <c r="I227" i="58" s="1"/>
  <c r="O226" i="58"/>
  <c r="E226" i="58"/>
  <c r="O225" i="58"/>
  <c r="I225" i="58" s="1"/>
  <c r="O224" i="58"/>
  <c r="O223" i="58"/>
  <c r="O222" i="58"/>
  <c r="O221" i="58"/>
  <c r="O220" i="58"/>
  <c r="O219" i="58"/>
  <c r="O218" i="58"/>
  <c r="O217" i="58"/>
  <c r="O216" i="58"/>
  <c r="I216" i="58" s="1"/>
  <c r="O215" i="58"/>
  <c r="I215" i="58" s="1"/>
  <c r="O214" i="58"/>
  <c r="I214" i="58" s="1"/>
  <c r="O213" i="58"/>
  <c r="I213" i="58" s="1"/>
  <c r="O212" i="58"/>
  <c r="I212" i="58" s="1"/>
  <c r="M211" i="58"/>
  <c r="M26" i="58" s="1"/>
  <c r="O211" i="58"/>
  <c r="E211" i="58"/>
  <c r="O210" i="58"/>
  <c r="I210" i="58" s="1"/>
  <c r="O209" i="58"/>
  <c r="O208" i="58"/>
  <c r="O207" i="58"/>
  <c r="O206" i="58"/>
  <c r="O205" i="58"/>
  <c r="M196" i="58"/>
  <c r="M25" i="58" s="1"/>
  <c r="O204" i="58"/>
  <c r="O203" i="58"/>
  <c r="O202" i="58"/>
  <c r="I202" i="58" s="1"/>
  <c r="O201" i="58"/>
  <c r="I201" i="58" s="1"/>
  <c r="O200" i="58"/>
  <c r="I200" i="58" s="1"/>
  <c r="O199" i="58"/>
  <c r="I199" i="58" s="1"/>
  <c r="O198" i="58"/>
  <c r="I198" i="58" s="1"/>
  <c r="O197" i="58"/>
  <c r="I197" i="58" s="1"/>
  <c r="O196" i="58"/>
  <c r="E196" i="58"/>
  <c r="O195" i="58"/>
  <c r="I195" i="58" s="1"/>
  <c r="O194" i="58"/>
  <c r="O193" i="58"/>
  <c r="O192" i="58"/>
  <c r="O191" i="58"/>
  <c r="O190" i="58"/>
  <c r="O189" i="58"/>
  <c r="O188" i="58"/>
  <c r="O187" i="58"/>
  <c r="O186" i="58"/>
  <c r="I186" i="58" s="1"/>
  <c r="O185" i="58"/>
  <c r="I185" i="58" s="1"/>
  <c r="O184" i="58"/>
  <c r="I184" i="58" s="1"/>
  <c r="O183" i="58"/>
  <c r="I183" i="58" s="1"/>
  <c r="O182" i="58"/>
  <c r="I182" i="58" s="1"/>
  <c r="O181" i="58"/>
  <c r="M181" i="58"/>
  <c r="M24" i="58" s="1"/>
  <c r="E181" i="58"/>
  <c r="O180" i="58"/>
  <c r="I180" i="58" s="1"/>
  <c r="O179" i="58"/>
  <c r="O178" i="58"/>
  <c r="O177" i="58"/>
  <c r="O176" i="58"/>
  <c r="O175" i="58"/>
  <c r="I175" i="58" s="1"/>
  <c r="O174" i="58"/>
  <c r="I174" i="58" s="1"/>
  <c r="O173" i="58"/>
  <c r="I173" i="58" s="1"/>
  <c r="O172" i="58"/>
  <c r="I172" i="58" s="1"/>
  <c r="O171" i="58"/>
  <c r="I171" i="58" s="1"/>
  <c r="O170" i="58"/>
  <c r="I170" i="58" s="1"/>
  <c r="O169" i="58"/>
  <c r="I169" i="58" s="1"/>
  <c r="O168" i="58"/>
  <c r="I168" i="58" s="1"/>
  <c r="O167" i="58"/>
  <c r="I167" i="58" s="1"/>
  <c r="O166" i="58"/>
  <c r="E166" i="58"/>
  <c r="O165" i="58"/>
  <c r="I165" i="58" s="1"/>
  <c r="O164" i="58"/>
  <c r="O163" i="58"/>
  <c r="O162" i="58"/>
  <c r="O161" i="58"/>
  <c r="O160" i="58"/>
  <c r="O159" i="58"/>
  <c r="O158" i="58"/>
  <c r="O157" i="58"/>
  <c r="O156" i="58"/>
  <c r="O155" i="58"/>
  <c r="I155" i="58" s="1"/>
  <c r="O154" i="58"/>
  <c r="I154" i="58" s="1"/>
  <c r="O153" i="58"/>
  <c r="I153" i="58" s="1"/>
  <c r="O152" i="58"/>
  <c r="I152" i="58" s="1"/>
  <c r="M151" i="58"/>
  <c r="M22" i="58" s="1"/>
  <c r="O151" i="58"/>
  <c r="E151" i="58"/>
  <c r="O150" i="58"/>
  <c r="I150" i="58" s="1"/>
  <c r="O149" i="58"/>
  <c r="O148" i="58"/>
  <c r="O147" i="58"/>
  <c r="I147" i="58" s="1"/>
  <c r="J147" i="58" s="1"/>
  <c r="O146" i="58"/>
  <c r="O145" i="58"/>
  <c r="I145" i="58" s="1"/>
  <c r="O144" i="58"/>
  <c r="I144" i="58" s="1"/>
  <c r="O143" i="58"/>
  <c r="I143" i="58" s="1"/>
  <c r="O142" i="58"/>
  <c r="I142" i="58" s="1"/>
  <c r="O141" i="58"/>
  <c r="I141" i="58" s="1"/>
  <c r="O140" i="58"/>
  <c r="I140" i="58" s="1"/>
  <c r="O139" i="58"/>
  <c r="I139" i="58" s="1"/>
  <c r="O138" i="58"/>
  <c r="I138" i="58" s="1"/>
  <c r="O137" i="58"/>
  <c r="I137" i="58" s="1"/>
  <c r="O136" i="58"/>
  <c r="M136" i="58"/>
  <c r="M21" i="58" s="1"/>
  <c r="E136" i="58"/>
  <c r="O135" i="58"/>
  <c r="I135" i="58" s="1"/>
  <c r="O134" i="58"/>
  <c r="O133" i="58"/>
  <c r="O132" i="58"/>
  <c r="I132" i="58" s="1"/>
  <c r="O131" i="58"/>
  <c r="I131" i="58" s="1"/>
  <c r="O130" i="58"/>
  <c r="I130" i="58" s="1"/>
  <c r="O129" i="58"/>
  <c r="I129" i="58" s="1"/>
  <c r="O128" i="58"/>
  <c r="I128" i="58" s="1"/>
  <c r="O127" i="58"/>
  <c r="I127" i="58" s="1"/>
  <c r="O126" i="58"/>
  <c r="I126" i="58" s="1"/>
  <c r="O125" i="58"/>
  <c r="I125" i="58" s="1"/>
  <c r="O124" i="58"/>
  <c r="I124" i="58" s="1"/>
  <c r="O123" i="58"/>
  <c r="I123" i="58" s="1"/>
  <c r="O122" i="58"/>
  <c r="I122" i="58" s="1"/>
  <c r="O121" i="58"/>
  <c r="M121" i="58"/>
  <c r="M20" i="58" s="1"/>
  <c r="E121" i="58"/>
  <c r="O120" i="58"/>
  <c r="I120" i="58" s="1"/>
  <c r="O119" i="58"/>
  <c r="O118" i="58"/>
  <c r="O117" i="58"/>
  <c r="O116" i="58"/>
  <c r="O115" i="58"/>
  <c r="O114" i="58"/>
  <c r="O113" i="58"/>
  <c r="O112" i="58"/>
  <c r="O111" i="58"/>
  <c r="O110" i="58"/>
  <c r="I110" i="58" s="1"/>
  <c r="O109" i="58"/>
  <c r="I109" i="58" s="1"/>
  <c r="O108" i="58"/>
  <c r="I108" i="58" s="1"/>
  <c r="O107" i="58"/>
  <c r="I107" i="58" s="1"/>
  <c r="O106" i="58"/>
  <c r="M106" i="58"/>
  <c r="M19" i="58" s="1"/>
  <c r="E106" i="58"/>
  <c r="E19" i="58" s="1"/>
  <c r="K19" i="58" s="1"/>
  <c r="O105" i="58"/>
  <c r="I105" i="58" s="1"/>
  <c r="O104" i="58"/>
  <c r="O103" i="58"/>
  <c r="O102" i="58"/>
  <c r="I102" i="58" s="1"/>
  <c r="O101" i="58"/>
  <c r="I101" i="58" s="1"/>
  <c r="O98" i="58"/>
  <c r="I98" i="58" s="1"/>
  <c r="O97" i="58"/>
  <c r="I97" i="58" s="1"/>
  <c r="O96" i="58"/>
  <c r="I96" i="58" s="1"/>
  <c r="O95" i="58"/>
  <c r="I95" i="58" s="1"/>
  <c r="O94" i="58"/>
  <c r="I94" i="58" s="1"/>
  <c r="O93" i="58"/>
  <c r="I93" i="58" s="1"/>
  <c r="O92" i="58"/>
  <c r="I92" i="58" s="1"/>
  <c r="O91" i="58"/>
  <c r="I91" i="58" s="1"/>
  <c r="O90" i="58"/>
  <c r="I90" i="58" s="1"/>
  <c r="O89" i="58"/>
  <c r="E89" i="58"/>
  <c r="E18" i="58" s="1"/>
  <c r="K18" i="58" s="1"/>
  <c r="O88" i="58"/>
  <c r="I88" i="58" s="1"/>
  <c r="O87" i="58"/>
  <c r="O86" i="58"/>
  <c r="O85" i="58"/>
  <c r="O84" i="58"/>
  <c r="O83" i="58"/>
  <c r="O82" i="58"/>
  <c r="O81" i="58"/>
  <c r="I81" i="58" s="1"/>
  <c r="O80" i="58"/>
  <c r="I80" i="58" s="1"/>
  <c r="O79" i="58"/>
  <c r="I79" i="58" s="1"/>
  <c r="O78" i="58"/>
  <c r="I78" i="58" s="1"/>
  <c r="O77" i="58"/>
  <c r="I77" i="58" s="1"/>
  <c r="O76" i="58"/>
  <c r="I76" i="58" s="1"/>
  <c r="O75" i="58"/>
  <c r="I75" i="58" s="1"/>
  <c r="O74" i="58"/>
  <c r="E74" i="58"/>
  <c r="O73" i="58"/>
  <c r="I73" i="58" s="1"/>
  <c r="O72" i="58"/>
  <c r="O71" i="58"/>
  <c r="O70" i="58"/>
  <c r="I70" i="58" s="1"/>
  <c r="O69" i="58"/>
  <c r="I69" i="58" s="1"/>
  <c r="O68" i="58"/>
  <c r="I68" i="58" s="1"/>
  <c r="O67" i="58"/>
  <c r="I67" i="58" s="1"/>
  <c r="O66" i="58"/>
  <c r="I66" i="58" s="1"/>
  <c r="O65" i="58"/>
  <c r="I65" i="58" s="1"/>
  <c r="O64" i="58"/>
  <c r="I64" i="58" s="1"/>
  <c r="O63" i="58"/>
  <c r="I63" i="58" s="1"/>
  <c r="O62" i="58"/>
  <c r="I62" i="58" s="1"/>
  <c r="O61" i="58"/>
  <c r="I61" i="58" s="1"/>
  <c r="O60" i="58"/>
  <c r="I60" i="58" s="1"/>
  <c r="M59" i="58"/>
  <c r="M16" i="58" s="1"/>
  <c r="O59" i="58"/>
  <c r="E59" i="58"/>
  <c r="O58" i="58"/>
  <c r="I58" i="58" s="1"/>
  <c r="O57" i="58"/>
  <c r="O56" i="58"/>
  <c r="O55" i="58"/>
  <c r="O54" i="58"/>
  <c r="O53" i="58"/>
  <c r="O52" i="58"/>
  <c r="O51" i="58"/>
  <c r="I51" i="58" s="1"/>
  <c r="O50" i="58"/>
  <c r="I50" i="58" s="1"/>
  <c r="O49" i="58"/>
  <c r="I49" i="58" s="1"/>
  <c r="O48" i="58"/>
  <c r="I48" i="58" s="1"/>
  <c r="O47" i="58"/>
  <c r="I47" i="58" s="1"/>
  <c r="O46" i="58"/>
  <c r="I46" i="58" s="1"/>
  <c r="O45" i="58"/>
  <c r="I45" i="58" s="1"/>
  <c r="O44" i="58"/>
  <c r="E44" i="58"/>
  <c r="E15" i="58" s="1"/>
  <c r="M5" i="58"/>
  <c r="A5" i="58"/>
  <c r="A2" i="58"/>
  <c r="O413" i="57"/>
  <c r="I413" i="57" s="1"/>
  <c r="M413" i="57"/>
  <c r="O412" i="57"/>
  <c r="O411" i="57"/>
  <c r="O410" i="57"/>
  <c r="O409" i="57"/>
  <c r="O408" i="57"/>
  <c r="O407" i="57"/>
  <c r="I407" i="57" s="1"/>
  <c r="M407" i="57"/>
  <c r="E406" i="57"/>
  <c r="E351" i="57" s="1"/>
  <c r="M351" i="57" s="1"/>
  <c r="E398" i="57"/>
  <c r="E350" i="57" s="1"/>
  <c r="M350" i="57" s="1"/>
  <c r="O360" i="57"/>
  <c r="O359" i="57"/>
  <c r="O358" i="57"/>
  <c r="I358" i="57" s="1"/>
  <c r="O357" i="57"/>
  <c r="I357" i="57" s="1"/>
  <c r="O356" i="57"/>
  <c r="I356" i="57" s="1"/>
  <c r="O355" i="57"/>
  <c r="I355" i="57" s="1"/>
  <c r="O354" i="57"/>
  <c r="I354" i="57" s="1"/>
  <c r="O353" i="57"/>
  <c r="I353" i="57" s="1"/>
  <c r="O352" i="57"/>
  <c r="I352" i="57" s="1"/>
  <c r="O351" i="57"/>
  <c r="I351" i="57" s="1"/>
  <c r="O350" i="57"/>
  <c r="I350" i="57" s="1"/>
  <c r="O349" i="57"/>
  <c r="I349" i="57" s="1"/>
  <c r="F349" i="57"/>
  <c r="O348" i="57"/>
  <c r="I348" i="57" s="1"/>
  <c r="F348" i="57"/>
  <c r="O347" i="57"/>
  <c r="O346" i="57"/>
  <c r="I346" i="57" s="1"/>
  <c r="O345" i="57"/>
  <c r="O344" i="57"/>
  <c r="O343" i="57"/>
  <c r="O342" i="57"/>
  <c r="O341" i="57"/>
  <c r="O340" i="57"/>
  <c r="I340" i="57" s="1"/>
  <c r="O339" i="57"/>
  <c r="O338" i="57"/>
  <c r="O337" i="57"/>
  <c r="O336" i="57"/>
  <c r="O335" i="57"/>
  <c r="O334" i="57"/>
  <c r="O333" i="57"/>
  <c r="I333" i="57" s="1"/>
  <c r="O331" i="57"/>
  <c r="O330" i="57"/>
  <c r="I330" i="57" s="1"/>
  <c r="O329" i="57"/>
  <c r="O328" i="57"/>
  <c r="O327" i="57"/>
  <c r="O326" i="57"/>
  <c r="O325" i="57"/>
  <c r="O324" i="57"/>
  <c r="O323" i="57"/>
  <c r="O322" i="57"/>
  <c r="O321" i="57"/>
  <c r="O320" i="57"/>
  <c r="I320" i="57" s="1"/>
  <c r="O319" i="57"/>
  <c r="I319" i="57" s="1"/>
  <c r="O318" i="57"/>
  <c r="I318" i="57" s="1"/>
  <c r="O317" i="57"/>
  <c r="I317" i="57" s="1"/>
  <c r="O316" i="57"/>
  <c r="E316" i="57"/>
  <c r="E33" i="57" s="1"/>
  <c r="O315" i="57"/>
  <c r="I315" i="57" s="1"/>
  <c r="O314" i="57"/>
  <c r="O313" i="57"/>
  <c r="O312" i="57"/>
  <c r="O311" i="57"/>
  <c r="O310" i="57"/>
  <c r="O309" i="57"/>
  <c r="O308" i="57"/>
  <c r="I308" i="57" s="1"/>
  <c r="O307" i="57"/>
  <c r="I307" i="57" s="1"/>
  <c r="O306" i="57"/>
  <c r="I306" i="57" s="1"/>
  <c r="O305" i="57"/>
  <c r="I305" i="57" s="1"/>
  <c r="O304" i="57"/>
  <c r="I304" i="57" s="1"/>
  <c r="O303" i="57"/>
  <c r="I303" i="57" s="1"/>
  <c r="O302" i="57"/>
  <c r="I302" i="57" s="1"/>
  <c r="O301" i="57"/>
  <c r="E301" i="57"/>
  <c r="O300" i="57"/>
  <c r="I300" i="57" s="1"/>
  <c r="O299" i="57"/>
  <c r="O298" i="57"/>
  <c r="O297" i="57"/>
  <c r="O296" i="57"/>
  <c r="O295" i="57"/>
  <c r="I295" i="57" s="1"/>
  <c r="O294" i="57"/>
  <c r="I294" i="57" s="1"/>
  <c r="O293" i="57"/>
  <c r="I293" i="57" s="1"/>
  <c r="O292" i="57"/>
  <c r="I292" i="57" s="1"/>
  <c r="O291" i="57"/>
  <c r="I291" i="57" s="1"/>
  <c r="O290" i="57"/>
  <c r="I290" i="57" s="1"/>
  <c r="O289" i="57"/>
  <c r="I289" i="57" s="1"/>
  <c r="O288" i="57"/>
  <c r="I288" i="57" s="1"/>
  <c r="O287" i="57"/>
  <c r="I287" i="57" s="1"/>
  <c r="O286" i="57"/>
  <c r="E286" i="57"/>
  <c r="E31" i="57" s="1"/>
  <c r="O285" i="57"/>
  <c r="I285" i="57" s="1"/>
  <c r="O284" i="57"/>
  <c r="O283" i="57"/>
  <c r="O282" i="57"/>
  <c r="O281" i="57"/>
  <c r="I281" i="57" s="1"/>
  <c r="O280" i="57"/>
  <c r="I280" i="57" s="1"/>
  <c r="O279" i="57"/>
  <c r="I279" i="57" s="1"/>
  <c r="O278" i="57"/>
  <c r="I278" i="57" s="1"/>
  <c r="O277" i="57"/>
  <c r="I277" i="57" s="1"/>
  <c r="O276" i="57"/>
  <c r="I276" i="57" s="1"/>
  <c r="O275" i="57"/>
  <c r="I275" i="57" s="1"/>
  <c r="O274" i="57"/>
  <c r="I274" i="57" s="1"/>
  <c r="O273" i="57"/>
  <c r="I273" i="57" s="1"/>
  <c r="O272" i="57"/>
  <c r="I272" i="57" s="1"/>
  <c r="O271" i="57"/>
  <c r="E271" i="57"/>
  <c r="E30" i="57" s="1"/>
  <c r="O270" i="57"/>
  <c r="I270" i="57" s="1"/>
  <c r="O269" i="57"/>
  <c r="O268" i="57"/>
  <c r="O267" i="57"/>
  <c r="O266" i="57"/>
  <c r="O265" i="57"/>
  <c r="O264" i="57"/>
  <c r="O263" i="57"/>
  <c r="O262" i="57"/>
  <c r="O261" i="57"/>
  <c r="I261" i="57" s="1"/>
  <c r="O260" i="57"/>
  <c r="I260" i="57" s="1"/>
  <c r="O259" i="57"/>
  <c r="I259" i="57" s="1"/>
  <c r="O258" i="57"/>
  <c r="I258" i="57" s="1"/>
  <c r="O257" i="57"/>
  <c r="I257" i="57" s="1"/>
  <c r="O256" i="57"/>
  <c r="E256" i="57"/>
  <c r="E29" i="57" s="1"/>
  <c r="O255" i="57"/>
  <c r="I255" i="57" s="1"/>
  <c r="O254" i="57"/>
  <c r="O253" i="57"/>
  <c r="O252" i="57"/>
  <c r="O251" i="57"/>
  <c r="O250" i="57"/>
  <c r="O249" i="57"/>
  <c r="I249" i="57" s="1"/>
  <c r="O248" i="57"/>
  <c r="I248" i="57" s="1"/>
  <c r="O247" i="57"/>
  <c r="I247" i="57" s="1"/>
  <c r="O246" i="57"/>
  <c r="I246" i="57" s="1"/>
  <c r="O245" i="57"/>
  <c r="I245" i="57" s="1"/>
  <c r="O244" i="57"/>
  <c r="I244" i="57" s="1"/>
  <c r="O243" i="57"/>
  <c r="I243" i="57" s="1"/>
  <c r="O242" i="57"/>
  <c r="I242" i="57" s="1"/>
  <c r="O241" i="57"/>
  <c r="E241" i="57"/>
  <c r="O240" i="57"/>
  <c r="I240" i="57" s="1"/>
  <c r="O239" i="57"/>
  <c r="O238" i="57"/>
  <c r="O237" i="57"/>
  <c r="O236" i="57"/>
  <c r="O235" i="57"/>
  <c r="O234" i="57"/>
  <c r="O233" i="57"/>
  <c r="O232" i="57"/>
  <c r="O231" i="57"/>
  <c r="O230" i="57"/>
  <c r="I230" i="57" s="1"/>
  <c r="O229" i="57"/>
  <c r="I229" i="57" s="1"/>
  <c r="O228" i="57"/>
  <c r="I228" i="57" s="1"/>
  <c r="O227" i="57"/>
  <c r="I227" i="57" s="1"/>
  <c r="O226" i="57"/>
  <c r="E226" i="57"/>
  <c r="O225" i="57"/>
  <c r="I225" i="57" s="1"/>
  <c r="O224" i="57"/>
  <c r="O223" i="57"/>
  <c r="O222" i="57"/>
  <c r="O221" i="57"/>
  <c r="O220" i="57"/>
  <c r="O219" i="57"/>
  <c r="O218" i="57"/>
  <c r="O217" i="57"/>
  <c r="O216" i="57"/>
  <c r="I216" i="57" s="1"/>
  <c r="O215" i="57"/>
  <c r="I215" i="57" s="1"/>
  <c r="O214" i="57"/>
  <c r="I214" i="57" s="1"/>
  <c r="O213" i="57"/>
  <c r="I213" i="57" s="1"/>
  <c r="O212" i="57"/>
  <c r="I212" i="57" s="1"/>
  <c r="O211" i="57"/>
  <c r="E211" i="57"/>
  <c r="O210" i="57"/>
  <c r="I210" i="57" s="1"/>
  <c r="O209" i="57"/>
  <c r="O208" i="57"/>
  <c r="O207" i="57"/>
  <c r="O206" i="57"/>
  <c r="O205" i="57"/>
  <c r="O204" i="57"/>
  <c r="O203" i="57"/>
  <c r="O202" i="57"/>
  <c r="I202" i="57" s="1"/>
  <c r="O201" i="57"/>
  <c r="I201" i="57" s="1"/>
  <c r="O200" i="57"/>
  <c r="I200" i="57" s="1"/>
  <c r="O199" i="57"/>
  <c r="I199" i="57" s="1"/>
  <c r="O198" i="57"/>
  <c r="I198" i="57" s="1"/>
  <c r="O197" i="57"/>
  <c r="I197" i="57" s="1"/>
  <c r="O196" i="57"/>
  <c r="E196" i="57"/>
  <c r="O195" i="57"/>
  <c r="I195" i="57" s="1"/>
  <c r="O194" i="57"/>
  <c r="O193" i="57"/>
  <c r="O192" i="57"/>
  <c r="O191" i="57"/>
  <c r="O190" i="57"/>
  <c r="O189" i="57"/>
  <c r="O188" i="57"/>
  <c r="O187" i="57"/>
  <c r="O186" i="57"/>
  <c r="I186" i="57" s="1"/>
  <c r="O185" i="57"/>
  <c r="I185" i="57" s="1"/>
  <c r="O184" i="57"/>
  <c r="I184" i="57" s="1"/>
  <c r="O183" i="57"/>
  <c r="I183" i="57" s="1"/>
  <c r="O182" i="57"/>
  <c r="I182" i="57" s="1"/>
  <c r="O181" i="57"/>
  <c r="E181" i="57"/>
  <c r="O180" i="57"/>
  <c r="I180" i="57" s="1"/>
  <c r="O179" i="57"/>
  <c r="O178" i="57"/>
  <c r="O177" i="57"/>
  <c r="O176" i="57"/>
  <c r="O175" i="57"/>
  <c r="I175" i="57" s="1"/>
  <c r="O174" i="57"/>
  <c r="I174" i="57" s="1"/>
  <c r="O173" i="57"/>
  <c r="I173" i="57" s="1"/>
  <c r="O172" i="57"/>
  <c r="I172" i="57" s="1"/>
  <c r="O171" i="57"/>
  <c r="I171" i="57" s="1"/>
  <c r="O170" i="57"/>
  <c r="I170" i="57" s="1"/>
  <c r="O169" i="57"/>
  <c r="I169" i="57" s="1"/>
  <c r="O168" i="57"/>
  <c r="I168" i="57" s="1"/>
  <c r="O167" i="57"/>
  <c r="I167" i="57" s="1"/>
  <c r="O166" i="57"/>
  <c r="E166" i="57"/>
  <c r="O165" i="57"/>
  <c r="I165" i="57" s="1"/>
  <c r="O164" i="57"/>
  <c r="O163" i="57"/>
  <c r="O162" i="57"/>
  <c r="O161" i="57"/>
  <c r="O160" i="57"/>
  <c r="O159" i="57"/>
  <c r="O158" i="57"/>
  <c r="O157" i="57"/>
  <c r="O156" i="57"/>
  <c r="O155" i="57"/>
  <c r="I155" i="57" s="1"/>
  <c r="O154" i="57"/>
  <c r="I154" i="57" s="1"/>
  <c r="O153" i="57"/>
  <c r="I153" i="57" s="1"/>
  <c r="O152" i="57"/>
  <c r="I152" i="57" s="1"/>
  <c r="O151" i="57"/>
  <c r="E151" i="57"/>
  <c r="O150" i="57"/>
  <c r="I150" i="57" s="1"/>
  <c r="O149" i="57"/>
  <c r="O148" i="57"/>
  <c r="O147" i="57"/>
  <c r="O146" i="57"/>
  <c r="O145" i="57"/>
  <c r="I145" i="57" s="1"/>
  <c r="O144" i="57"/>
  <c r="I144" i="57" s="1"/>
  <c r="O143" i="57"/>
  <c r="I143" i="57" s="1"/>
  <c r="O142" i="57"/>
  <c r="I142" i="57" s="1"/>
  <c r="O141" i="57"/>
  <c r="I141" i="57" s="1"/>
  <c r="O140" i="57"/>
  <c r="I140" i="57" s="1"/>
  <c r="O139" i="57"/>
  <c r="I139" i="57" s="1"/>
  <c r="O138" i="57"/>
  <c r="I138" i="57" s="1"/>
  <c r="O137" i="57"/>
  <c r="I137" i="57" s="1"/>
  <c r="O136" i="57"/>
  <c r="E136" i="57"/>
  <c r="O135" i="57"/>
  <c r="I135" i="57" s="1"/>
  <c r="O134" i="57"/>
  <c r="O133" i="57"/>
  <c r="O132" i="57"/>
  <c r="I132" i="57" s="1"/>
  <c r="O131" i="57"/>
  <c r="I131" i="57" s="1"/>
  <c r="O130" i="57"/>
  <c r="I130" i="57" s="1"/>
  <c r="O129" i="57"/>
  <c r="I129" i="57" s="1"/>
  <c r="O128" i="57"/>
  <c r="I128" i="57" s="1"/>
  <c r="O127" i="57"/>
  <c r="I127" i="57" s="1"/>
  <c r="O126" i="57"/>
  <c r="I126" i="57" s="1"/>
  <c r="O125" i="57"/>
  <c r="I125" i="57" s="1"/>
  <c r="O124" i="57"/>
  <c r="I124" i="57" s="1"/>
  <c r="O123" i="57"/>
  <c r="I123" i="57" s="1"/>
  <c r="O122" i="57"/>
  <c r="I122" i="57" s="1"/>
  <c r="O121" i="57"/>
  <c r="E121" i="57"/>
  <c r="E20" i="57" s="1"/>
  <c r="O120" i="57"/>
  <c r="I120" i="57" s="1"/>
  <c r="O119" i="57"/>
  <c r="O118" i="57"/>
  <c r="O117" i="57"/>
  <c r="O116" i="57"/>
  <c r="O115" i="57"/>
  <c r="O114" i="57"/>
  <c r="O113" i="57"/>
  <c r="O112" i="57"/>
  <c r="O111" i="57"/>
  <c r="O110" i="57"/>
  <c r="I110" i="57" s="1"/>
  <c r="O109" i="57"/>
  <c r="I109" i="57" s="1"/>
  <c r="O108" i="57"/>
  <c r="I108" i="57" s="1"/>
  <c r="O107" i="57"/>
  <c r="I107" i="57" s="1"/>
  <c r="O106" i="57"/>
  <c r="E106" i="57"/>
  <c r="E19" i="57" s="1"/>
  <c r="O105" i="57"/>
  <c r="I105" i="57" s="1"/>
  <c r="O104" i="57"/>
  <c r="O103" i="57"/>
  <c r="O100" i="57"/>
  <c r="I100" i="57" s="1"/>
  <c r="O99" i="57"/>
  <c r="I99" i="57" s="1"/>
  <c r="O98" i="57"/>
  <c r="I98" i="57" s="1"/>
  <c r="O97" i="57"/>
  <c r="I97" i="57" s="1"/>
  <c r="O96" i="57"/>
  <c r="I96" i="57" s="1"/>
  <c r="O95" i="57"/>
  <c r="I95" i="57" s="1"/>
  <c r="O94" i="57"/>
  <c r="I94" i="57" s="1"/>
  <c r="O93" i="57"/>
  <c r="I93" i="57" s="1"/>
  <c r="O92" i="57"/>
  <c r="I92" i="57" s="1"/>
  <c r="O91" i="57"/>
  <c r="I91" i="57" s="1"/>
  <c r="O90" i="57"/>
  <c r="I90" i="57" s="1"/>
  <c r="O89" i="57"/>
  <c r="E89" i="57"/>
  <c r="E18" i="57" s="1"/>
  <c r="O88" i="57"/>
  <c r="I88" i="57" s="1"/>
  <c r="O87" i="57"/>
  <c r="O86" i="57"/>
  <c r="O85" i="57"/>
  <c r="O84" i="57"/>
  <c r="O83" i="57"/>
  <c r="O82" i="57"/>
  <c r="O81" i="57"/>
  <c r="I81" i="57" s="1"/>
  <c r="O80" i="57"/>
  <c r="I80" i="57" s="1"/>
  <c r="O79" i="57"/>
  <c r="I79" i="57" s="1"/>
  <c r="O78" i="57"/>
  <c r="I78" i="57" s="1"/>
  <c r="O77" i="57"/>
  <c r="I77" i="57" s="1"/>
  <c r="O76" i="57"/>
  <c r="I76" i="57" s="1"/>
  <c r="O75" i="57"/>
  <c r="I75" i="57" s="1"/>
  <c r="O74" i="57"/>
  <c r="E74" i="57"/>
  <c r="O73" i="57"/>
  <c r="I73" i="57" s="1"/>
  <c r="O72" i="57"/>
  <c r="O71" i="57"/>
  <c r="O70" i="57"/>
  <c r="I70" i="57" s="1"/>
  <c r="O69" i="57"/>
  <c r="I69" i="57" s="1"/>
  <c r="O68" i="57"/>
  <c r="I68" i="57" s="1"/>
  <c r="O67" i="57"/>
  <c r="I67" i="57" s="1"/>
  <c r="O66" i="57"/>
  <c r="I66" i="57" s="1"/>
  <c r="O65" i="57"/>
  <c r="I65" i="57" s="1"/>
  <c r="O64" i="57"/>
  <c r="I64" i="57" s="1"/>
  <c r="O63" i="57"/>
  <c r="I63" i="57" s="1"/>
  <c r="O62" i="57"/>
  <c r="I62" i="57" s="1"/>
  <c r="O61" i="57"/>
  <c r="I61" i="57" s="1"/>
  <c r="O60" i="57"/>
  <c r="I60" i="57" s="1"/>
  <c r="O59" i="57"/>
  <c r="E59" i="57"/>
  <c r="O58" i="57"/>
  <c r="I58" i="57" s="1"/>
  <c r="O57" i="57"/>
  <c r="O56" i="57"/>
  <c r="O55" i="57"/>
  <c r="O54" i="57"/>
  <c r="O53" i="57"/>
  <c r="O52" i="57"/>
  <c r="O51" i="57"/>
  <c r="I51" i="57" s="1"/>
  <c r="O50" i="57"/>
  <c r="I50" i="57" s="1"/>
  <c r="O49" i="57"/>
  <c r="I49" i="57" s="1"/>
  <c r="O48" i="57"/>
  <c r="I48" i="57" s="1"/>
  <c r="O47" i="57"/>
  <c r="I47" i="57" s="1"/>
  <c r="O46" i="57"/>
  <c r="I46" i="57" s="1"/>
  <c r="O45" i="57"/>
  <c r="I45" i="57" s="1"/>
  <c r="O44" i="57"/>
  <c r="E44" i="57"/>
  <c r="E15" i="57" s="1"/>
  <c r="M5" i="57"/>
  <c r="A5" i="57"/>
  <c r="A2" i="57"/>
  <c r="H37" i="24"/>
  <c r="J37" i="24" s="1"/>
  <c r="H36" i="24"/>
  <c r="J36" i="24" s="1"/>
  <c r="H35" i="24"/>
  <c r="J35" i="24" s="1"/>
  <c r="H34" i="24"/>
  <c r="J34" i="24" s="1"/>
  <c r="H33" i="24"/>
  <c r="J33" i="24" s="1"/>
  <c r="H32" i="24"/>
  <c r="J32" i="24" s="1"/>
  <c r="H31" i="24"/>
  <c r="J31" i="24" s="1"/>
  <c r="H30" i="24"/>
  <c r="J30" i="24" s="1"/>
  <c r="H29" i="24"/>
  <c r="J29" i="24" s="1"/>
  <c r="H28" i="24"/>
  <c r="J28" i="24" s="1"/>
  <c r="H27" i="24"/>
  <c r="J27" i="24" s="1"/>
  <c r="H26" i="24"/>
  <c r="J26" i="24" s="1"/>
  <c r="H25" i="24"/>
  <c r="J25" i="24" s="1"/>
  <c r="H24" i="24"/>
  <c r="J24" i="24" s="1"/>
  <c r="H23" i="24"/>
  <c r="J23" i="24" s="1"/>
  <c r="H21" i="24"/>
  <c r="J21" i="24" s="1"/>
  <c r="H19" i="24"/>
  <c r="J19" i="24" s="1"/>
  <c r="O413" i="56"/>
  <c r="I413" i="56" s="1"/>
  <c r="M413" i="56"/>
  <c r="O412" i="56"/>
  <c r="I412" i="56" s="1"/>
  <c r="J412" i="56" s="1"/>
  <c r="O411" i="56"/>
  <c r="I411" i="56" s="1"/>
  <c r="J411" i="56" s="1"/>
  <c r="O410" i="56"/>
  <c r="I410" i="56" s="1"/>
  <c r="J410" i="56" s="1"/>
  <c r="O409" i="56"/>
  <c r="O408" i="56"/>
  <c r="O407" i="56"/>
  <c r="I407" i="56" s="1"/>
  <c r="M407" i="56"/>
  <c r="E406" i="56"/>
  <c r="E351" i="56" s="1"/>
  <c r="M351" i="56" s="1"/>
  <c r="O360" i="56"/>
  <c r="I360" i="56" s="1"/>
  <c r="J360" i="56" s="1"/>
  <c r="O359" i="56"/>
  <c r="I359" i="56" s="1"/>
  <c r="J359" i="56" s="1"/>
  <c r="O358" i="56"/>
  <c r="O357" i="56"/>
  <c r="O356" i="56"/>
  <c r="O355" i="56"/>
  <c r="O354" i="56"/>
  <c r="O353" i="56"/>
  <c r="O352" i="56"/>
  <c r="O351" i="56"/>
  <c r="O350" i="56"/>
  <c r="O349" i="56"/>
  <c r="F349" i="56"/>
  <c r="O348" i="56"/>
  <c r="F348" i="56"/>
  <c r="O347" i="56"/>
  <c r="O346" i="56"/>
  <c r="I346" i="56" s="1"/>
  <c r="O345" i="56"/>
  <c r="I345" i="56" s="1"/>
  <c r="J345" i="56" s="1"/>
  <c r="O344" i="56"/>
  <c r="I344" i="56" s="1"/>
  <c r="J344" i="56" s="1"/>
  <c r="O343" i="56"/>
  <c r="I343" i="56" s="1"/>
  <c r="J343" i="56" s="1"/>
  <c r="O342" i="56"/>
  <c r="I342" i="56" s="1"/>
  <c r="J342" i="56" s="1"/>
  <c r="O341" i="56"/>
  <c r="I341" i="56" s="1"/>
  <c r="J341" i="56" s="1"/>
  <c r="O340" i="56"/>
  <c r="O339" i="56"/>
  <c r="I339" i="56" s="1"/>
  <c r="J339" i="56" s="1"/>
  <c r="O338" i="56"/>
  <c r="I338" i="56" s="1"/>
  <c r="J338" i="56" s="1"/>
  <c r="O337" i="56"/>
  <c r="I337" i="56" s="1"/>
  <c r="J337" i="56" s="1"/>
  <c r="O336" i="56"/>
  <c r="I336" i="56" s="1"/>
  <c r="J336" i="56" s="1"/>
  <c r="O335" i="56"/>
  <c r="I335" i="56" s="1"/>
  <c r="J335" i="56" s="1"/>
  <c r="O334" i="56"/>
  <c r="I334" i="56" s="1"/>
  <c r="J334" i="56" s="1"/>
  <c r="O333" i="56"/>
  <c r="O331" i="56"/>
  <c r="O330" i="56"/>
  <c r="I330" i="56" s="1"/>
  <c r="O329" i="56"/>
  <c r="I329" i="56" s="1"/>
  <c r="J329" i="56" s="1"/>
  <c r="O328" i="56"/>
  <c r="I328" i="56" s="1"/>
  <c r="J328" i="56" s="1"/>
  <c r="O327" i="56"/>
  <c r="I327" i="56" s="1"/>
  <c r="J327" i="56" s="1"/>
  <c r="O326" i="56"/>
  <c r="I326" i="56" s="1"/>
  <c r="J326" i="56" s="1"/>
  <c r="O325" i="56"/>
  <c r="I325" i="56" s="1"/>
  <c r="J325" i="56" s="1"/>
  <c r="O324" i="56"/>
  <c r="I324" i="56" s="1"/>
  <c r="J324" i="56" s="1"/>
  <c r="O323" i="56"/>
  <c r="I323" i="56" s="1"/>
  <c r="J323" i="56" s="1"/>
  <c r="O322" i="56"/>
  <c r="I322" i="56" s="1"/>
  <c r="J322" i="56" s="1"/>
  <c r="O321" i="56"/>
  <c r="I321" i="56" s="1"/>
  <c r="J321" i="56" s="1"/>
  <c r="O320" i="56"/>
  <c r="O319" i="56"/>
  <c r="O318" i="56"/>
  <c r="O317" i="56"/>
  <c r="O316" i="56"/>
  <c r="E316" i="56"/>
  <c r="O315" i="56"/>
  <c r="I315" i="56" s="1"/>
  <c r="O314" i="56"/>
  <c r="I314" i="56" s="1"/>
  <c r="J314" i="56" s="1"/>
  <c r="O313" i="56"/>
  <c r="I313" i="56" s="1"/>
  <c r="J313" i="56" s="1"/>
  <c r="O312" i="56"/>
  <c r="I312" i="56" s="1"/>
  <c r="J312" i="56" s="1"/>
  <c r="O311" i="56"/>
  <c r="I311" i="56" s="1"/>
  <c r="J311" i="56" s="1"/>
  <c r="O310" i="56"/>
  <c r="I310" i="56" s="1"/>
  <c r="J310" i="56" s="1"/>
  <c r="O309" i="56"/>
  <c r="I309" i="56" s="1"/>
  <c r="J309" i="56" s="1"/>
  <c r="O308" i="56"/>
  <c r="O307" i="56"/>
  <c r="O306" i="56"/>
  <c r="O305" i="56"/>
  <c r="O304" i="56"/>
  <c r="O303" i="56"/>
  <c r="O302" i="56"/>
  <c r="O301" i="56"/>
  <c r="E301" i="56"/>
  <c r="O300" i="56"/>
  <c r="I300" i="56" s="1"/>
  <c r="O299" i="56"/>
  <c r="I299" i="56" s="1"/>
  <c r="J299" i="56" s="1"/>
  <c r="O298" i="56"/>
  <c r="I298" i="56" s="1"/>
  <c r="J298" i="56" s="1"/>
  <c r="O297" i="56"/>
  <c r="I297" i="56" s="1"/>
  <c r="J297" i="56" s="1"/>
  <c r="O296" i="56"/>
  <c r="I296" i="56" s="1"/>
  <c r="J296" i="56" s="1"/>
  <c r="O295" i="56"/>
  <c r="O294" i="56"/>
  <c r="O293" i="56"/>
  <c r="O292" i="56"/>
  <c r="O291" i="56"/>
  <c r="O290" i="56"/>
  <c r="O289" i="56"/>
  <c r="O288" i="56"/>
  <c r="O287" i="56"/>
  <c r="O286" i="56"/>
  <c r="E286" i="56"/>
  <c r="E31" i="56" s="1"/>
  <c r="O285" i="56"/>
  <c r="I285" i="56" s="1"/>
  <c r="O284" i="56"/>
  <c r="I284" i="56" s="1"/>
  <c r="J284" i="56" s="1"/>
  <c r="O283" i="56"/>
  <c r="I283" i="56" s="1"/>
  <c r="J283" i="56" s="1"/>
  <c r="O282" i="56"/>
  <c r="I282" i="56" s="1"/>
  <c r="J282" i="56" s="1"/>
  <c r="O281" i="56"/>
  <c r="O280" i="56"/>
  <c r="O279" i="56"/>
  <c r="O278" i="56"/>
  <c r="O277" i="56"/>
  <c r="O276" i="56"/>
  <c r="O275" i="56"/>
  <c r="O274" i="56"/>
  <c r="O273" i="56"/>
  <c r="O272" i="56"/>
  <c r="O271" i="56"/>
  <c r="E271" i="56"/>
  <c r="E30" i="56" s="1"/>
  <c r="O270" i="56"/>
  <c r="I270" i="56" s="1"/>
  <c r="O269" i="56"/>
  <c r="I269" i="56" s="1"/>
  <c r="J269" i="56" s="1"/>
  <c r="O268" i="56"/>
  <c r="I268" i="56" s="1"/>
  <c r="J268" i="56" s="1"/>
  <c r="O267" i="56"/>
  <c r="I267" i="56" s="1"/>
  <c r="J267" i="56" s="1"/>
  <c r="O266" i="56"/>
  <c r="I266" i="56" s="1"/>
  <c r="J266" i="56" s="1"/>
  <c r="O265" i="56"/>
  <c r="I265" i="56" s="1"/>
  <c r="J265" i="56" s="1"/>
  <c r="O264" i="56"/>
  <c r="I264" i="56" s="1"/>
  <c r="J264" i="56" s="1"/>
  <c r="O263" i="56"/>
  <c r="I263" i="56" s="1"/>
  <c r="J263" i="56" s="1"/>
  <c r="O262" i="56"/>
  <c r="I262" i="56" s="1"/>
  <c r="J262" i="56" s="1"/>
  <c r="O261" i="56"/>
  <c r="O260" i="56"/>
  <c r="O259" i="56"/>
  <c r="O258" i="56"/>
  <c r="O257" i="56"/>
  <c r="O256" i="56"/>
  <c r="E256" i="56"/>
  <c r="E29" i="56" s="1"/>
  <c r="O255" i="56"/>
  <c r="I255" i="56" s="1"/>
  <c r="O254" i="56"/>
  <c r="I254" i="56" s="1"/>
  <c r="J254" i="56" s="1"/>
  <c r="O253" i="56"/>
  <c r="I253" i="56" s="1"/>
  <c r="J253" i="56" s="1"/>
  <c r="O252" i="56"/>
  <c r="I252" i="56" s="1"/>
  <c r="J252" i="56" s="1"/>
  <c r="O251" i="56"/>
  <c r="I251" i="56" s="1"/>
  <c r="J251" i="56" s="1"/>
  <c r="O250" i="56"/>
  <c r="I250" i="56" s="1"/>
  <c r="J250" i="56" s="1"/>
  <c r="O249" i="56"/>
  <c r="O248" i="56"/>
  <c r="O247" i="56"/>
  <c r="O246" i="56"/>
  <c r="O245" i="56"/>
  <c r="O244" i="56"/>
  <c r="O243" i="56"/>
  <c r="O242" i="56"/>
  <c r="O241" i="56"/>
  <c r="E241" i="56"/>
  <c r="O240" i="56"/>
  <c r="I240" i="56" s="1"/>
  <c r="O239" i="56"/>
  <c r="I239" i="56" s="1"/>
  <c r="J239" i="56" s="1"/>
  <c r="O238" i="56"/>
  <c r="I238" i="56" s="1"/>
  <c r="J238" i="56" s="1"/>
  <c r="O237" i="56"/>
  <c r="I237" i="56" s="1"/>
  <c r="J237" i="56" s="1"/>
  <c r="O236" i="56"/>
  <c r="I236" i="56" s="1"/>
  <c r="J236" i="56" s="1"/>
  <c r="O235" i="56"/>
  <c r="I235" i="56" s="1"/>
  <c r="J235" i="56" s="1"/>
  <c r="O234" i="56"/>
  <c r="I234" i="56" s="1"/>
  <c r="J234" i="56" s="1"/>
  <c r="O233" i="56"/>
  <c r="I233" i="56" s="1"/>
  <c r="J233" i="56" s="1"/>
  <c r="O232" i="56"/>
  <c r="I232" i="56" s="1"/>
  <c r="J232" i="56" s="1"/>
  <c r="O231" i="56"/>
  <c r="I231" i="56" s="1"/>
  <c r="J231" i="56" s="1"/>
  <c r="O230" i="56"/>
  <c r="O229" i="56"/>
  <c r="O228" i="56"/>
  <c r="O227" i="56"/>
  <c r="O226" i="56"/>
  <c r="E226" i="56"/>
  <c r="O225" i="56"/>
  <c r="I225" i="56" s="1"/>
  <c r="O224" i="56"/>
  <c r="I224" i="56" s="1"/>
  <c r="J224" i="56" s="1"/>
  <c r="O223" i="56"/>
  <c r="I223" i="56" s="1"/>
  <c r="J223" i="56" s="1"/>
  <c r="O222" i="56"/>
  <c r="I222" i="56" s="1"/>
  <c r="J222" i="56" s="1"/>
  <c r="O221" i="56"/>
  <c r="I221" i="56" s="1"/>
  <c r="J221" i="56" s="1"/>
  <c r="O220" i="56"/>
  <c r="I220" i="56" s="1"/>
  <c r="J220" i="56" s="1"/>
  <c r="O219" i="56"/>
  <c r="I219" i="56" s="1"/>
  <c r="J219" i="56" s="1"/>
  <c r="O218" i="56"/>
  <c r="I218" i="56" s="1"/>
  <c r="J218" i="56" s="1"/>
  <c r="O217" i="56"/>
  <c r="I217" i="56" s="1"/>
  <c r="J217" i="56" s="1"/>
  <c r="O216" i="56"/>
  <c r="O215" i="56"/>
  <c r="O214" i="56"/>
  <c r="O213" i="56"/>
  <c r="O212" i="56"/>
  <c r="M211" i="56"/>
  <c r="M26" i="56" s="1"/>
  <c r="O211" i="56"/>
  <c r="E211" i="56"/>
  <c r="O210" i="56"/>
  <c r="I210" i="56" s="1"/>
  <c r="O209" i="56"/>
  <c r="I209" i="56" s="1"/>
  <c r="J209" i="56" s="1"/>
  <c r="O208" i="56"/>
  <c r="I208" i="56" s="1"/>
  <c r="J208" i="56" s="1"/>
  <c r="O207" i="56"/>
  <c r="I207" i="56" s="1"/>
  <c r="J207" i="56" s="1"/>
  <c r="O206" i="56"/>
  <c r="I206" i="56" s="1"/>
  <c r="J206" i="56" s="1"/>
  <c r="O205" i="56"/>
  <c r="I205" i="56" s="1"/>
  <c r="J205" i="56" s="1"/>
  <c r="O204" i="56"/>
  <c r="I204" i="56" s="1"/>
  <c r="J204" i="56" s="1"/>
  <c r="O203" i="56"/>
  <c r="I203" i="56" s="1"/>
  <c r="J203" i="56" s="1"/>
  <c r="O202" i="56"/>
  <c r="O201" i="56"/>
  <c r="O200" i="56"/>
  <c r="O199" i="56"/>
  <c r="O198" i="56"/>
  <c r="O197" i="56"/>
  <c r="O196" i="56"/>
  <c r="E196" i="56"/>
  <c r="O195" i="56"/>
  <c r="I195" i="56" s="1"/>
  <c r="O194" i="56"/>
  <c r="I194" i="56" s="1"/>
  <c r="J194" i="56" s="1"/>
  <c r="O193" i="56"/>
  <c r="I193" i="56" s="1"/>
  <c r="J193" i="56" s="1"/>
  <c r="O192" i="56"/>
  <c r="I192" i="56" s="1"/>
  <c r="J192" i="56" s="1"/>
  <c r="O191" i="56"/>
  <c r="I191" i="56" s="1"/>
  <c r="J191" i="56" s="1"/>
  <c r="O190" i="56"/>
  <c r="I190" i="56" s="1"/>
  <c r="J190" i="56" s="1"/>
  <c r="O189" i="56"/>
  <c r="I189" i="56" s="1"/>
  <c r="J189" i="56" s="1"/>
  <c r="O188" i="56"/>
  <c r="I188" i="56" s="1"/>
  <c r="J188" i="56" s="1"/>
  <c r="O187" i="56"/>
  <c r="I187" i="56" s="1"/>
  <c r="J187" i="56" s="1"/>
  <c r="O186" i="56"/>
  <c r="O185" i="56"/>
  <c r="O184" i="56"/>
  <c r="O183" i="56"/>
  <c r="O182" i="56"/>
  <c r="O181" i="56"/>
  <c r="E181" i="56"/>
  <c r="O180" i="56"/>
  <c r="I180" i="56" s="1"/>
  <c r="O179" i="56"/>
  <c r="I179" i="56" s="1"/>
  <c r="J179" i="56" s="1"/>
  <c r="O178" i="56"/>
  <c r="I178" i="56" s="1"/>
  <c r="J178" i="56" s="1"/>
  <c r="O177" i="56"/>
  <c r="I177" i="56" s="1"/>
  <c r="J177" i="56" s="1"/>
  <c r="O176" i="56"/>
  <c r="I176" i="56" s="1"/>
  <c r="J176" i="56" s="1"/>
  <c r="O175" i="56"/>
  <c r="O174" i="56"/>
  <c r="O173" i="56"/>
  <c r="O172" i="56"/>
  <c r="O171" i="56"/>
  <c r="O170" i="56"/>
  <c r="O169" i="56"/>
  <c r="O168" i="56"/>
  <c r="O167" i="56"/>
  <c r="O166" i="56"/>
  <c r="E166" i="56"/>
  <c r="O165" i="56"/>
  <c r="I165" i="56" s="1"/>
  <c r="O164" i="56"/>
  <c r="I164" i="56" s="1"/>
  <c r="J164" i="56" s="1"/>
  <c r="O163" i="56"/>
  <c r="I163" i="56" s="1"/>
  <c r="J163" i="56" s="1"/>
  <c r="O162" i="56"/>
  <c r="I162" i="56" s="1"/>
  <c r="J162" i="56" s="1"/>
  <c r="O161" i="56"/>
  <c r="I161" i="56" s="1"/>
  <c r="J161" i="56" s="1"/>
  <c r="O160" i="56"/>
  <c r="I160" i="56" s="1"/>
  <c r="J160" i="56" s="1"/>
  <c r="O159" i="56"/>
  <c r="I159" i="56" s="1"/>
  <c r="J159" i="56" s="1"/>
  <c r="O158" i="56"/>
  <c r="I158" i="56" s="1"/>
  <c r="J158" i="56" s="1"/>
  <c r="O157" i="56"/>
  <c r="I157" i="56" s="1"/>
  <c r="J157" i="56" s="1"/>
  <c r="O156" i="56"/>
  <c r="O155" i="56"/>
  <c r="O154" i="56"/>
  <c r="O153" i="56"/>
  <c r="O152" i="56"/>
  <c r="O151" i="56"/>
  <c r="E151" i="56"/>
  <c r="E22" i="56" s="1"/>
  <c r="O150" i="56"/>
  <c r="I150" i="56" s="1"/>
  <c r="O149" i="56"/>
  <c r="I149" i="56" s="1"/>
  <c r="J149" i="56" s="1"/>
  <c r="O148" i="56"/>
  <c r="I148" i="56" s="1"/>
  <c r="J148" i="56" s="1"/>
  <c r="O147" i="56"/>
  <c r="I147" i="56" s="1"/>
  <c r="J147" i="56" s="1"/>
  <c r="O146" i="56"/>
  <c r="O145" i="56"/>
  <c r="O144" i="56"/>
  <c r="O143" i="56"/>
  <c r="O142" i="56"/>
  <c r="O141" i="56"/>
  <c r="O140" i="56"/>
  <c r="O139" i="56"/>
  <c r="O138" i="56"/>
  <c r="O137" i="56"/>
  <c r="O136" i="56"/>
  <c r="E136" i="56"/>
  <c r="E21" i="56" s="1"/>
  <c r="O135" i="56"/>
  <c r="I135" i="56" s="1"/>
  <c r="O134" i="56"/>
  <c r="I134" i="56" s="1"/>
  <c r="J134" i="56" s="1"/>
  <c r="O133" i="56"/>
  <c r="I133" i="56" s="1"/>
  <c r="J133" i="56" s="1"/>
  <c r="O132" i="56"/>
  <c r="O131" i="56"/>
  <c r="O130" i="56"/>
  <c r="O129" i="56"/>
  <c r="O128" i="56"/>
  <c r="O127" i="56"/>
  <c r="O126" i="56"/>
  <c r="O125" i="56"/>
  <c r="O124" i="56"/>
  <c r="O123" i="56"/>
  <c r="O122" i="56"/>
  <c r="O121" i="56"/>
  <c r="E121" i="56"/>
  <c r="E20" i="56" s="1"/>
  <c r="O120" i="56"/>
  <c r="I120" i="56" s="1"/>
  <c r="O119" i="56"/>
  <c r="I119" i="56" s="1"/>
  <c r="J119" i="56" s="1"/>
  <c r="O118" i="56"/>
  <c r="I118" i="56" s="1"/>
  <c r="J118" i="56" s="1"/>
  <c r="O117" i="56"/>
  <c r="I117" i="56" s="1"/>
  <c r="J117" i="56" s="1"/>
  <c r="O116" i="56"/>
  <c r="I116" i="56" s="1"/>
  <c r="J116" i="56" s="1"/>
  <c r="O115" i="56"/>
  <c r="I115" i="56" s="1"/>
  <c r="J115" i="56" s="1"/>
  <c r="O114" i="56"/>
  <c r="I114" i="56" s="1"/>
  <c r="J114" i="56" s="1"/>
  <c r="O113" i="56"/>
  <c r="I113" i="56" s="1"/>
  <c r="J113" i="56" s="1"/>
  <c r="O112" i="56"/>
  <c r="I112" i="56" s="1"/>
  <c r="J112" i="56" s="1"/>
  <c r="O111" i="56"/>
  <c r="O110" i="56"/>
  <c r="O109" i="56"/>
  <c r="O108" i="56"/>
  <c r="O107" i="56"/>
  <c r="O106" i="56"/>
  <c r="E106" i="56"/>
  <c r="E19" i="56" s="1"/>
  <c r="O105" i="56"/>
  <c r="I105" i="56" s="1"/>
  <c r="O104" i="56"/>
  <c r="I104" i="56" s="1"/>
  <c r="J104" i="56" s="1"/>
  <c r="O103" i="56"/>
  <c r="O102" i="56"/>
  <c r="O101" i="56"/>
  <c r="O100" i="56"/>
  <c r="O99" i="56"/>
  <c r="O98" i="56"/>
  <c r="O95" i="56"/>
  <c r="O93" i="56"/>
  <c r="O92" i="56"/>
  <c r="O91" i="56"/>
  <c r="O90" i="56"/>
  <c r="O89" i="56"/>
  <c r="E89" i="56"/>
  <c r="E18" i="56" s="1"/>
  <c r="O88" i="56"/>
  <c r="I88" i="56" s="1"/>
  <c r="O87" i="56"/>
  <c r="I87" i="56" s="1"/>
  <c r="J87" i="56" s="1"/>
  <c r="O86" i="56"/>
  <c r="I86" i="56" s="1"/>
  <c r="J86" i="56" s="1"/>
  <c r="O85" i="56"/>
  <c r="I85" i="56" s="1"/>
  <c r="J85" i="56" s="1"/>
  <c r="O84" i="56"/>
  <c r="I84" i="56" s="1"/>
  <c r="J84" i="56" s="1"/>
  <c r="O83" i="56"/>
  <c r="I83" i="56" s="1"/>
  <c r="J83" i="56" s="1"/>
  <c r="O82" i="56"/>
  <c r="O81" i="56"/>
  <c r="O80" i="56"/>
  <c r="O79" i="56"/>
  <c r="O78" i="56"/>
  <c r="O77" i="56"/>
  <c r="O76" i="56"/>
  <c r="O75" i="56"/>
  <c r="O74" i="56"/>
  <c r="E74" i="56"/>
  <c r="E17" i="56" s="1"/>
  <c r="O73" i="56"/>
  <c r="I73" i="56" s="1"/>
  <c r="O72" i="56"/>
  <c r="I72" i="56" s="1"/>
  <c r="J72" i="56" s="1"/>
  <c r="O71" i="56"/>
  <c r="O70" i="56"/>
  <c r="O69" i="56"/>
  <c r="O68" i="56"/>
  <c r="O67" i="56"/>
  <c r="O66" i="56"/>
  <c r="O65" i="56"/>
  <c r="O64" i="56"/>
  <c r="O63" i="56"/>
  <c r="O62" i="56"/>
  <c r="O61" i="56"/>
  <c r="O60" i="56"/>
  <c r="O59" i="56"/>
  <c r="E59" i="56"/>
  <c r="E16" i="56" s="1"/>
  <c r="O58" i="56"/>
  <c r="I58" i="56" s="1"/>
  <c r="O57" i="56"/>
  <c r="I57" i="56" s="1"/>
  <c r="J57" i="56" s="1"/>
  <c r="O56" i="56"/>
  <c r="I56" i="56" s="1"/>
  <c r="J56" i="56" s="1"/>
  <c r="O55" i="56"/>
  <c r="I55" i="56" s="1"/>
  <c r="J55" i="56" s="1"/>
  <c r="O54" i="56"/>
  <c r="I54" i="56" s="1"/>
  <c r="J54" i="56" s="1"/>
  <c r="O53" i="56"/>
  <c r="I53" i="56" s="1"/>
  <c r="J53" i="56" s="1"/>
  <c r="O52" i="56"/>
  <c r="O51" i="56"/>
  <c r="O50" i="56"/>
  <c r="O49" i="56"/>
  <c r="O48" i="56"/>
  <c r="O47" i="56"/>
  <c r="O46" i="56"/>
  <c r="O45" i="56"/>
  <c r="O44" i="56"/>
  <c r="E44" i="56"/>
  <c r="I9" i="56"/>
  <c r="M5" i="56"/>
  <c r="A5" i="56"/>
  <c r="A2" i="56"/>
  <c r="E60" i="53"/>
  <c r="D60" i="53"/>
  <c r="A60" i="53"/>
  <c r="G51" i="7" s="1"/>
  <c r="G54" i="7" s="1"/>
  <c r="E29" i="53"/>
  <c r="D29" i="53"/>
  <c r="A29" i="53"/>
  <c r="E28" i="53"/>
  <c r="E24" i="53"/>
  <c r="D24" i="53"/>
  <c r="A24" i="53"/>
  <c r="E20" i="53"/>
  <c r="D20" i="53"/>
  <c r="A20" i="53"/>
  <c r="E73" i="53"/>
  <c r="D60" i="52"/>
  <c r="A60" i="52"/>
  <c r="F51" i="7" s="1"/>
  <c r="F54" i="7" s="1"/>
  <c r="E29" i="52"/>
  <c r="D29" i="52"/>
  <c r="A29" i="52"/>
  <c r="E28" i="52"/>
  <c r="E24" i="52"/>
  <c r="D24" i="52"/>
  <c r="A24" i="52"/>
  <c r="E20" i="52"/>
  <c r="D20" i="52"/>
  <c r="A20" i="52"/>
  <c r="E73" i="52"/>
  <c r="E60" i="47"/>
  <c r="D60" i="47"/>
  <c r="A60" i="47"/>
  <c r="E51" i="7" s="1"/>
  <c r="E54" i="7" s="1"/>
  <c r="D29" i="47"/>
  <c r="E29" i="47" s="1"/>
  <c r="A29" i="47"/>
  <c r="E24" i="47"/>
  <c r="D24" i="47"/>
  <c r="E20" i="47"/>
  <c r="D20" i="47"/>
  <c r="D60" i="45"/>
  <c r="D24" i="45"/>
  <c r="D20" i="45"/>
  <c r="A24" i="47"/>
  <c r="A20" i="47"/>
  <c r="E73" i="47"/>
  <c r="E73" i="45"/>
  <c r="A60" i="45"/>
  <c r="D51" i="7" s="1"/>
  <c r="I96" i="56" l="1"/>
  <c r="J96" i="56" s="1"/>
  <c r="I97" i="56"/>
  <c r="J97" i="56" s="1"/>
  <c r="I94" i="56"/>
  <c r="J94" i="56" s="1"/>
  <c r="I164" i="57"/>
  <c r="J164" i="57" s="1"/>
  <c r="I254" i="57"/>
  <c r="J254" i="57" s="1"/>
  <c r="I269" i="57"/>
  <c r="J269" i="57" s="1"/>
  <c r="I284" i="57"/>
  <c r="J284" i="57" s="1"/>
  <c r="I299" i="57"/>
  <c r="J299" i="57" s="1"/>
  <c r="I321" i="57"/>
  <c r="J321" i="57" s="1"/>
  <c r="I338" i="57"/>
  <c r="J338" i="57" s="1"/>
  <c r="I360" i="57"/>
  <c r="J360" i="57" s="1"/>
  <c r="I52" i="58"/>
  <c r="J52" i="58" s="1"/>
  <c r="I218" i="58"/>
  <c r="J218" i="58" s="1"/>
  <c r="I262" i="58"/>
  <c r="J262" i="58" s="1"/>
  <c r="I157" i="57"/>
  <c r="J157" i="57" s="1"/>
  <c r="I187" i="57"/>
  <c r="J187" i="57" s="1"/>
  <c r="I217" i="57"/>
  <c r="J217" i="57" s="1"/>
  <c r="I232" i="57"/>
  <c r="J232" i="57" s="1"/>
  <c r="I82" i="58"/>
  <c r="J82" i="58" s="1"/>
  <c r="I162" i="58"/>
  <c r="J162" i="58" s="1"/>
  <c r="I177" i="58"/>
  <c r="J177" i="58" s="1"/>
  <c r="I191" i="58"/>
  <c r="J191" i="58" s="1"/>
  <c r="I205" i="58"/>
  <c r="J205" i="58" s="1"/>
  <c r="I322" i="58"/>
  <c r="J322" i="58" s="1"/>
  <c r="I233" i="57"/>
  <c r="J233" i="57" s="1"/>
  <c r="I220" i="58"/>
  <c r="J220" i="58" s="1"/>
  <c r="I235" i="58"/>
  <c r="J235" i="58" s="1"/>
  <c r="I323" i="58"/>
  <c r="J323" i="58" s="1"/>
  <c r="I82" i="57"/>
  <c r="J82" i="57" s="1"/>
  <c r="I159" i="57"/>
  <c r="J159" i="57" s="1"/>
  <c r="I189" i="57"/>
  <c r="J189" i="57" s="1"/>
  <c r="I204" i="57"/>
  <c r="J204" i="57" s="1"/>
  <c r="I324" i="57"/>
  <c r="J324" i="57" s="1"/>
  <c r="I156" i="58"/>
  <c r="J156" i="58" s="1"/>
  <c r="I265" i="58"/>
  <c r="J265" i="58" s="1"/>
  <c r="I53" i="57"/>
  <c r="J53" i="57" s="1"/>
  <c r="I83" i="57"/>
  <c r="J83" i="57" s="1"/>
  <c r="I115" i="57"/>
  <c r="J115" i="57" s="1"/>
  <c r="I160" i="57"/>
  <c r="J160" i="57" s="1"/>
  <c r="I190" i="57"/>
  <c r="J190" i="57" s="1"/>
  <c r="I205" i="57"/>
  <c r="J205" i="57" s="1"/>
  <c r="I220" i="57"/>
  <c r="J220" i="57" s="1"/>
  <c r="I235" i="57"/>
  <c r="J235" i="57" s="1"/>
  <c r="I250" i="57"/>
  <c r="J250" i="57" s="1"/>
  <c r="I265" i="57"/>
  <c r="J265" i="57" s="1"/>
  <c r="I310" i="57"/>
  <c r="J310" i="57" s="1"/>
  <c r="I325" i="57"/>
  <c r="J325" i="57" s="1"/>
  <c r="I334" i="57"/>
  <c r="J334" i="57" s="1"/>
  <c r="I342" i="57"/>
  <c r="J342" i="57" s="1"/>
  <c r="I56" i="58"/>
  <c r="J56" i="58" s="1"/>
  <c r="I85" i="58"/>
  <c r="J85" i="58" s="1"/>
  <c r="I116" i="58"/>
  <c r="J116" i="58" s="1"/>
  <c r="I157" i="58"/>
  <c r="J157" i="58" s="1"/>
  <c r="I194" i="58"/>
  <c r="J194" i="58" s="1"/>
  <c r="I208" i="58"/>
  <c r="J208" i="58" s="1"/>
  <c r="I222" i="58"/>
  <c r="J222" i="58" s="1"/>
  <c r="I237" i="58"/>
  <c r="J237" i="58" s="1"/>
  <c r="I251" i="58"/>
  <c r="J251" i="58" s="1"/>
  <c r="I266" i="58"/>
  <c r="J266" i="58" s="1"/>
  <c r="I296" i="58"/>
  <c r="J296" i="58" s="1"/>
  <c r="I310" i="58"/>
  <c r="J310" i="58" s="1"/>
  <c r="I325" i="58"/>
  <c r="J325" i="58" s="1"/>
  <c r="I334" i="58"/>
  <c r="J334" i="58" s="1"/>
  <c r="I342" i="58"/>
  <c r="J342" i="58" s="1"/>
  <c r="E365" i="59"/>
  <c r="I149" i="57"/>
  <c r="J149" i="57" s="1"/>
  <c r="I209" i="57"/>
  <c r="J209" i="57" s="1"/>
  <c r="I239" i="57"/>
  <c r="J239" i="57" s="1"/>
  <c r="I321" i="58"/>
  <c r="J321" i="58" s="1"/>
  <c r="I338" i="58"/>
  <c r="J338" i="58" s="1"/>
  <c r="I322" i="57"/>
  <c r="J322" i="57" s="1"/>
  <c r="I412" i="57"/>
  <c r="J412" i="57" s="1"/>
  <c r="I53" i="58"/>
  <c r="J53" i="58" s="1"/>
  <c r="I148" i="58"/>
  <c r="J148" i="58" s="1"/>
  <c r="I323" i="57"/>
  <c r="J323" i="57" s="1"/>
  <c r="I83" i="58"/>
  <c r="J83" i="58" s="1"/>
  <c r="I178" i="58"/>
  <c r="J178" i="58" s="1"/>
  <c r="I264" i="58"/>
  <c r="J264" i="58" s="1"/>
  <c r="I52" i="57"/>
  <c r="J52" i="57" s="1"/>
  <c r="I114" i="57"/>
  <c r="J114" i="57" s="1"/>
  <c r="I234" i="57"/>
  <c r="J234" i="57" s="1"/>
  <c r="I309" i="57"/>
  <c r="J309" i="57" s="1"/>
  <c r="I55" i="58"/>
  <c r="J55" i="58" s="1"/>
  <c r="I54" i="57"/>
  <c r="J54" i="57" s="1"/>
  <c r="I84" i="57"/>
  <c r="J84" i="57" s="1"/>
  <c r="I116" i="57"/>
  <c r="J116" i="57" s="1"/>
  <c r="I146" i="57"/>
  <c r="J146" i="57" s="1"/>
  <c r="I161" i="57"/>
  <c r="J161" i="57" s="1"/>
  <c r="I176" i="57"/>
  <c r="J176" i="57" s="1"/>
  <c r="I191" i="57"/>
  <c r="J191" i="57" s="1"/>
  <c r="I206" i="57"/>
  <c r="J206" i="57" s="1"/>
  <c r="I221" i="57"/>
  <c r="J221" i="57" s="1"/>
  <c r="I236" i="57"/>
  <c r="J236" i="57" s="1"/>
  <c r="I251" i="57"/>
  <c r="J251" i="57" s="1"/>
  <c r="I266" i="57"/>
  <c r="J266" i="57" s="1"/>
  <c r="I296" i="57"/>
  <c r="J296" i="57" s="1"/>
  <c r="I311" i="57"/>
  <c r="J311" i="57" s="1"/>
  <c r="I326" i="57"/>
  <c r="J326" i="57" s="1"/>
  <c r="I335" i="57"/>
  <c r="J335" i="57" s="1"/>
  <c r="I343" i="57"/>
  <c r="J343" i="57" s="1"/>
  <c r="I57" i="58"/>
  <c r="J57" i="58" s="1"/>
  <c r="I71" i="58"/>
  <c r="J71" i="58" s="1"/>
  <c r="I86" i="58"/>
  <c r="J86" i="58" s="1"/>
  <c r="I103" i="58"/>
  <c r="J103" i="58" s="1"/>
  <c r="I117" i="58"/>
  <c r="J117" i="58" s="1"/>
  <c r="I158" i="58"/>
  <c r="J158" i="58" s="1"/>
  <c r="I187" i="58"/>
  <c r="J187" i="58" s="1"/>
  <c r="I209" i="58"/>
  <c r="J209" i="58" s="1"/>
  <c r="I223" i="58"/>
  <c r="J223" i="58" s="1"/>
  <c r="I238" i="58"/>
  <c r="J238" i="58" s="1"/>
  <c r="I252" i="58"/>
  <c r="J252" i="58" s="1"/>
  <c r="I267" i="58"/>
  <c r="J267" i="58" s="1"/>
  <c r="I282" i="58"/>
  <c r="J282" i="58" s="1"/>
  <c r="I297" i="58"/>
  <c r="J297" i="58" s="1"/>
  <c r="I311" i="58"/>
  <c r="J311" i="58" s="1"/>
  <c r="I326" i="58"/>
  <c r="J326" i="58" s="1"/>
  <c r="I335" i="58"/>
  <c r="J335" i="58" s="1"/>
  <c r="I343" i="58"/>
  <c r="J343" i="58" s="1"/>
  <c r="I87" i="57"/>
  <c r="J87" i="57" s="1"/>
  <c r="I104" i="57"/>
  <c r="J104" i="57" s="1"/>
  <c r="I111" i="57"/>
  <c r="J111" i="57" s="1"/>
  <c r="I134" i="57"/>
  <c r="J134" i="57" s="1"/>
  <c r="I156" i="57"/>
  <c r="J156" i="57" s="1"/>
  <c r="I179" i="57"/>
  <c r="J179" i="57" s="1"/>
  <c r="I231" i="57"/>
  <c r="J231" i="57" s="1"/>
  <c r="I329" i="57"/>
  <c r="J329" i="57" s="1"/>
  <c r="I411" i="57"/>
  <c r="J411" i="57" s="1"/>
  <c r="I112" i="58"/>
  <c r="J112" i="58" s="1"/>
  <c r="I134" i="58"/>
  <c r="J134" i="58" s="1"/>
  <c r="I161" i="58"/>
  <c r="J161" i="58" s="1"/>
  <c r="I176" i="58"/>
  <c r="J176" i="58" s="1"/>
  <c r="I190" i="58"/>
  <c r="J190" i="58" s="1"/>
  <c r="I112" i="57"/>
  <c r="J112" i="57" s="1"/>
  <c r="I262" i="57"/>
  <c r="J262" i="57" s="1"/>
  <c r="I339" i="57"/>
  <c r="J339" i="57" s="1"/>
  <c r="I113" i="58"/>
  <c r="J113" i="58" s="1"/>
  <c r="I219" i="58"/>
  <c r="J219" i="58" s="1"/>
  <c r="I234" i="58"/>
  <c r="J234" i="58" s="1"/>
  <c r="I263" i="58"/>
  <c r="J263" i="58" s="1"/>
  <c r="I339" i="58"/>
  <c r="J339" i="58" s="1"/>
  <c r="E16" i="57"/>
  <c r="E365" i="57"/>
  <c r="I113" i="57"/>
  <c r="J113" i="57" s="1"/>
  <c r="I158" i="57"/>
  <c r="J158" i="57" s="1"/>
  <c r="I203" i="57"/>
  <c r="J203" i="57" s="1"/>
  <c r="I149" i="58"/>
  <c r="J149" i="58" s="1"/>
  <c r="I206" i="58"/>
  <c r="J206" i="58" s="1"/>
  <c r="I179" i="58"/>
  <c r="J179" i="58" s="1"/>
  <c r="I193" i="58"/>
  <c r="J193" i="58" s="1"/>
  <c r="I207" i="58"/>
  <c r="J207" i="58" s="1"/>
  <c r="I221" i="58"/>
  <c r="J221" i="58" s="1"/>
  <c r="I236" i="58"/>
  <c r="J236" i="58" s="1"/>
  <c r="I250" i="58"/>
  <c r="J250" i="58" s="1"/>
  <c r="I341" i="58"/>
  <c r="J341" i="58" s="1"/>
  <c r="I55" i="57"/>
  <c r="J55" i="57" s="1"/>
  <c r="I85" i="57"/>
  <c r="J85" i="57" s="1"/>
  <c r="I117" i="57"/>
  <c r="J117" i="57" s="1"/>
  <c r="I147" i="57"/>
  <c r="J147" i="57" s="1"/>
  <c r="I162" i="57"/>
  <c r="J162" i="57" s="1"/>
  <c r="I177" i="57"/>
  <c r="J177" i="57" s="1"/>
  <c r="I192" i="57"/>
  <c r="J192" i="57" s="1"/>
  <c r="I207" i="57"/>
  <c r="J207" i="57" s="1"/>
  <c r="I222" i="57"/>
  <c r="J222" i="57" s="1"/>
  <c r="I237" i="57"/>
  <c r="J237" i="57" s="1"/>
  <c r="I252" i="57"/>
  <c r="J252" i="57" s="1"/>
  <c r="I267" i="57"/>
  <c r="J267" i="57" s="1"/>
  <c r="I282" i="57"/>
  <c r="J282" i="57" s="1"/>
  <c r="I297" i="57"/>
  <c r="J297" i="57" s="1"/>
  <c r="I312" i="57"/>
  <c r="J312" i="57" s="1"/>
  <c r="I327" i="57"/>
  <c r="J327" i="57" s="1"/>
  <c r="I336" i="57"/>
  <c r="J336" i="57" s="1"/>
  <c r="I344" i="57"/>
  <c r="J344" i="57" s="1"/>
  <c r="I72" i="58"/>
  <c r="J72" i="58" s="1"/>
  <c r="I87" i="58"/>
  <c r="J87" i="58" s="1"/>
  <c r="I104" i="58"/>
  <c r="J104" i="58" s="1"/>
  <c r="I118" i="58"/>
  <c r="J118" i="58" s="1"/>
  <c r="I146" i="58"/>
  <c r="J146" i="58" s="1"/>
  <c r="I159" i="58"/>
  <c r="J159" i="58" s="1"/>
  <c r="I188" i="58"/>
  <c r="J188" i="58" s="1"/>
  <c r="I203" i="58"/>
  <c r="J203" i="58" s="1"/>
  <c r="I224" i="58"/>
  <c r="J224" i="58" s="1"/>
  <c r="I231" i="58"/>
  <c r="J231" i="58" s="1"/>
  <c r="I239" i="58"/>
  <c r="J239" i="58" s="1"/>
  <c r="I253" i="58"/>
  <c r="J253" i="58" s="1"/>
  <c r="I268" i="58"/>
  <c r="J268" i="58" s="1"/>
  <c r="I283" i="58"/>
  <c r="J283" i="58" s="1"/>
  <c r="I298" i="58"/>
  <c r="J298" i="58" s="1"/>
  <c r="I312" i="58"/>
  <c r="J312" i="58" s="1"/>
  <c r="I327" i="58"/>
  <c r="J327" i="58" s="1"/>
  <c r="I336" i="58"/>
  <c r="J336" i="58" s="1"/>
  <c r="I344" i="58"/>
  <c r="J344" i="58" s="1"/>
  <c r="I57" i="57"/>
  <c r="J57" i="57" s="1"/>
  <c r="I72" i="57"/>
  <c r="J72" i="57" s="1"/>
  <c r="I119" i="57"/>
  <c r="J119" i="57" s="1"/>
  <c r="I194" i="57"/>
  <c r="J194" i="57" s="1"/>
  <c r="I224" i="57"/>
  <c r="J224" i="57" s="1"/>
  <c r="I314" i="57"/>
  <c r="J314" i="57" s="1"/>
  <c r="I233" i="58"/>
  <c r="J233" i="58" s="1"/>
  <c r="I314" i="58"/>
  <c r="J314" i="58" s="1"/>
  <c r="I329" i="58"/>
  <c r="J329" i="58" s="1"/>
  <c r="I360" i="58"/>
  <c r="J360" i="58" s="1"/>
  <c r="I188" i="57"/>
  <c r="J188" i="57" s="1"/>
  <c r="I218" i="57"/>
  <c r="J218" i="57" s="1"/>
  <c r="I263" i="57"/>
  <c r="J263" i="57" s="1"/>
  <c r="I114" i="58"/>
  <c r="J114" i="58" s="1"/>
  <c r="I163" i="58"/>
  <c r="J163" i="58" s="1"/>
  <c r="I192" i="58"/>
  <c r="J192" i="58" s="1"/>
  <c r="I219" i="57"/>
  <c r="J219" i="57" s="1"/>
  <c r="I264" i="57"/>
  <c r="J264" i="57" s="1"/>
  <c r="I341" i="57"/>
  <c r="J341" i="57" s="1"/>
  <c r="I84" i="58"/>
  <c r="J84" i="58" s="1"/>
  <c r="I115" i="58"/>
  <c r="J115" i="58" s="1"/>
  <c r="I164" i="58"/>
  <c r="J164" i="58" s="1"/>
  <c r="I309" i="58"/>
  <c r="J309" i="58" s="1"/>
  <c r="I324" i="58"/>
  <c r="J324" i="58" s="1"/>
  <c r="I56" i="57"/>
  <c r="J56" i="57" s="1"/>
  <c r="I71" i="57"/>
  <c r="J71" i="57" s="1"/>
  <c r="I86" i="57"/>
  <c r="J86" i="57" s="1"/>
  <c r="I103" i="57"/>
  <c r="J103" i="57" s="1"/>
  <c r="I118" i="57"/>
  <c r="J118" i="57" s="1"/>
  <c r="I133" i="57"/>
  <c r="J133" i="57" s="1"/>
  <c r="I148" i="57"/>
  <c r="J148" i="57" s="1"/>
  <c r="I163" i="57"/>
  <c r="J163" i="57" s="1"/>
  <c r="I178" i="57"/>
  <c r="J178" i="57" s="1"/>
  <c r="I193" i="57"/>
  <c r="J193" i="57" s="1"/>
  <c r="I208" i="57"/>
  <c r="J208" i="57" s="1"/>
  <c r="I223" i="57"/>
  <c r="J223" i="57" s="1"/>
  <c r="I238" i="57"/>
  <c r="J238" i="57" s="1"/>
  <c r="I253" i="57"/>
  <c r="J253" i="57" s="1"/>
  <c r="I268" i="57"/>
  <c r="J268" i="57" s="1"/>
  <c r="I283" i="57"/>
  <c r="J283" i="57" s="1"/>
  <c r="I298" i="57"/>
  <c r="J298" i="57" s="1"/>
  <c r="I313" i="57"/>
  <c r="J313" i="57" s="1"/>
  <c r="I328" i="57"/>
  <c r="J328" i="57" s="1"/>
  <c r="I337" i="57"/>
  <c r="J337" i="57" s="1"/>
  <c r="I345" i="57"/>
  <c r="J345" i="57" s="1"/>
  <c r="I359" i="57"/>
  <c r="J359" i="57" s="1"/>
  <c r="I410" i="57"/>
  <c r="J410" i="57" s="1"/>
  <c r="E16" i="58"/>
  <c r="K16" i="58" s="1"/>
  <c r="E365" i="58"/>
  <c r="I111" i="58"/>
  <c r="J111" i="58" s="1"/>
  <c r="I119" i="58"/>
  <c r="J119" i="58" s="1"/>
  <c r="I133" i="58"/>
  <c r="J133" i="58" s="1"/>
  <c r="I160" i="58"/>
  <c r="J160" i="58" s="1"/>
  <c r="I189" i="58"/>
  <c r="J189" i="58" s="1"/>
  <c r="I204" i="58"/>
  <c r="J204" i="58" s="1"/>
  <c r="I217" i="58"/>
  <c r="J217" i="58" s="1"/>
  <c r="I232" i="58"/>
  <c r="J232" i="58" s="1"/>
  <c r="I254" i="58"/>
  <c r="J254" i="58" s="1"/>
  <c r="I269" i="58"/>
  <c r="J269" i="58" s="1"/>
  <c r="I284" i="58"/>
  <c r="J284" i="58" s="1"/>
  <c r="I299" i="58"/>
  <c r="J299" i="58" s="1"/>
  <c r="I313" i="58"/>
  <c r="J313" i="58" s="1"/>
  <c r="I328" i="58"/>
  <c r="J328" i="58" s="1"/>
  <c r="I337" i="58"/>
  <c r="J337" i="58" s="1"/>
  <c r="I345" i="58"/>
  <c r="J345" i="58" s="1"/>
  <c r="I359" i="58"/>
  <c r="J359" i="58" s="1"/>
  <c r="E15" i="56"/>
  <c r="I54" i="58"/>
  <c r="J54" i="58" s="1"/>
  <c r="I52" i="59"/>
  <c r="J52" i="59" s="1"/>
  <c r="I54" i="59"/>
  <c r="J54" i="59" s="1"/>
  <c r="I56" i="59"/>
  <c r="J56" i="59" s="1"/>
  <c r="I71" i="59"/>
  <c r="J71" i="59" s="1"/>
  <c r="I82" i="59"/>
  <c r="J82" i="59" s="1"/>
  <c r="I84" i="59"/>
  <c r="J84" i="59" s="1"/>
  <c r="I86" i="59"/>
  <c r="J86" i="59" s="1"/>
  <c r="I103" i="59"/>
  <c r="J103" i="59" s="1"/>
  <c r="I112" i="59"/>
  <c r="J112" i="59" s="1"/>
  <c r="I114" i="59"/>
  <c r="J114" i="59" s="1"/>
  <c r="I116" i="59"/>
  <c r="J116" i="59" s="1"/>
  <c r="I118" i="59"/>
  <c r="J118" i="59" s="1"/>
  <c r="I133" i="59"/>
  <c r="J133" i="59" s="1"/>
  <c r="I146" i="59"/>
  <c r="J146" i="59" s="1"/>
  <c r="I148" i="59"/>
  <c r="J148" i="59" s="1"/>
  <c r="I157" i="59"/>
  <c r="J157" i="59" s="1"/>
  <c r="I160" i="59"/>
  <c r="J160" i="59" s="1"/>
  <c r="I163" i="59"/>
  <c r="J163" i="59" s="1"/>
  <c r="I176" i="59"/>
  <c r="J176" i="59" s="1"/>
  <c r="I178" i="59"/>
  <c r="J178" i="59" s="1"/>
  <c r="I188" i="59"/>
  <c r="J188" i="59" s="1"/>
  <c r="I190" i="59"/>
  <c r="J190" i="59" s="1"/>
  <c r="I193" i="59"/>
  <c r="J193" i="59" s="1"/>
  <c r="I204" i="59"/>
  <c r="J204" i="59" s="1"/>
  <c r="I206" i="59"/>
  <c r="J206" i="59" s="1"/>
  <c r="I208" i="59"/>
  <c r="J208" i="59" s="1"/>
  <c r="I218" i="59"/>
  <c r="J218" i="59" s="1"/>
  <c r="I220" i="59"/>
  <c r="J220" i="59" s="1"/>
  <c r="I223" i="59"/>
  <c r="J223" i="59" s="1"/>
  <c r="I232" i="59"/>
  <c r="J232" i="59" s="1"/>
  <c r="I234" i="59"/>
  <c r="J234" i="59" s="1"/>
  <c r="I236" i="59"/>
  <c r="J236" i="59" s="1"/>
  <c r="I238" i="59"/>
  <c r="J238" i="59" s="1"/>
  <c r="I250" i="59"/>
  <c r="J250" i="59" s="1"/>
  <c r="I252" i="59"/>
  <c r="J252" i="59" s="1"/>
  <c r="I254" i="59"/>
  <c r="J254" i="59" s="1"/>
  <c r="I262" i="59"/>
  <c r="J262" i="59" s="1"/>
  <c r="I264" i="59"/>
  <c r="J264" i="59" s="1"/>
  <c r="I266" i="59"/>
  <c r="J266" i="59" s="1"/>
  <c r="I268" i="59"/>
  <c r="J268" i="59" s="1"/>
  <c r="I283" i="59"/>
  <c r="J283" i="59" s="1"/>
  <c r="I297" i="59"/>
  <c r="J297" i="59" s="1"/>
  <c r="I299" i="59"/>
  <c r="J299" i="59" s="1"/>
  <c r="I310" i="59"/>
  <c r="J310" i="59" s="1"/>
  <c r="I312" i="59"/>
  <c r="J312" i="59" s="1"/>
  <c r="I314" i="59"/>
  <c r="J314" i="59" s="1"/>
  <c r="I322" i="59"/>
  <c r="J322" i="59" s="1"/>
  <c r="I324" i="59"/>
  <c r="J324" i="59" s="1"/>
  <c r="I326" i="59"/>
  <c r="J326" i="59" s="1"/>
  <c r="I328" i="59"/>
  <c r="J328" i="59" s="1"/>
  <c r="I335" i="59"/>
  <c r="J335" i="59" s="1"/>
  <c r="I337" i="59"/>
  <c r="J337" i="59" s="1"/>
  <c r="I339" i="59"/>
  <c r="J339" i="59" s="1"/>
  <c r="I341" i="59"/>
  <c r="J341" i="59" s="1"/>
  <c r="I343" i="59"/>
  <c r="J343" i="59" s="1"/>
  <c r="I53" i="59"/>
  <c r="J53" i="59" s="1"/>
  <c r="I55" i="59"/>
  <c r="J55" i="59" s="1"/>
  <c r="I57" i="59"/>
  <c r="J57" i="59" s="1"/>
  <c r="I72" i="59"/>
  <c r="J72" i="59" s="1"/>
  <c r="I83" i="59"/>
  <c r="J83" i="59" s="1"/>
  <c r="I85" i="59"/>
  <c r="J85" i="59" s="1"/>
  <c r="I87" i="59"/>
  <c r="J87" i="59" s="1"/>
  <c r="I104" i="59"/>
  <c r="J104" i="59" s="1"/>
  <c r="I111" i="59"/>
  <c r="J111" i="59" s="1"/>
  <c r="I113" i="59"/>
  <c r="J113" i="59" s="1"/>
  <c r="I115" i="59"/>
  <c r="J115" i="59" s="1"/>
  <c r="I117" i="59"/>
  <c r="J117" i="59" s="1"/>
  <c r="I119" i="59"/>
  <c r="J119" i="59" s="1"/>
  <c r="I134" i="59"/>
  <c r="J134" i="59" s="1"/>
  <c r="I147" i="59"/>
  <c r="J147" i="59" s="1"/>
  <c r="I149" i="59"/>
  <c r="J149" i="59" s="1"/>
  <c r="I156" i="59"/>
  <c r="J156" i="59" s="1"/>
  <c r="I158" i="59"/>
  <c r="J158" i="59" s="1"/>
  <c r="I161" i="59"/>
  <c r="J161" i="59" s="1"/>
  <c r="I164" i="59"/>
  <c r="J164" i="59" s="1"/>
  <c r="I177" i="59"/>
  <c r="J177" i="59" s="1"/>
  <c r="I179" i="59"/>
  <c r="J179" i="59" s="1"/>
  <c r="I187" i="59"/>
  <c r="J187" i="59" s="1"/>
  <c r="I189" i="59"/>
  <c r="J189" i="59" s="1"/>
  <c r="I192" i="59"/>
  <c r="J192" i="59" s="1"/>
  <c r="I203" i="59"/>
  <c r="J203" i="59" s="1"/>
  <c r="I205" i="59"/>
  <c r="J205" i="59" s="1"/>
  <c r="I207" i="59"/>
  <c r="J207" i="59" s="1"/>
  <c r="I209" i="59"/>
  <c r="J209" i="59" s="1"/>
  <c r="I217" i="59"/>
  <c r="J217" i="59" s="1"/>
  <c r="I219" i="59"/>
  <c r="J219" i="59" s="1"/>
  <c r="I222" i="59"/>
  <c r="J222" i="59" s="1"/>
  <c r="I231" i="59"/>
  <c r="J231" i="59" s="1"/>
  <c r="I233" i="59"/>
  <c r="J233" i="59" s="1"/>
  <c r="I235" i="59"/>
  <c r="J235" i="59" s="1"/>
  <c r="I237" i="59"/>
  <c r="J237" i="59" s="1"/>
  <c r="I239" i="59"/>
  <c r="J239" i="59" s="1"/>
  <c r="I251" i="59"/>
  <c r="J251" i="59" s="1"/>
  <c r="I253" i="59"/>
  <c r="J253" i="59" s="1"/>
  <c r="I263" i="59"/>
  <c r="J263" i="59" s="1"/>
  <c r="I265" i="59"/>
  <c r="J265" i="59" s="1"/>
  <c r="I267" i="59"/>
  <c r="J267" i="59" s="1"/>
  <c r="I269" i="59"/>
  <c r="J269" i="59" s="1"/>
  <c r="I282" i="59"/>
  <c r="J282" i="59" s="1"/>
  <c r="I284" i="59"/>
  <c r="J284" i="59" s="1"/>
  <c r="I296" i="59"/>
  <c r="J296" i="59" s="1"/>
  <c r="I298" i="59"/>
  <c r="J298" i="59" s="1"/>
  <c r="I309" i="59"/>
  <c r="J309" i="59" s="1"/>
  <c r="I311" i="59"/>
  <c r="J311" i="59" s="1"/>
  <c r="I313" i="59"/>
  <c r="J313" i="59" s="1"/>
  <c r="I321" i="59"/>
  <c r="J321" i="59" s="1"/>
  <c r="I323" i="59"/>
  <c r="J323" i="59" s="1"/>
  <c r="I325" i="59"/>
  <c r="J325" i="59" s="1"/>
  <c r="I327" i="59"/>
  <c r="J327" i="59" s="1"/>
  <c r="I329" i="59"/>
  <c r="J329" i="59" s="1"/>
  <c r="I334" i="59"/>
  <c r="J334" i="59" s="1"/>
  <c r="I336" i="59"/>
  <c r="J336" i="59" s="1"/>
  <c r="I338" i="59"/>
  <c r="J338" i="59" s="1"/>
  <c r="I342" i="59"/>
  <c r="J342" i="59" s="1"/>
  <c r="I344" i="59"/>
  <c r="J344" i="59" s="1"/>
  <c r="I360" i="59"/>
  <c r="J360" i="59" s="1"/>
  <c r="E16" i="59"/>
  <c r="K106" i="59"/>
  <c r="E19" i="59"/>
  <c r="K19" i="59" s="1"/>
  <c r="K136" i="59"/>
  <c r="E21" i="59"/>
  <c r="K21" i="59" s="1"/>
  <c r="K181" i="59"/>
  <c r="E24" i="59"/>
  <c r="K24" i="59" s="1"/>
  <c r="K211" i="59"/>
  <c r="E26" i="59"/>
  <c r="K26" i="59" s="1"/>
  <c r="K241" i="59"/>
  <c r="E28" i="59"/>
  <c r="K28" i="59" s="1"/>
  <c r="K256" i="59"/>
  <c r="E29" i="59"/>
  <c r="K29" i="59" s="1"/>
  <c r="K271" i="59"/>
  <c r="E30" i="59"/>
  <c r="K30" i="59" s="1"/>
  <c r="K74" i="59"/>
  <c r="E17" i="59"/>
  <c r="K17" i="59" s="1"/>
  <c r="K151" i="59"/>
  <c r="E22" i="59"/>
  <c r="K22" i="59" s="1"/>
  <c r="K166" i="59"/>
  <c r="E23" i="59"/>
  <c r="K23" i="59" s="1"/>
  <c r="K196" i="59"/>
  <c r="E25" i="59"/>
  <c r="K25" i="59" s="1"/>
  <c r="K226" i="59"/>
  <c r="E27" i="59"/>
  <c r="K27" i="59" s="1"/>
  <c r="K286" i="59"/>
  <c r="E31" i="59"/>
  <c r="K31" i="59" s="1"/>
  <c r="K301" i="59"/>
  <c r="E32" i="59"/>
  <c r="K32" i="59" s="1"/>
  <c r="K316" i="59"/>
  <c r="E33" i="59"/>
  <c r="K33" i="59" s="1"/>
  <c r="K121" i="58"/>
  <c r="E20" i="58"/>
  <c r="K20" i="58" s="1"/>
  <c r="K136" i="58"/>
  <c r="E21" i="58"/>
  <c r="K21" i="58" s="1"/>
  <c r="K151" i="58"/>
  <c r="E22" i="58"/>
  <c r="K22" i="58" s="1"/>
  <c r="K196" i="58"/>
  <c r="E25" i="58"/>
  <c r="K25" i="58" s="1"/>
  <c r="K226" i="58"/>
  <c r="E27" i="58"/>
  <c r="K27" i="58" s="1"/>
  <c r="K241" i="58"/>
  <c r="E28" i="58"/>
  <c r="K28" i="58" s="1"/>
  <c r="K316" i="58"/>
  <c r="E33" i="58"/>
  <c r="K33" i="58" s="1"/>
  <c r="K74" i="58"/>
  <c r="E17" i="58"/>
  <c r="K17" i="58" s="1"/>
  <c r="K166" i="58"/>
  <c r="E23" i="58"/>
  <c r="K23" i="58" s="1"/>
  <c r="K181" i="58"/>
  <c r="E24" i="58"/>
  <c r="K24" i="58" s="1"/>
  <c r="I211" i="58"/>
  <c r="E26" i="58"/>
  <c r="K26" i="58" s="1"/>
  <c r="K271" i="58"/>
  <c r="E30" i="58"/>
  <c r="K30" i="58" s="1"/>
  <c r="I301" i="58"/>
  <c r="E32" i="58"/>
  <c r="K32" i="58" s="1"/>
  <c r="D54" i="7"/>
  <c r="D55" i="7" s="1"/>
  <c r="G66" i="24" s="1"/>
  <c r="G55" i="7"/>
  <c r="G69" i="55"/>
  <c r="G68" i="55"/>
  <c r="G68" i="54"/>
  <c r="F55" i="7"/>
  <c r="G69" i="54"/>
  <c r="G68" i="46"/>
  <c r="E55" i="7"/>
  <c r="G69" i="46"/>
  <c r="H16" i="54"/>
  <c r="J16" i="54" s="1"/>
  <c r="H17" i="54"/>
  <c r="J17" i="54" s="1"/>
  <c r="H19" i="54"/>
  <c r="J19" i="54" s="1"/>
  <c r="H21" i="54"/>
  <c r="J21" i="54" s="1"/>
  <c r="H23" i="54"/>
  <c r="J23" i="54" s="1"/>
  <c r="H38" i="54"/>
  <c r="J38" i="54" s="1"/>
  <c r="H15" i="54"/>
  <c r="J15" i="54" s="1"/>
  <c r="H18" i="54"/>
  <c r="J18" i="54" s="1"/>
  <c r="H20" i="54"/>
  <c r="J20" i="54" s="1"/>
  <c r="H22" i="54"/>
  <c r="J22" i="54" s="1"/>
  <c r="H16" i="55"/>
  <c r="J16" i="55" s="1"/>
  <c r="H17" i="55"/>
  <c r="J17" i="55" s="1"/>
  <c r="H19" i="55"/>
  <c r="J19" i="55" s="1"/>
  <c r="H21" i="55"/>
  <c r="J21" i="55" s="1"/>
  <c r="H23" i="55"/>
  <c r="J23" i="55" s="1"/>
  <c r="H38" i="55"/>
  <c r="J38" i="55" s="1"/>
  <c r="H15" i="55"/>
  <c r="J15" i="55" s="1"/>
  <c r="H18" i="55"/>
  <c r="J18" i="55" s="1"/>
  <c r="H20" i="55"/>
  <c r="J20" i="55" s="1"/>
  <c r="H22" i="55"/>
  <c r="J22" i="55" s="1"/>
  <c r="E378" i="59"/>
  <c r="E379" i="59" s="1"/>
  <c r="E388" i="59" s="1"/>
  <c r="E349" i="59" s="1"/>
  <c r="M349" i="59" s="1"/>
  <c r="E15" i="59"/>
  <c r="E17" i="57"/>
  <c r="K17" i="57" s="1"/>
  <c r="K136" i="57"/>
  <c r="E21" i="57"/>
  <c r="K21" i="57" s="1"/>
  <c r="E25" i="57"/>
  <c r="K226" i="57"/>
  <c r="E27" i="57"/>
  <c r="K20" i="57"/>
  <c r="E23" i="57"/>
  <c r="K29" i="57"/>
  <c r="K151" i="57"/>
  <c r="E22" i="57"/>
  <c r="K22" i="57" s="1"/>
  <c r="K181" i="57"/>
  <c r="E24" i="57"/>
  <c r="K211" i="57"/>
  <c r="E26" i="57"/>
  <c r="K26" i="57" s="1"/>
  <c r="E28" i="57"/>
  <c r="E32" i="57"/>
  <c r="M211" i="57"/>
  <c r="M26" i="57" s="1"/>
  <c r="M241" i="57"/>
  <c r="M28" i="57" s="1"/>
  <c r="M301" i="57"/>
  <c r="M32" i="57" s="1"/>
  <c r="K30" i="56"/>
  <c r="E32" i="56"/>
  <c r="E28" i="56"/>
  <c r="E33" i="56"/>
  <c r="E23" i="56"/>
  <c r="E24" i="56"/>
  <c r="E25" i="56"/>
  <c r="K211" i="56"/>
  <c r="E26" i="56"/>
  <c r="K26" i="56" s="1"/>
  <c r="K226" i="56"/>
  <c r="E27" i="56"/>
  <c r="M271" i="56"/>
  <c r="M30" i="56" s="1"/>
  <c r="M316" i="56"/>
  <c r="M33" i="56" s="1"/>
  <c r="M241" i="56"/>
  <c r="M28" i="56" s="1"/>
  <c r="M181" i="56"/>
  <c r="M24" i="56" s="1"/>
  <c r="I350" i="56"/>
  <c r="M286" i="56"/>
  <c r="M31" i="56" s="1"/>
  <c r="K31" i="56" s="1"/>
  <c r="M301" i="56"/>
  <c r="M32" i="56" s="1"/>
  <c r="M121" i="57"/>
  <c r="M20" i="57" s="1"/>
  <c r="M271" i="57"/>
  <c r="M30" i="57" s="1"/>
  <c r="K30" i="57" s="1"/>
  <c r="M89" i="59"/>
  <c r="M18" i="59" s="1"/>
  <c r="E26" i="52"/>
  <c r="M226" i="56"/>
  <c r="M27" i="56" s="1"/>
  <c r="M166" i="58"/>
  <c r="M23" i="58" s="1"/>
  <c r="M74" i="58"/>
  <c r="M17" i="58" s="1"/>
  <c r="M74" i="59"/>
  <c r="M17" i="59" s="1"/>
  <c r="M136" i="59"/>
  <c r="M21" i="59" s="1"/>
  <c r="J350" i="58"/>
  <c r="M89" i="58"/>
  <c r="M18" i="58" s="1"/>
  <c r="M271" i="58"/>
  <c r="M30" i="58" s="1"/>
  <c r="M301" i="59"/>
  <c r="M32" i="59" s="1"/>
  <c r="E26" i="53"/>
  <c r="AF23" i="53" s="1"/>
  <c r="M44" i="59"/>
  <c r="I52" i="56"/>
  <c r="J52" i="56" s="1"/>
  <c r="I71" i="56"/>
  <c r="J71" i="56" s="1"/>
  <c r="I146" i="56"/>
  <c r="J146" i="56" s="1"/>
  <c r="I82" i="56"/>
  <c r="J82" i="56" s="1"/>
  <c r="I103" i="56"/>
  <c r="J103" i="56" s="1"/>
  <c r="I111" i="56"/>
  <c r="J111" i="56" s="1"/>
  <c r="I156" i="56"/>
  <c r="J156" i="56" s="1"/>
  <c r="M89" i="56"/>
  <c r="M18" i="56" s="1"/>
  <c r="K18" i="56" s="1"/>
  <c r="M59" i="56"/>
  <c r="M16" i="56" s="1"/>
  <c r="K16" i="56" s="1"/>
  <c r="M151" i="56"/>
  <c r="M22" i="56" s="1"/>
  <c r="K22" i="56" s="1"/>
  <c r="M121" i="56"/>
  <c r="M74" i="56"/>
  <c r="M316" i="57"/>
  <c r="M33" i="57" s="1"/>
  <c r="K33" i="57" s="1"/>
  <c r="M166" i="59"/>
  <c r="M23" i="59" s="1"/>
  <c r="M44" i="58"/>
  <c r="M59" i="59"/>
  <c r="M16" i="59" s="1"/>
  <c r="M106" i="59"/>
  <c r="M19" i="59" s="1"/>
  <c r="M121" i="59"/>
  <c r="M20" i="59" s="1"/>
  <c r="M151" i="59"/>
  <c r="M22" i="59" s="1"/>
  <c r="M271" i="59"/>
  <c r="M30" i="59" s="1"/>
  <c r="J350" i="57"/>
  <c r="K316" i="57"/>
  <c r="M136" i="57"/>
  <c r="M21" i="57" s="1"/>
  <c r="M44" i="57"/>
  <c r="M15" i="57" s="1"/>
  <c r="K15" i="57" s="1"/>
  <c r="M106" i="57"/>
  <c r="M19" i="57" s="1"/>
  <c r="K19" i="57" s="1"/>
  <c r="M89" i="57"/>
  <c r="K89" i="59"/>
  <c r="K121" i="59"/>
  <c r="I196" i="59"/>
  <c r="I226" i="59"/>
  <c r="I316" i="59"/>
  <c r="J197" i="59"/>
  <c r="J198" i="59"/>
  <c r="J199" i="59"/>
  <c r="J200" i="59"/>
  <c r="J201" i="59"/>
  <c r="J202" i="59"/>
  <c r="J227" i="59"/>
  <c r="J228" i="59"/>
  <c r="J229" i="59"/>
  <c r="J230" i="59"/>
  <c r="J257" i="59"/>
  <c r="J258" i="59"/>
  <c r="J259" i="59"/>
  <c r="J260" i="59"/>
  <c r="J261" i="59"/>
  <c r="J287" i="59"/>
  <c r="J288" i="59"/>
  <c r="J289" i="59"/>
  <c r="J290" i="59"/>
  <c r="J291" i="59"/>
  <c r="J292" i="59"/>
  <c r="J293" i="59"/>
  <c r="J294" i="59"/>
  <c r="J295" i="59"/>
  <c r="J317" i="59"/>
  <c r="J318" i="59"/>
  <c r="J319" i="59"/>
  <c r="J320" i="59"/>
  <c r="E398" i="59"/>
  <c r="E350" i="59" s="1"/>
  <c r="M350" i="59" s="1"/>
  <c r="J60" i="59"/>
  <c r="J61" i="59"/>
  <c r="J62" i="59"/>
  <c r="J63" i="59"/>
  <c r="J64" i="59"/>
  <c r="J65" i="59"/>
  <c r="J66" i="59"/>
  <c r="J67" i="59"/>
  <c r="J68" i="59"/>
  <c r="J69" i="59"/>
  <c r="J70" i="59"/>
  <c r="I74" i="59"/>
  <c r="J90" i="59"/>
  <c r="J91" i="59"/>
  <c r="J92" i="59"/>
  <c r="J93" i="59"/>
  <c r="J94" i="59"/>
  <c r="J95" i="59"/>
  <c r="J96" i="59"/>
  <c r="J97" i="59"/>
  <c r="J98" i="59"/>
  <c r="J101" i="59"/>
  <c r="J102" i="59"/>
  <c r="J122" i="59"/>
  <c r="J123" i="59"/>
  <c r="J124" i="59"/>
  <c r="J125" i="59"/>
  <c r="J126" i="59"/>
  <c r="J127" i="59"/>
  <c r="J128" i="59"/>
  <c r="J129" i="59"/>
  <c r="J130" i="59"/>
  <c r="J131" i="59"/>
  <c r="J132" i="59"/>
  <c r="I136" i="59"/>
  <c r="J152" i="59"/>
  <c r="J153" i="59"/>
  <c r="J154" i="59"/>
  <c r="J155" i="59"/>
  <c r="I166" i="59"/>
  <c r="J182" i="59"/>
  <c r="J183" i="59"/>
  <c r="J184" i="59"/>
  <c r="J185" i="59"/>
  <c r="J186" i="59"/>
  <c r="J212" i="59"/>
  <c r="J213" i="59"/>
  <c r="J214" i="59"/>
  <c r="J215" i="59"/>
  <c r="J216" i="59"/>
  <c r="J242" i="59"/>
  <c r="J243" i="59"/>
  <c r="J244" i="59"/>
  <c r="J245" i="59"/>
  <c r="J246" i="59"/>
  <c r="J247" i="59"/>
  <c r="J248" i="59"/>
  <c r="J249" i="59"/>
  <c r="J272" i="59"/>
  <c r="J273" i="59"/>
  <c r="J274" i="59"/>
  <c r="J275" i="59"/>
  <c r="J276" i="59"/>
  <c r="J277" i="59"/>
  <c r="J278" i="59"/>
  <c r="J279" i="59"/>
  <c r="J280" i="59"/>
  <c r="J281" i="59"/>
  <c r="J302" i="59"/>
  <c r="J303" i="59"/>
  <c r="J304" i="59"/>
  <c r="J305" i="59"/>
  <c r="J306" i="59"/>
  <c r="J307" i="59"/>
  <c r="J308" i="59"/>
  <c r="E333" i="59"/>
  <c r="M333" i="59" s="1"/>
  <c r="J351" i="59"/>
  <c r="J352" i="59"/>
  <c r="J353" i="59"/>
  <c r="J354" i="59"/>
  <c r="J355" i="59"/>
  <c r="J356" i="59"/>
  <c r="J357" i="59"/>
  <c r="J358" i="59"/>
  <c r="J45" i="59"/>
  <c r="J46" i="59"/>
  <c r="J47" i="59"/>
  <c r="J48" i="59"/>
  <c r="J49" i="59"/>
  <c r="J50" i="59"/>
  <c r="J51" i="59"/>
  <c r="J75" i="59"/>
  <c r="J76" i="59"/>
  <c r="J77" i="59"/>
  <c r="J78" i="59"/>
  <c r="J79" i="59"/>
  <c r="J80" i="59"/>
  <c r="J81" i="59"/>
  <c r="J107" i="59"/>
  <c r="J108" i="59"/>
  <c r="J109" i="59"/>
  <c r="J110" i="59"/>
  <c r="J137" i="59"/>
  <c r="J138" i="59"/>
  <c r="J139" i="59"/>
  <c r="J140" i="59"/>
  <c r="J141" i="59"/>
  <c r="J142" i="59"/>
  <c r="J143" i="59"/>
  <c r="J144" i="59"/>
  <c r="J145" i="59"/>
  <c r="I151" i="59"/>
  <c r="J167" i="59"/>
  <c r="J168" i="59"/>
  <c r="J169" i="59"/>
  <c r="J170" i="59"/>
  <c r="J171" i="59"/>
  <c r="J172" i="59"/>
  <c r="J173" i="59"/>
  <c r="J174" i="59"/>
  <c r="J175" i="59"/>
  <c r="I181" i="59"/>
  <c r="I211" i="59"/>
  <c r="I241" i="59"/>
  <c r="I301" i="59"/>
  <c r="E340" i="59"/>
  <c r="M340" i="59" s="1"/>
  <c r="M74" i="57"/>
  <c r="M17" i="57" s="1"/>
  <c r="J212" i="58"/>
  <c r="J213" i="58"/>
  <c r="J214" i="58"/>
  <c r="J215" i="58"/>
  <c r="J216" i="58"/>
  <c r="M256" i="58"/>
  <c r="M29" i="58" s="1"/>
  <c r="J272" i="58"/>
  <c r="J273" i="58"/>
  <c r="J274" i="58"/>
  <c r="J275" i="58"/>
  <c r="J276" i="58"/>
  <c r="J277" i="58"/>
  <c r="J278" i="58"/>
  <c r="J279" i="58"/>
  <c r="J280" i="58"/>
  <c r="J281" i="58"/>
  <c r="J122" i="58"/>
  <c r="J123" i="58"/>
  <c r="J124" i="58"/>
  <c r="J125" i="58"/>
  <c r="J126" i="58"/>
  <c r="J127" i="58"/>
  <c r="J128" i="58"/>
  <c r="J129" i="58"/>
  <c r="J130" i="58"/>
  <c r="J131" i="58"/>
  <c r="J132" i="58"/>
  <c r="J152" i="58"/>
  <c r="J153" i="58"/>
  <c r="J154" i="58"/>
  <c r="J155" i="58"/>
  <c r="J182" i="58"/>
  <c r="J183" i="58"/>
  <c r="J184" i="58"/>
  <c r="J185" i="58"/>
  <c r="J186" i="58"/>
  <c r="M226" i="58"/>
  <c r="M27" i="58" s="1"/>
  <c r="I241" i="58"/>
  <c r="J242" i="58"/>
  <c r="J243" i="58"/>
  <c r="J244" i="58"/>
  <c r="J245" i="58"/>
  <c r="J246" i="58"/>
  <c r="J247" i="58"/>
  <c r="J248" i="58"/>
  <c r="J249" i="58"/>
  <c r="M286" i="58"/>
  <c r="M31" i="58" s="1"/>
  <c r="J302" i="58"/>
  <c r="J303" i="58"/>
  <c r="J304" i="58"/>
  <c r="J305" i="58"/>
  <c r="J306" i="58"/>
  <c r="J307" i="58"/>
  <c r="J308" i="58"/>
  <c r="J351" i="58"/>
  <c r="J352" i="58"/>
  <c r="J353" i="58"/>
  <c r="J354" i="58"/>
  <c r="J355" i="58"/>
  <c r="J356" i="58"/>
  <c r="J357" i="58"/>
  <c r="J358" i="58"/>
  <c r="M316" i="58"/>
  <c r="M33" i="58" s="1"/>
  <c r="K59" i="58"/>
  <c r="K89" i="58"/>
  <c r="K106" i="58"/>
  <c r="I151" i="58"/>
  <c r="I181" i="58"/>
  <c r="K211" i="58"/>
  <c r="K286" i="58"/>
  <c r="K301" i="58"/>
  <c r="K256" i="58"/>
  <c r="J45" i="58"/>
  <c r="J46" i="58"/>
  <c r="J47" i="58"/>
  <c r="J48" i="58"/>
  <c r="J49" i="58"/>
  <c r="J50" i="58"/>
  <c r="J51" i="58"/>
  <c r="J75" i="58"/>
  <c r="J76" i="58"/>
  <c r="J77" i="58"/>
  <c r="J78" i="58"/>
  <c r="J79" i="58"/>
  <c r="J80" i="58"/>
  <c r="J81" i="58"/>
  <c r="J107" i="58"/>
  <c r="J108" i="58"/>
  <c r="J109" i="58"/>
  <c r="J110" i="58"/>
  <c r="J137" i="58"/>
  <c r="J138" i="58"/>
  <c r="J139" i="58"/>
  <c r="J140" i="58"/>
  <c r="J141" i="58"/>
  <c r="J142" i="58"/>
  <c r="J143" i="58"/>
  <c r="J144" i="58"/>
  <c r="J145" i="58"/>
  <c r="J167" i="58"/>
  <c r="J168" i="58"/>
  <c r="J169" i="58"/>
  <c r="J170" i="58"/>
  <c r="J171" i="58"/>
  <c r="J172" i="58"/>
  <c r="J173" i="58"/>
  <c r="J174" i="58"/>
  <c r="J175" i="58"/>
  <c r="J197" i="58"/>
  <c r="J198" i="58"/>
  <c r="J199" i="58"/>
  <c r="J200" i="58"/>
  <c r="J201" i="58"/>
  <c r="J202" i="58"/>
  <c r="J227" i="58"/>
  <c r="J228" i="58"/>
  <c r="J229" i="58"/>
  <c r="J230" i="58"/>
  <c r="J257" i="58"/>
  <c r="J258" i="58"/>
  <c r="J259" i="58"/>
  <c r="J260" i="58"/>
  <c r="J261" i="58"/>
  <c r="J287" i="58"/>
  <c r="J288" i="58"/>
  <c r="J289" i="58"/>
  <c r="J290" i="58"/>
  <c r="J291" i="58"/>
  <c r="J292" i="58"/>
  <c r="J293" i="58"/>
  <c r="J294" i="58"/>
  <c r="J295" i="58"/>
  <c r="J317" i="58"/>
  <c r="J318" i="58"/>
  <c r="J319" i="58"/>
  <c r="J320" i="58"/>
  <c r="E340" i="58"/>
  <c r="M340" i="58" s="1"/>
  <c r="E378" i="58"/>
  <c r="J60" i="58"/>
  <c r="J61" i="58"/>
  <c r="J62" i="58"/>
  <c r="J63" i="58"/>
  <c r="J64" i="58"/>
  <c r="J65" i="58"/>
  <c r="J66" i="58"/>
  <c r="J67" i="58"/>
  <c r="J68" i="58"/>
  <c r="J69" i="58"/>
  <c r="J70" i="58"/>
  <c r="I74" i="58"/>
  <c r="J90" i="58"/>
  <c r="J91" i="58"/>
  <c r="J92" i="58"/>
  <c r="J93" i="58"/>
  <c r="J94" i="58"/>
  <c r="J95" i="58"/>
  <c r="J96" i="58"/>
  <c r="J97" i="58"/>
  <c r="J98" i="58"/>
  <c r="J101" i="58"/>
  <c r="J102" i="58"/>
  <c r="I136" i="58"/>
  <c r="I166" i="58"/>
  <c r="I196" i="58"/>
  <c r="I226" i="58"/>
  <c r="I316" i="58"/>
  <c r="E333" i="58"/>
  <c r="M333" i="58" s="1"/>
  <c r="M181" i="57"/>
  <c r="M24" i="57" s="1"/>
  <c r="M166" i="57"/>
  <c r="M23" i="57" s="1"/>
  <c r="M196" i="57"/>
  <c r="M25" i="57" s="1"/>
  <c r="M226" i="57"/>
  <c r="M27" i="57" s="1"/>
  <c r="M256" i="57"/>
  <c r="M29" i="57" s="1"/>
  <c r="J272" i="57"/>
  <c r="J273" i="57"/>
  <c r="J274" i="57"/>
  <c r="J275" i="57"/>
  <c r="J276" i="57"/>
  <c r="J277" i="57"/>
  <c r="J278" i="57"/>
  <c r="J279" i="57"/>
  <c r="J280" i="57"/>
  <c r="J281" i="57"/>
  <c r="M59" i="57"/>
  <c r="M16" i="57" s="1"/>
  <c r="K16" i="57" s="1"/>
  <c r="J132" i="57"/>
  <c r="M151" i="57"/>
  <c r="M22" i="57" s="1"/>
  <c r="J212" i="57"/>
  <c r="J213" i="57"/>
  <c r="J214" i="57"/>
  <c r="J215" i="57"/>
  <c r="J216" i="57"/>
  <c r="J242" i="57"/>
  <c r="J243" i="57"/>
  <c r="J244" i="57"/>
  <c r="J245" i="57"/>
  <c r="J246" i="57"/>
  <c r="J247" i="57"/>
  <c r="J248" i="57"/>
  <c r="J249" i="57"/>
  <c r="M286" i="57"/>
  <c r="M31" i="57" s="1"/>
  <c r="K31" i="57" s="1"/>
  <c r="J302" i="57"/>
  <c r="J303" i="57"/>
  <c r="J304" i="57"/>
  <c r="J305" i="57"/>
  <c r="J306" i="57"/>
  <c r="J307" i="57"/>
  <c r="J308" i="57"/>
  <c r="J351" i="57"/>
  <c r="J352" i="57"/>
  <c r="J353" i="57"/>
  <c r="J354" i="57"/>
  <c r="J355" i="57"/>
  <c r="J356" i="57"/>
  <c r="J357" i="57"/>
  <c r="J358" i="57"/>
  <c r="K121" i="57"/>
  <c r="K241" i="57"/>
  <c r="K256" i="57"/>
  <c r="J45" i="57"/>
  <c r="J46" i="57"/>
  <c r="J47" i="57"/>
  <c r="J48" i="57"/>
  <c r="J49" i="57"/>
  <c r="J50" i="57"/>
  <c r="J51" i="57"/>
  <c r="J75" i="57"/>
  <c r="J76" i="57"/>
  <c r="J77" i="57"/>
  <c r="J78" i="57"/>
  <c r="J79" i="57"/>
  <c r="J80" i="57"/>
  <c r="J81" i="57"/>
  <c r="J107" i="57"/>
  <c r="J108" i="57"/>
  <c r="J109" i="57"/>
  <c r="J110" i="57"/>
  <c r="J137" i="57"/>
  <c r="J138" i="57"/>
  <c r="J139" i="57"/>
  <c r="J140" i="57"/>
  <c r="J141" i="57"/>
  <c r="J142" i="57"/>
  <c r="J143" i="57"/>
  <c r="J144" i="57"/>
  <c r="J145" i="57"/>
  <c r="J167" i="57"/>
  <c r="J168" i="57"/>
  <c r="J169" i="57"/>
  <c r="J170" i="57"/>
  <c r="J171" i="57"/>
  <c r="J172" i="57"/>
  <c r="J173" i="57"/>
  <c r="J174" i="57"/>
  <c r="J175" i="57"/>
  <c r="J197" i="57"/>
  <c r="J198" i="57"/>
  <c r="J199" i="57"/>
  <c r="J200" i="57"/>
  <c r="J201" i="57"/>
  <c r="J202" i="57"/>
  <c r="J227" i="57"/>
  <c r="J228" i="57"/>
  <c r="J229" i="57"/>
  <c r="J230" i="57"/>
  <c r="J257" i="57"/>
  <c r="J258" i="57"/>
  <c r="J259" i="57"/>
  <c r="J260" i="57"/>
  <c r="J261" i="57"/>
  <c r="J287" i="57"/>
  <c r="J288" i="57"/>
  <c r="J289" i="57"/>
  <c r="J290" i="57"/>
  <c r="J291" i="57"/>
  <c r="J292" i="57"/>
  <c r="J293" i="57"/>
  <c r="J294" i="57"/>
  <c r="J295" i="57"/>
  <c r="J317" i="57"/>
  <c r="J318" i="57"/>
  <c r="J319" i="57"/>
  <c r="J320" i="57"/>
  <c r="E340" i="57"/>
  <c r="E378" i="57"/>
  <c r="J60" i="57"/>
  <c r="J61" i="57"/>
  <c r="J62" i="57"/>
  <c r="J63" i="57"/>
  <c r="J64" i="57"/>
  <c r="J65" i="57"/>
  <c r="J66" i="57"/>
  <c r="J67" i="57"/>
  <c r="J68" i="57"/>
  <c r="J69" i="57"/>
  <c r="J70" i="57"/>
  <c r="J90" i="57"/>
  <c r="J91" i="57"/>
  <c r="J92" i="57"/>
  <c r="J93" i="57"/>
  <c r="J94" i="57"/>
  <c r="J95" i="57"/>
  <c r="J96" i="57"/>
  <c r="J97" i="57"/>
  <c r="J98" i="57"/>
  <c r="J99" i="57"/>
  <c r="J100" i="57"/>
  <c r="J122" i="57"/>
  <c r="J123" i="57"/>
  <c r="J124" i="57"/>
  <c r="J125" i="57"/>
  <c r="J126" i="57"/>
  <c r="J127" i="57"/>
  <c r="J128" i="57"/>
  <c r="J129" i="57"/>
  <c r="J130" i="57"/>
  <c r="J131" i="57"/>
  <c r="J152" i="57"/>
  <c r="J153" i="57"/>
  <c r="J154" i="57"/>
  <c r="J155" i="57"/>
  <c r="J182" i="57"/>
  <c r="J183" i="57"/>
  <c r="J184" i="57"/>
  <c r="J185" i="57"/>
  <c r="J186" i="57"/>
  <c r="E333" i="57"/>
  <c r="K271" i="56"/>
  <c r="M106" i="56"/>
  <c r="I122" i="56"/>
  <c r="J122" i="56" s="1"/>
  <c r="I123" i="56"/>
  <c r="J123" i="56" s="1"/>
  <c r="I124" i="56"/>
  <c r="J124" i="56" s="1"/>
  <c r="I125" i="56"/>
  <c r="J125" i="56" s="1"/>
  <c r="I126" i="56"/>
  <c r="J126" i="56" s="1"/>
  <c r="I127" i="56"/>
  <c r="J127" i="56" s="1"/>
  <c r="I128" i="56"/>
  <c r="J128" i="56" s="1"/>
  <c r="I129" i="56"/>
  <c r="J129" i="56" s="1"/>
  <c r="I130" i="56"/>
  <c r="J130" i="56" s="1"/>
  <c r="I131" i="56"/>
  <c r="J131" i="56" s="1"/>
  <c r="I132" i="56"/>
  <c r="J132" i="56" s="1"/>
  <c r="M166" i="56"/>
  <c r="M23" i="56" s="1"/>
  <c r="I182" i="56"/>
  <c r="J182" i="56" s="1"/>
  <c r="I183" i="56"/>
  <c r="J183" i="56" s="1"/>
  <c r="I184" i="56"/>
  <c r="J184" i="56" s="1"/>
  <c r="I185" i="56"/>
  <c r="J185" i="56" s="1"/>
  <c r="I186" i="56"/>
  <c r="J186" i="56" s="1"/>
  <c r="I242" i="56"/>
  <c r="J242" i="56" s="1"/>
  <c r="I243" i="56"/>
  <c r="J243" i="56" s="1"/>
  <c r="I244" i="56"/>
  <c r="J244" i="56" s="1"/>
  <c r="I245" i="56"/>
  <c r="J245" i="56" s="1"/>
  <c r="I246" i="56"/>
  <c r="J246" i="56" s="1"/>
  <c r="I247" i="56"/>
  <c r="J247" i="56" s="1"/>
  <c r="I248" i="56"/>
  <c r="J248" i="56" s="1"/>
  <c r="I249" i="56"/>
  <c r="J249" i="56" s="1"/>
  <c r="E398" i="56"/>
  <c r="E350" i="56" s="1"/>
  <c r="M350" i="56" s="1"/>
  <c r="M44" i="56"/>
  <c r="M15" i="56" s="1"/>
  <c r="K15" i="56" s="1"/>
  <c r="M136" i="56"/>
  <c r="I152" i="56"/>
  <c r="J152" i="56" s="1"/>
  <c r="I153" i="56"/>
  <c r="J153" i="56" s="1"/>
  <c r="I154" i="56"/>
  <c r="J154" i="56" s="1"/>
  <c r="I155" i="56"/>
  <c r="J155" i="56" s="1"/>
  <c r="M196" i="56"/>
  <c r="M25" i="56" s="1"/>
  <c r="M256" i="56"/>
  <c r="M29" i="56" s="1"/>
  <c r="K29" i="56" s="1"/>
  <c r="I340" i="56"/>
  <c r="I348" i="56"/>
  <c r="I349" i="56"/>
  <c r="K151" i="56"/>
  <c r="K181" i="56"/>
  <c r="K256" i="56"/>
  <c r="K59" i="56"/>
  <c r="I212" i="56"/>
  <c r="J212" i="56" s="1"/>
  <c r="I213" i="56"/>
  <c r="J213" i="56" s="1"/>
  <c r="I214" i="56"/>
  <c r="J214" i="56" s="1"/>
  <c r="I215" i="56"/>
  <c r="J215" i="56" s="1"/>
  <c r="I216" i="56"/>
  <c r="J216" i="56" s="1"/>
  <c r="I272" i="56"/>
  <c r="J272" i="56" s="1"/>
  <c r="I273" i="56"/>
  <c r="J273" i="56" s="1"/>
  <c r="I274" i="56"/>
  <c r="J274" i="56" s="1"/>
  <c r="I275" i="56"/>
  <c r="J275" i="56" s="1"/>
  <c r="I276" i="56"/>
  <c r="J276" i="56" s="1"/>
  <c r="I277" i="56"/>
  <c r="J277" i="56" s="1"/>
  <c r="I278" i="56"/>
  <c r="J278" i="56" s="1"/>
  <c r="I279" i="56"/>
  <c r="J279" i="56" s="1"/>
  <c r="I280" i="56"/>
  <c r="J280" i="56" s="1"/>
  <c r="I281" i="56"/>
  <c r="J281" i="56" s="1"/>
  <c r="I302" i="56"/>
  <c r="J302" i="56" s="1"/>
  <c r="I303" i="56"/>
  <c r="J303" i="56" s="1"/>
  <c r="I304" i="56"/>
  <c r="J304" i="56" s="1"/>
  <c r="I305" i="56"/>
  <c r="J305" i="56" s="1"/>
  <c r="I306" i="56"/>
  <c r="J306" i="56" s="1"/>
  <c r="I307" i="56"/>
  <c r="J307" i="56" s="1"/>
  <c r="I308" i="56"/>
  <c r="J308" i="56" s="1"/>
  <c r="I351" i="56"/>
  <c r="J351" i="56" s="1"/>
  <c r="I352" i="56"/>
  <c r="J352" i="56" s="1"/>
  <c r="I353" i="56"/>
  <c r="J353" i="56" s="1"/>
  <c r="I354" i="56"/>
  <c r="J354" i="56" s="1"/>
  <c r="I355" i="56"/>
  <c r="J355" i="56" s="1"/>
  <c r="I356" i="56"/>
  <c r="J356" i="56" s="1"/>
  <c r="I357" i="56"/>
  <c r="J357" i="56" s="1"/>
  <c r="I358" i="56"/>
  <c r="J358" i="56" s="1"/>
  <c r="I45" i="56"/>
  <c r="J45" i="56" s="1"/>
  <c r="I46" i="56"/>
  <c r="J46" i="56" s="1"/>
  <c r="I47" i="56"/>
  <c r="J47" i="56" s="1"/>
  <c r="I48" i="56"/>
  <c r="J48" i="56" s="1"/>
  <c r="I49" i="56"/>
  <c r="J49" i="56" s="1"/>
  <c r="I50" i="56"/>
  <c r="J50" i="56" s="1"/>
  <c r="I51" i="56"/>
  <c r="J51" i="56" s="1"/>
  <c r="I75" i="56"/>
  <c r="J75" i="56" s="1"/>
  <c r="I76" i="56"/>
  <c r="J76" i="56" s="1"/>
  <c r="I77" i="56"/>
  <c r="J77" i="56" s="1"/>
  <c r="I78" i="56"/>
  <c r="J78" i="56" s="1"/>
  <c r="I79" i="56"/>
  <c r="J79" i="56" s="1"/>
  <c r="I80" i="56"/>
  <c r="J80" i="56" s="1"/>
  <c r="I81" i="56"/>
  <c r="J81" i="56" s="1"/>
  <c r="I107" i="56"/>
  <c r="J107" i="56" s="1"/>
  <c r="I108" i="56"/>
  <c r="J108" i="56" s="1"/>
  <c r="I109" i="56"/>
  <c r="J109" i="56" s="1"/>
  <c r="I110" i="56"/>
  <c r="J110" i="56" s="1"/>
  <c r="I137" i="56"/>
  <c r="J137" i="56" s="1"/>
  <c r="I138" i="56"/>
  <c r="J138" i="56" s="1"/>
  <c r="I139" i="56"/>
  <c r="J139" i="56" s="1"/>
  <c r="I140" i="56"/>
  <c r="J140" i="56" s="1"/>
  <c r="I141" i="56"/>
  <c r="J141" i="56" s="1"/>
  <c r="I142" i="56"/>
  <c r="J142" i="56" s="1"/>
  <c r="I143" i="56"/>
  <c r="J143" i="56" s="1"/>
  <c r="I144" i="56"/>
  <c r="J144" i="56" s="1"/>
  <c r="I145" i="56"/>
  <c r="J145" i="56" s="1"/>
  <c r="I167" i="56"/>
  <c r="J167" i="56" s="1"/>
  <c r="I168" i="56"/>
  <c r="J168" i="56" s="1"/>
  <c r="I169" i="56"/>
  <c r="J169" i="56" s="1"/>
  <c r="I170" i="56"/>
  <c r="J170" i="56" s="1"/>
  <c r="I171" i="56"/>
  <c r="J171" i="56" s="1"/>
  <c r="I172" i="56"/>
  <c r="J172" i="56" s="1"/>
  <c r="I173" i="56"/>
  <c r="J173" i="56" s="1"/>
  <c r="I174" i="56"/>
  <c r="J174" i="56" s="1"/>
  <c r="I175" i="56"/>
  <c r="J175" i="56" s="1"/>
  <c r="I197" i="56"/>
  <c r="J197" i="56" s="1"/>
  <c r="I198" i="56"/>
  <c r="J198" i="56" s="1"/>
  <c r="I199" i="56"/>
  <c r="J199" i="56" s="1"/>
  <c r="I200" i="56"/>
  <c r="J200" i="56" s="1"/>
  <c r="I201" i="56"/>
  <c r="J201" i="56" s="1"/>
  <c r="I202" i="56"/>
  <c r="J202" i="56" s="1"/>
  <c r="I227" i="56"/>
  <c r="J227" i="56" s="1"/>
  <c r="I228" i="56"/>
  <c r="J228" i="56" s="1"/>
  <c r="I229" i="56"/>
  <c r="J229" i="56" s="1"/>
  <c r="I230" i="56"/>
  <c r="J230" i="56" s="1"/>
  <c r="I257" i="56"/>
  <c r="J257" i="56" s="1"/>
  <c r="I258" i="56"/>
  <c r="J258" i="56" s="1"/>
  <c r="I259" i="56"/>
  <c r="J259" i="56" s="1"/>
  <c r="I260" i="56"/>
  <c r="J260" i="56" s="1"/>
  <c r="I261" i="56"/>
  <c r="J261" i="56" s="1"/>
  <c r="I287" i="56"/>
  <c r="J287" i="56" s="1"/>
  <c r="I288" i="56"/>
  <c r="J288" i="56" s="1"/>
  <c r="I289" i="56"/>
  <c r="J289" i="56" s="1"/>
  <c r="I290" i="56"/>
  <c r="J290" i="56" s="1"/>
  <c r="I291" i="56"/>
  <c r="J291" i="56" s="1"/>
  <c r="I292" i="56"/>
  <c r="J292" i="56" s="1"/>
  <c r="I293" i="56"/>
  <c r="J293" i="56" s="1"/>
  <c r="I294" i="56"/>
  <c r="J294" i="56" s="1"/>
  <c r="I295" i="56"/>
  <c r="J295" i="56" s="1"/>
  <c r="I317" i="56"/>
  <c r="J317" i="56" s="1"/>
  <c r="I318" i="56"/>
  <c r="J318" i="56" s="1"/>
  <c r="I319" i="56"/>
  <c r="J319" i="56" s="1"/>
  <c r="I320" i="56"/>
  <c r="J320" i="56" s="1"/>
  <c r="I333" i="56"/>
  <c r="E340" i="56"/>
  <c r="E378" i="56" s="1"/>
  <c r="I60" i="56"/>
  <c r="J60" i="56" s="1"/>
  <c r="I61" i="56"/>
  <c r="J61" i="56" s="1"/>
  <c r="I62" i="56"/>
  <c r="J62" i="56" s="1"/>
  <c r="I63" i="56"/>
  <c r="J63" i="56" s="1"/>
  <c r="I64" i="56"/>
  <c r="J64" i="56" s="1"/>
  <c r="I65" i="56"/>
  <c r="J65" i="56" s="1"/>
  <c r="I66" i="56"/>
  <c r="J66" i="56" s="1"/>
  <c r="I67" i="56"/>
  <c r="J67" i="56" s="1"/>
  <c r="I68" i="56"/>
  <c r="J68" i="56" s="1"/>
  <c r="I69" i="56"/>
  <c r="J69" i="56" s="1"/>
  <c r="I70" i="56"/>
  <c r="J70" i="56" s="1"/>
  <c r="I90" i="56"/>
  <c r="J90" i="56" s="1"/>
  <c r="I91" i="56"/>
  <c r="J91" i="56" s="1"/>
  <c r="I92" i="56"/>
  <c r="J92" i="56" s="1"/>
  <c r="I93" i="56"/>
  <c r="J93" i="56" s="1"/>
  <c r="I95" i="56"/>
  <c r="J95" i="56" s="1"/>
  <c r="I98" i="56"/>
  <c r="J98" i="56" s="1"/>
  <c r="I99" i="56"/>
  <c r="J99" i="56" s="1"/>
  <c r="I100" i="56"/>
  <c r="J100" i="56" s="1"/>
  <c r="I101" i="56"/>
  <c r="J101" i="56" s="1"/>
  <c r="I102" i="56"/>
  <c r="J102" i="56" s="1"/>
  <c r="E333" i="56"/>
  <c r="A24" i="45"/>
  <c r="A20" i="45"/>
  <c r="J89" i="56" l="1"/>
  <c r="G68" i="24"/>
  <c r="J333" i="56"/>
  <c r="E365" i="56"/>
  <c r="E366" i="56" s="1"/>
  <c r="E375" i="56" s="1"/>
  <c r="E348" i="56" s="1"/>
  <c r="J350" i="59"/>
  <c r="K59" i="59"/>
  <c r="K16" i="59"/>
  <c r="J350" i="56"/>
  <c r="J340" i="56"/>
  <c r="G69" i="24"/>
  <c r="G66" i="55"/>
  <c r="G66" i="54"/>
  <c r="G66" i="46"/>
  <c r="M340" i="57"/>
  <c r="J340" i="57"/>
  <c r="M333" i="57"/>
  <c r="J333" i="57"/>
  <c r="J340" i="58"/>
  <c r="K44" i="58"/>
  <c r="M15" i="58"/>
  <c r="K15" i="58" s="1"/>
  <c r="J333" i="58"/>
  <c r="J333" i="59"/>
  <c r="J340" i="59"/>
  <c r="K44" i="59"/>
  <c r="M15" i="59"/>
  <c r="J349" i="59"/>
  <c r="K15" i="59"/>
  <c r="K301" i="57"/>
  <c r="K286" i="57"/>
  <c r="K271" i="57"/>
  <c r="K23" i="57"/>
  <c r="K25" i="57"/>
  <c r="K44" i="57"/>
  <c r="K59" i="57"/>
  <c r="K106" i="57"/>
  <c r="K28" i="57"/>
  <c r="K24" i="57"/>
  <c r="K166" i="57"/>
  <c r="K196" i="57"/>
  <c r="K74" i="57"/>
  <c r="K89" i="57"/>
  <c r="M18" i="57"/>
  <c r="K18" i="57" s="1"/>
  <c r="K32" i="57"/>
  <c r="K27" i="57"/>
  <c r="K316" i="56"/>
  <c r="K33" i="56"/>
  <c r="K32" i="56"/>
  <c r="K301" i="56"/>
  <c r="K286" i="56"/>
  <c r="K28" i="56"/>
  <c r="K241" i="56"/>
  <c r="K27" i="56"/>
  <c r="K25" i="56"/>
  <c r="K196" i="56"/>
  <c r="K24" i="56"/>
  <c r="K23" i="56"/>
  <c r="K166" i="56"/>
  <c r="K89" i="56"/>
  <c r="M333" i="56"/>
  <c r="E379" i="56"/>
  <c r="E388" i="56" s="1"/>
  <c r="E349" i="56" s="1"/>
  <c r="J349" i="56" s="1"/>
  <c r="M340" i="56"/>
  <c r="K74" i="56"/>
  <c r="M17" i="56"/>
  <c r="K17" i="56" s="1"/>
  <c r="K106" i="56"/>
  <c r="M19" i="56"/>
  <c r="K19" i="56" s="1"/>
  <c r="K136" i="56"/>
  <c r="M21" i="56"/>
  <c r="K21" i="56" s="1"/>
  <c r="K121" i="56"/>
  <c r="M20" i="56"/>
  <c r="K20" i="56" s="1"/>
  <c r="K44" i="56"/>
  <c r="AF23" i="52"/>
  <c r="J286" i="59"/>
  <c r="J316" i="59"/>
  <c r="J33" i="59" s="1"/>
  <c r="J256" i="59"/>
  <c r="J226" i="59"/>
  <c r="J27" i="59" s="1"/>
  <c r="J196" i="59"/>
  <c r="J25" i="59" s="1"/>
  <c r="J166" i="59"/>
  <c r="J23" i="59" s="1"/>
  <c r="J136" i="59"/>
  <c r="J21" i="59" s="1"/>
  <c r="J301" i="59"/>
  <c r="J32" i="59" s="1"/>
  <c r="J271" i="59"/>
  <c r="J241" i="59"/>
  <c r="J28" i="59" s="1"/>
  <c r="J181" i="59"/>
  <c r="J24" i="59" s="1"/>
  <c r="E366" i="59"/>
  <c r="E375" i="59" s="1"/>
  <c r="E348" i="59" s="1"/>
  <c r="M348" i="59" s="1"/>
  <c r="E331" i="59"/>
  <c r="E34" i="59" s="1"/>
  <c r="K34" i="59" s="1"/>
  <c r="J106" i="59"/>
  <c r="J74" i="59"/>
  <c r="J17" i="59" s="1"/>
  <c r="J44" i="59"/>
  <c r="J15" i="59" s="1"/>
  <c r="J211" i="59"/>
  <c r="J26" i="59" s="1"/>
  <c r="J151" i="59"/>
  <c r="J22" i="59" s="1"/>
  <c r="J121" i="59"/>
  <c r="J89" i="59"/>
  <c r="J59" i="59"/>
  <c r="J241" i="58"/>
  <c r="J28" i="58" s="1"/>
  <c r="J121" i="58"/>
  <c r="J271" i="58"/>
  <c r="J211" i="58"/>
  <c r="J26" i="58" s="1"/>
  <c r="J301" i="58"/>
  <c r="J32" i="58" s="1"/>
  <c r="J181" i="58"/>
  <c r="J24" i="58" s="1"/>
  <c r="J151" i="58"/>
  <c r="J22" i="58" s="1"/>
  <c r="E366" i="58"/>
  <c r="E375" i="58" s="1"/>
  <c r="E348" i="58" s="1"/>
  <c r="M348" i="58" s="1"/>
  <c r="E331" i="58"/>
  <c r="E34" i="58" s="1"/>
  <c r="K34" i="58" s="1"/>
  <c r="E379" i="58"/>
  <c r="E388" i="58" s="1"/>
  <c r="E349" i="58" s="1"/>
  <c r="M349" i="58" s="1"/>
  <c r="J286" i="58"/>
  <c r="J166" i="58"/>
  <c r="J23" i="58" s="1"/>
  <c r="J89" i="58"/>
  <c r="J59" i="58"/>
  <c r="J316" i="58"/>
  <c r="J33" i="58" s="1"/>
  <c r="J256" i="58"/>
  <c r="J226" i="58"/>
  <c r="J27" i="58" s="1"/>
  <c r="J196" i="58"/>
  <c r="J25" i="58" s="1"/>
  <c r="J136" i="58"/>
  <c r="J21" i="58" s="1"/>
  <c r="J106" i="58"/>
  <c r="J74" i="58"/>
  <c r="J17" i="58" s="1"/>
  <c r="J44" i="58"/>
  <c r="J15" i="58" s="1"/>
  <c r="J301" i="57"/>
  <c r="J211" i="57"/>
  <c r="J271" i="57"/>
  <c r="J241" i="57"/>
  <c r="E379" i="57"/>
  <c r="E388" i="57" s="1"/>
  <c r="E349" i="57" s="1"/>
  <c r="J151" i="57"/>
  <c r="J286" i="57"/>
  <c r="J106" i="57"/>
  <c r="J74" i="57"/>
  <c r="J44" i="57"/>
  <c r="E366" i="57"/>
  <c r="E375" i="57" s="1"/>
  <c r="E348" i="57" s="1"/>
  <c r="E331" i="57"/>
  <c r="E34" i="57" s="1"/>
  <c r="J181" i="57"/>
  <c r="J121" i="57"/>
  <c r="J89" i="57"/>
  <c r="J59" i="57"/>
  <c r="J316" i="57"/>
  <c r="J256" i="57"/>
  <c r="J226" i="57"/>
  <c r="J196" i="57"/>
  <c r="J166" i="57"/>
  <c r="J136" i="57"/>
  <c r="J151" i="56"/>
  <c r="J241" i="56"/>
  <c r="J181" i="56"/>
  <c r="J121" i="56"/>
  <c r="J301" i="56"/>
  <c r="J211" i="56"/>
  <c r="J271" i="56"/>
  <c r="J59" i="56"/>
  <c r="J316" i="56"/>
  <c r="J256" i="56"/>
  <c r="J226" i="56"/>
  <c r="J196" i="56"/>
  <c r="J136" i="56"/>
  <c r="J106" i="56"/>
  <c r="J74" i="56"/>
  <c r="J44" i="56"/>
  <c r="J15" i="56" s="1"/>
  <c r="E331" i="56"/>
  <c r="E34" i="56" s="1"/>
  <c r="J286" i="56"/>
  <c r="J166" i="56"/>
  <c r="A44" i="7"/>
  <c r="I89" i="58" l="1"/>
  <c r="J18" i="58"/>
  <c r="I286" i="58"/>
  <c r="J31" i="58"/>
  <c r="I271" i="58"/>
  <c r="J30" i="58"/>
  <c r="I89" i="59"/>
  <c r="J18" i="59"/>
  <c r="I106" i="59"/>
  <c r="J19" i="59"/>
  <c r="I106" i="58"/>
  <c r="J19" i="58"/>
  <c r="I256" i="58"/>
  <c r="J29" i="58"/>
  <c r="I59" i="58"/>
  <c r="J16" i="58"/>
  <c r="I121" i="58"/>
  <c r="J20" i="58"/>
  <c r="I59" i="59"/>
  <c r="J16" i="59"/>
  <c r="I121" i="59"/>
  <c r="J20" i="59"/>
  <c r="I271" i="59"/>
  <c r="J30" i="59"/>
  <c r="I256" i="59"/>
  <c r="J29" i="59"/>
  <c r="I286" i="59"/>
  <c r="J31" i="59"/>
  <c r="J349" i="57"/>
  <c r="M349" i="57"/>
  <c r="M348" i="57"/>
  <c r="J348" i="57"/>
  <c r="J348" i="59"/>
  <c r="J347" i="59" s="1"/>
  <c r="J35" i="59" s="1"/>
  <c r="J349" i="58"/>
  <c r="J348" i="58"/>
  <c r="E347" i="58"/>
  <c r="E414" i="58" s="1"/>
  <c r="M348" i="56"/>
  <c r="J348" i="56"/>
  <c r="J347" i="56" s="1"/>
  <c r="J35" i="56" s="1"/>
  <c r="I256" i="57"/>
  <c r="J29" i="57"/>
  <c r="I106" i="57"/>
  <c r="J19" i="57"/>
  <c r="J26" i="57"/>
  <c r="I211" i="57"/>
  <c r="J23" i="57"/>
  <c r="I166" i="57"/>
  <c r="I286" i="57"/>
  <c r="J31" i="57"/>
  <c r="J32" i="57"/>
  <c r="I301" i="57"/>
  <c r="J25" i="57"/>
  <c r="I196" i="57"/>
  <c r="I59" i="57"/>
  <c r="J16" i="57"/>
  <c r="I44" i="57"/>
  <c r="J15" i="57"/>
  <c r="J22" i="57"/>
  <c r="I151" i="57"/>
  <c r="J28" i="57"/>
  <c r="I241" i="57"/>
  <c r="J21" i="57"/>
  <c r="I136" i="57"/>
  <c r="I121" i="57"/>
  <c r="J20" i="57"/>
  <c r="I316" i="57"/>
  <c r="J33" i="57"/>
  <c r="J24" i="57"/>
  <c r="I181" i="57"/>
  <c r="J27" i="57"/>
  <c r="I226" i="57"/>
  <c r="I89" i="57"/>
  <c r="J18" i="57"/>
  <c r="J17" i="57"/>
  <c r="I74" i="57"/>
  <c r="I271" i="57"/>
  <c r="J30" i="57"/>
  <c r="M331" i="57"/>
  <c r="M34" i="57" s="1"/>
  <c r="K34" i="57" s="1"/>
  <c r="J33" i="56"/>
  <c r="I316" i="56"/>
  <c r="J32" i="56"/>
  <c r="I301" i="56"/>
  <c r="J28" i="56"/>
  <c r="I241" i="56"/>
  <c r="J27" i="56"/>
  <c r="I226" i="56"/>
  <c r="J26" i="56"/>
  <c r="I211" i="56"/>
  <c r="J25" i="56"/>
  <c r="I196" i="56"/>
  <c r="J24" i="56"/>
  <c r="I181" i="56"/>
  <c r="J23" i="56"/>
  <c r="I166" i="56"/>
  <c r="M349" i="56"/>
  <c r="I106" i="56"/>
  <c r="J19" i="56"/>
  <c r="I256" i="56"/>
  <c r="J29" i="56"/>
  <c r="I271" i="56"/>
  <c r="J30" i="56"/>
  <c r="I136" i="56"/>
  <c r="J21" i="56"/>
  <c r="I59" i="56"/>
  <c r="J16" i="56"/>
  <c r="I151" i="56"/>
  <c r="J22" i="56"/>
  <c r="I286" i="56"/>
  <c r="J31" i="56"/>
  <c r="I74" i="56"/>
  <c r="J17" i="56"/>
  <c r="I89" i="56"/>
  <c r="J18" i="56"/>
  <c r="I121" i="56"/>
  <c r="J20" i="56"/>
  <c r="I44" i="56"/>
  <c r="M331" i="59"/>
  <c r="M34" i="59" s="1"/>
  <c r="E347" i="59"/>
  <c r="E414" i="59" s="1"/>
  <c r="J331" i="59"/>
  <c r="J331" i="57"/>
  <c r="J34" i="57" s="1"/>
  <c r="I44" i="59"/>
  <c r="K331" i="59"/>
  <c r="I331" i="59"/>
  <c r="E347" i="57"/>
  <c r="M347" i="57" s="1"/>
  <c r="I44" i="58"/>
  <c r="M331" i="58"/>
  <c r="M34" i="58" s="1"/>
  <c r="J331" i="58"/>
  <c r="J34" i="58" s="1"/>
  <c r="K331" i="58"/>
  <c r="I331" i="58"/>
  <c r="I331" i="57"/>
  <c r="E347" i="56"/>
  <c r="E414" i="56" s="1"/>
  <c r="M331" i="56"/>
  <c r="M34" i="56" s="1"/>
  <c r="K34" i="56" s="1"/>
  <c r="J331" i="56"/>
  <c r="I331" i="56" s="1"/>
  <c r="J347" i="57" l="1"/>
  <c r="J35" i="57" s="1"/>
  <c r="J347" i="58"/>
  <c r="J35" i="58" s="1"/>
  <c r="M347" i="58"/>
  <c r="M35" i="58" s="1"/>
  <c r="E35" i="58"/>
  <c r="E14" i="54"/>
  <c r="E39" i="54" s="1"/>
  <c r="E37" i="58"/>
  <c r="J414" i="59"/>
  <c r="I414" i="59" s="1"/>
  <c r="H14" i="55" s="1"/>
  <c r="J34" i="59"/>
  <c r="E14" i="55"/>
  <c r="E37" i="59"/>
  <c r="E35" i="59"/>
  <c r="M347" i="59"/>
  <c r="M35" i="59" s="1"/>
  <c r="E414" i="57"/>
  <c r="G414" i="57" s="1"/>
  <c r="G14" i="46" s="1"/>
  <c r="E35" i="57"/>
  <c r="K331" i="57"/>
  <c r="K331" i="56"/>
  <c r="E14" i="24"/>
  <c r="E39" i="24" s="1"/>
  <c r="E37" i="56"/>
  <c r="J414" i="56"/>
  <c r="I414" i="56" s="1"/>
  <c r="H14" i="24" s="1"/>
  <c r="J34" i="56"/>
  <c r="M347" i="56"/>
  <c r="M35" i="56" s="1"/>
  <c r="E35" i="56"/>
  <c r="E39" i="55"/>
  <c r="I347" i="59"/>
  <c r="M35" i="57"/>
  <c r="I347" i="57"/>
  <c r="G414" i="59"/>
  <c r="G14" i="55" s="1"/>
  <c r="M409" i="59"/>
  <c r="M408" i="59" s="1"/>
  <c r="G414" i="58"/>
  <c r="G14" i="54" s="1"/>
  <c r="M409" i="58"/>
  <c r="M408" i="58" s="1"/>
  <c r="I347" i="56"/>
  <c r="G414" i="56"/>
  <c r="G14" i="24" s="1"/>
  <c r="M409" i="56"/>
  <c r="M408" i="56" s="1"/>
  <c r="W9" i="1"/>
  <c r="W8" i="1"/>
  <c r="Q9" i="1"/>
  <c r="Q8" i="1"/>
  <c r="K9" i="1"/>
  <c r="K8" i="1"/>
  <c r="E9" i="1"/>
  <c r="E8" i="1"/>
  <c r="G82" i="7"/>
  <c r="G71" i="7"/>
  <c r="F82" i="7"/>
  <c r="F71" i="7"/>
  <c r="F11" i="23"/>
  <c r="F10" i="23"/>
  <c r="E11" i="23"/>
  <c r="E10" i="23"/>
  <c r="T131" i="55"/>
  <c r="C7" i="55"/>
  <c r="T131" i="54"/>
  <c r="C7" i="54"/>
  <c r="P118" i="55"/>
  <c r="P117" i="55"/>
  <c r="P116" i="55"/>
  <c r="A94" i="55"/>
  <c r="A93" i="55"/>
  <c r="A92" i="55"/>
  <c r="A91" i="55"/>
  <c r="E89" i="55"/>
  <c r="D88" i="55"/>
  <c r="E112" i="55" s="1"/>
  <c r="A76" i="55"/>
  <c r="A75" i="55"/>
  <c r="A74" i="55"/>
  <c r="A103" i="55" s="1"/>
  <c r="A73" i="55"/>
  <c r="A71" i="55"/>
  <c r="A70" i="55"/>
  <c r="C67" i="55"/>
  <c r="G67" i="55" s="1"/>
  <c r="C65" i="55"/>
  <c r="Q64" i="55"/>
  <c r="C63" i="55"/>
  <c r="P55" i="55"/>
  <c r="E47" i="55"/>
  <c r="N5" i="55"/>
  <c r="A5" i="55"/>
  <c r="A2" i="55"/>
  <c r="P118" i="54"/>
  <c r="P117" i="54"/>
  <c r="P116" i="54"/>
  <c r="A94" i="54"/>
  <c r="A93" i="54"/>
  <c r="A92" i="54"/>
  <c r="A91" i="54"/>
  <c r="E89" i="54"/>
  <c r="D88" i="54"/>
  <c r="E112" i="54" s="1"/>
  <c r="A76" i="54"/>
  <c r="A75" i="54"/>
  <c r="A74" i="54"/>
  <c r="A103" i="54" s="1"/>
  <c r="A73" i="54"/>
  <c r="A71" i="54"/>
  <c r="A70" i="54"/>
  <c r="C67" i="54"/>
  <c r="G67" i="54" s="1"/>
  <c r="C65" i="54"/>
  <c r="Q64" i="54"/>
  <c r="C63" i="54"/>
  <c r="P55" i="54"/>
  <c r="E47" i="54"/>
  <c r="N5" i="54"/>
  <c r="A5" i="54"/>
  <c r="A2" i="54"/>
  <c r="S84" i="53"/>
  <c r="N84" i="53"/>
  <c r="I84" i="53"/>
  <c r="C84" i="53"/>
  <c r="S83" i="53"/>
  <c r="N83" i="53"/>
  <c r="I83" i="53"/>
  <c r="C83" i="53"/>
  <c r="S82" i="53"/>
  <c r="N82" i="53"/>
  <c r="I82" i="53"/>
  <c r="C82" i="53"/>
  <c r="H71" i="53"/>
  <c r="M70" i="53" s="1"/>
  <c r="I53" i="53"/>
  <c r="E53" i="53"/>
  <c r="B51" i="53" s="1"/>
  <c r="S46" i="53"/>
  <c r="S48" i="53" s="1"/>
  <c r="I49" i="53"/>
  <c r="E49" i="53" s="1"/>
  <c r="B47" i="53" s="1"/>
  <c r="I45" i="53"/>
  <c r="E45" i="53" s="1"/>
  <c r="B43" i="53" s="1"/>
  <c r="I41" i="53"/>
  <c r="AF29" i="53" s="1"/>
  <c r="AF30" i="53" s="1"/>
  <c r="E37" i="53"/>
  <c r="S33" i="53"/>
  <c r="S35" i="53" s="1"/>
  <c r="I24" i="53"/>
  <c r="E23" i="53" s="1"/>
  <c r="S18" i="53"/>
  <c r="S20" i="53" s="1"/>
  <c r="H16" i="53"/>
  <c r="M15" i="53" s="1"/>
  <c r="E10" i="53"/>
  <c r="U5" i="53"/>
  <c r="H5" i="53"/>
  <c r="A2" i="53"/>
  <c r="S84" i="52"/>
  <c r="N84" i="52"/>
  <c r="I84" i="52"/>
  <c r="C84" i="52"/>
  <c r="S83" i="52"/>
  <c r="N83" i="52"/>
  <c r="I83" i="52"/>
  <c r="C83" i="52"/>
  <c r="S82" i="52"/>
  <c r="N82" i="52"/>
  <c r="I82" i="52"/>
  <c r="C82" i="52"/>
  <c r="H71" i="52"/>
  <c r="M70" i="52" s="1"/>
  <c r="I60" i="52"/>
  <c r="I53" i="52"/>
  <c r="E53" i="52" s="1"/>
  <c r="B51" i="52" s="1"/>
  <c r="S46" i="52"/>
  <c r="S48" i="52" s="1"/>
  <c r="I49" i="52"/>
  <c r="E49" i="52" s="1"/>
  <c r="B47" i="52" s="1"/>
  <c r="I45" i="52"/>
  <c r="E45" i="52"/>
  <c r="B43" i="52" s="1"/>
  <c r="I41" i="52"/>
  <c r="E41" i="52" s="1"/>
  <c r="E37" i="52"/>
  <c r="E35" i="52" s="1"/>
  <c r="AF25" i="52" s="1"/>
  <c r="S33" i="52"/>
  <c r="S35" i="52" s="1"/>
  <c r="S18" i="52"/>
  <c r="S20" i="52" s="1"/>
  <c r="H16" i="52"/>
  <c r="M15" i="52" s="1"/>
  <c r="E10" i="52"/>
  <c r="U5" i="52"/>
  <c r="H5" i="52"/>
  <c r="A2" i="52"/>
  <c r="C11" i="23"/>
  <c r="C10" i="23"/>
  <c r="D11" i="23"/>
  <c r="D10" i="23"/>
  <c r="E59" i="52" l="1"/>
  <c r="E60" i="52"/>
  <c r="S52" i="52"/>
  <c r="S51" i="52"/>
  <c r="S52" i="53"/>
  <c r="S51" i="53"/>
  <c r="J414" i="57"/>
  <c r="J14" i="46" s="1"/>
  <c r="J414" i="58"/>
  <c r="J14" i="54" s="1"/>
  <c r="J39" i="54" s="1"/>
  <c r="H39" i="54" s="1"/>
  <c r="H54" i="54" s="1"/>
  <c r="AF73" i="53"/>
  <c r="G85" i="7"/>
  <c r="G74" i="7"/>
  <c r="AF73" i="52"/>
  <c r="F74" i="7"/>
  <c r="F85" i="7"/>
  <c r="S38" i="53"/>
  <c r="S39" i="53"/>
  <c r="S38" i="52"/>
  <c r="S39" i="52"/>
  <c r="E54" i="54"/>
  <c r="I347" i="58"/>
  <c r="G39" i="54"/>
  <c r="G54" i="54" s="1"/>
  <c r="K35" i="58"/>
  <c r="M409" i="57"/>
  <c r="M408" i="57" s="1"/>
  <c r="M36" i="57" s="1"/>
  <c r="D43" i="23"/>
  <c r="D39" i="23"/>
  <c r="D40" i="23"/>
  <c r="D41" i="23"/>
  <c r="D42" i="23"/>
  <c r="D38" i="23"/>
  <c r="C43" i="23"/>
  <c r="C41" i="23"/>
  <c r="C39" i="23"/>
  <c r="C34" i="23"/>
  <c r="C42" i="23"/>
  <c r="C40" i="23"/>
  <c r="C38" i="23"/>
  <c r="E43" i="23"/>
  <c r="E41" i="23"/>
  <c r="E39" i="23"/>
  <c r="E42" i="23"/>
  <c r="E38" i="23"/>
  <c r="E40" i="23"/>
  <c r="E34" i="23"/>
  <c r="F40" i="23"/>
  <c r="F34" i="23"/>
  <c r="F43" i="23"/>
  <c r="F41" i="23"/>
  <c r="F39" i="23"/>
  <c r="F42" i="23"/>
  <c r="F38" i="23"/>
  <c r="V117" i="55"/>
  <c r="V117" i="54"/>
  <c r="A105" i="54"/>
  <c r="A105" i="55"/>
  <c r="G39" i="24"/>
  <c r="M414" i="58"/>
  <c r="M36" i="58"/>
  <c r="M414" i="59"/>
  <c r="M36" i="59"/>
  <c r="K35" i="59"/>
  <c r="J14" i="55"/>
  <c r="J39" i="55" s="1"/>
  <c r="H39" i="55" s="1"/>
  <c r="J37" i="59"/>
  <c r="I414" i="58"/>
  <c r="H14" i="54" s="1"/>
  <c r="I414" i="57"/>
  <c r="H14" i="46" s="1"/>
  <c r="K35" i="57"/>
  <c r="E14" i="46"/>
  <c r="E39" i="46" s="1"/>
  <c r="G39" i="46" s="1"/>
  <c r="E37" i="57"/>
  <c r="J14" i="24"/>
  <c r="J37" i="56"/>
  <c r="M414" i="56"/>
  <c r="M36" i="56"/>
  <c r="K35" i="56"/>
  <c r="A102" i="54"/>
  <c r="A104" i="54"/>
  <c r="E75" i="54"/>
  <c r="A101" i="55"/>
  <c r="G75" i="7"/>
  <c r="G87" i="7"/>
  <c r="G77" i="7"/>
  <c r="A101" i="54"/>
  <c r="A104" i="55"/>
  <c r="E75" i="55"/>
  <c r="E41" i="53"/>
  <c r="E35" i="53"/>
  <c r="AF25" i="53" s="1"/>
  <c r="G39" i="55"/>
  <c r="B39" i="52"/>
  <c r="G78" i="54" s="1"/>
  <c r="M414" i="57"/>
  <c r="G76" i="7"/>
  <c r="G86" i="7"/>
  <c r="G88" i="7"/>
  <c r="F86" i="7"/>
  <c r="F87" i="7"/>
  <c r="F88" i="7"/>
  <c r="F75" i="7"/>
  <c r="F77" i="7"/>
  <c r="F76" i="7"/>
  <c r="T132" i="55"/>
  <c r="V131" i="55" s="1"/>
  <c r="T132" i="54"/>
  <c r="T134" i="54" s="1"/>
  <c r="R117" i="54"/>
  <c r="T117" i="54"/>
  <c r="T117" i="55"/>
  <c r="R117" i="55"/>
  <c r="C116" i="55"/>
  <c r="C116" i="54"/>
  <c r="P115" i="54"/>
  <c r="P115" i="55"/>
  <c r="A99" i="55"/>
  <c r="A100" i="55"/>
  <c r="A102" i="55"/>
  <c r="A99" i="54"/>
  <c r="A100" i="54"/>
  <c r="E82" i="7"/>
  <c r="E71" i="7"/>
  <c r="C7" i="46"/>
  <c r="T131" i="46"/>
  <c r="S84" i="47"/>
  <c r="N84" i="47"/>
  <c r="I84" i="47"/>
  <c r="C84" i="47"/>
  <c r="S83" i="47"/>
  <c r="N83" i="47"/>
  <c r="I83" i="47"/>
  <c r="C83" i="47"/>
  <c r="S82" i="47"/>
  <c r="N82" i="47"/>
  <c r="I82" i="47"/>
  <c r="C82" i="47"/>
  <c r="H71" i="47"/>
  <c r="M70" i="47" s="1"/>
  <c r="I60" i="47"/>
  <c r="E59" i="47" s="1"/>
  <c r="I53" i="47"/>
  <c r="E53" i="47" s="1"/>
  <c r="B51" i="47" s="1"/>
  <c r="S46" i="47"/>
  <c r="S48" i="47" s="1"/>
  <c r="I49" i="47"/>
  <c r="E49" i="47" s="1"/>
  <c r="B47" i="47" s="1"/>
  <c r="I45" i="47"/>
  <c r="E45" i="47" s="1"/>
  <c r="B43" i="47" s="1"/>
  <c r="I41" i="47"/>
  <c r="E41" i="47" s="1"/>
  <c r="S33" i="47"/>
  <c r="S35" i="47" s="1"/>
  <c r="E28" i="47"/>
  <c r="E26" i="47" s="1"/>
  <c r="I24" i="47"/>
  <c r="E23" i="47" s="1"/>
  <c r="S18" i="47"/>
  <c r="S20" i="47" s="1"/>
  <c r="H16" i="47"/>
  <c r="M15" i="47" s="1"/>
  <c r="E10" i="47"/>
  <c r="U5" i="47"/>
  <c r="H5" i="47"/>
  <c r="A2" i="47"/>
  <c r="P118" i="46"/>
  <c r="P117" i="46"/>
  <c r="P116" i="46"/>
  <c r="A94" i="46"/>
  <c r="A93" i="46"/>
  <c r="A92" i="46"/>
  <c r="A91" i="46"/>
  <c r="E89" i="46"/>
  <c r="D88" i="46"/>
  <c r="E112" i="46" s="1"/>
  <c r="A76" i="46"/>
  <c r="A75" i="46"/>
  <c r="A74" i="46"/>
  <c r="A73" i="46"/>
  <c r="A71" i="46"/>
  <c r="A100" i="46" s="1"/>
  <c r="A70" i="46"/>
  <c r="C67" i="46"/>
  <c r="G67" i="46" s="1"/>
  <c r="C65" i="46"/>
  <c r="Q64" i="46"/>
  <c r="C63" i="46"/>
  <c r="P55" i="46"/>
  <c r="E47" i="46"/>
  <c r="J9" i="46"/>
  <c r="N5" i="46"/>
  <c r="A5" i="46"/>
  <c r="A2" i="46"/>
  <c r="E47" i="24"/>
  <c r="J54" i="54" l="1"/>
  <c r="AI78" i="54"/>
  <c r="AH78" i="54"/>
  <c r="BM78" i="54"/>
  <c r="X78" i="54"/>
  <c r="AC78" i="54"/>
  <c r="BF78" i="54"/>
  <c r="AG78" i="54"/>
  <c r="AJ78" i="54"/>
  <c r="BI78" i="54"/>
  <c r="AY78" i="54"/>
  <c r="BP78" i="54"/>
  <c r="S78" i="54"/>
  <c r="AX78" i="54"/>
  <c r="BD78" i="54"/>
  <c r="Z78" i="54"/>
  <c r="BQ78" i="54"/>
  <c r="BG78" i="54"/>
  <c r="AF78" i="54"/>
  <c r="AU78" i="54"/>
  <c r="AN78" i="54"/>
  <c r="BB78" i="54"/>
  <c r="BO78" i="54"/>
  <c r="Y78" i="54"/>
  <c r="BA78" i="54"/>
  <c r="AE78" i="54"/>
  <c r="BN78" i="54"/>
  <c r="AT78" i="54"/>
  <c r="AM78" i="54"/>
  <c r="AK78" i="54"/>
  <c r="AQ78" i="54"/>
  <c r="BE78" i="54"/>
  <c r="AR78" i="54"/>
  <c r="AL78" i="54"/>
  <c r="U78" i="54"/>
  <c r="BH78" i="54"/>
  <c r="V78" i="54"/>
  <c r="AA78" i="54"/>
  <c r="AD78" i="54"/>
  <c r="AS78" i="54"/>
  <c r="AB78" i="54"/>
  <c r="BK78" i="54"/>
  <c r="AO78" i="54"/>
  <c r="W78" i="54"/>
  <c r="AP78" i="54"/>
  <c r="AV78" i="54"/>
  <c r="T78" i="54"/>
  <c r="BC78" i="54"/>
  <c r="BJ78" i="54"/>
  <c r="AW78" i="54"/>
  <c r="AZ78" i="54"/>
  <c r="BL78" i="54"/>
  <c r="G77" i="54"/>
  <c r="G76" i="54"/>
  <c r="S52" i="47"/>
  <c r="S51" i="47"/>
  <c r="J37" i="57"/>
  <c r="J37" i="58"/>
  <c r="AF73" i="47"/>
  <c r="E85" i="7"/>
  <c r="E74" i="7"/>
  <c r="D34" i="23"/>
  <c r="S39" i="47"/>
  <c r="S38" i="47"/>
  <c r="F44" i="23"/>
  <c r="E44" i="23"/>
  <c r="D44" i="23"/>
  <c r="T116" i="55"/>
  <c r="T116" i="54"/>
  <c r="T117" i="46"/>
  <c r="H15" i="46"/>
  <c r="J15" i="46" s="1"/>
  <c r="H16" i="46"/>
  <c r="J16" i="46" s="1"/>
  <c r="H17" i="46"/>
  <c r="J17" i="46" s="1"/>
  <c r="H18" i="46"/>
  <c r="J18" i="46" s="1"/>
  <c r="H19" i="46"/>
  <c r="J19" i="46" s="1"/>
  <c r="H21" i="46"/>
  <c r="J21" i="46" s="1"/>
  <c r="H22" i="46"/>
  <c r="J22" i="46" s="1"/>
  <c r="H23" i="46"/>
  <c r="J23" i="46" s="1"/>
  <c r="H38" i="46"/>
  <c r="J38" i="46" s="1"/>
  <c r="A105" i="46"/>
  <c r="B39" i="53"/>
  <c r="G78" i="55" s="1"/>
  <c r="BL78" i="55" s="1"/>
  <c r="N14" i="54"/>
  <c r="M37" i="58"/>
  <c r="K37" i="58" s="1"/>
  <c r="N14" i="55"/>
  <c r="M37" i="59"/>
  <c r="K37" i="59" s="1"/>
  <c r="N14" i="46"/>
  <c r="M37" i="57"/>
  <c r="K37" i="57" s="1"/>
  <c r="N14" i="24"/>
  <c r="N39" i="24" s="1"/>
  <c r="K39" i="24" s="1"/>
  <c r="M37" i="56"/>
  <c r="K37" i="56" s="1"/>
  <c r="A104" i="46"/>
  <c r="E75" i="46"/>
  <c r="A102" i="46"/>
  <c r="AF23" i="47"/>
  <c r="E86" i="7"/>
  <c r="E87" i="7"/>
  <c r="E88" i="7"/>
  <c r="V131" i="54"/>
  <c r="U134" i="54"/>
  <c r="T134" i="55"/>
  <c r="B39" i="47"/>
  <c r="G78" i="46" s="1"/>
  <c r="U134" i="55"/>
  <c r="V132" i="54"/>
  <c r="V132" i="55"/>
  <c r="E75" i="7"/>
  <c r="E77" i="7"/>
  <c r="E76" i="7"/>
  <c r="T132" i="46"/>
  <c r="V132" i="46" s="1"/>
  <c r="Q116" i="54"/>
  <c r="U116" i="54"/>
  <c r="V117" i="46"/>
  <c r="P115" i="46"/>
  <c r="Q116" i="55"/>
  <c r="U116" i="55"/>
  <c r="C116" i="46"/>
  <c r="A99" i="46"/>
  <c r="A101" i="46"/>
  <c r="A103" i="46"/>
  <c r="R117" i="46"/>
  <c r="BC78" i="55" l="1"/>
  <c r="AN78" i="55"/>
  <c r="AO78" i="55"/>
  <c r="BO78" i="55"/>
  <c r="BA78" i="55"/>
  <c r="BM78" i="55"/>
  <c r="BK78" i="55"/>
  <c r="X78" i="46"/>
  <c r="AI78" i="46"/>
  <c r="BB78" i="46"/>
  <c r="AH78" i="46"/>
  <c r="AS78" i="46"/>
  <c r="AK78" i="46"/>
  <c r="AV78" i="46"/>
  <c r="Z78" i="46"/>
  <c r="S78" i="46"/>
  <c r="AR78" i="46"/>
  <c r="W78" i="46"/>
  <c r="AW78" i="46"/>
  <c r="BN78" i="46"/>
  <c r="AQ78" i="46"/>
  <c r="BL78" i="46"/>
  <c r="AY78" i="46"/>
  <c r="U78" i="46"/>
  <c r="AN78" i="46"/>
  <c r="BH78" i="46"/>
  <c r="BD78" i="46"/>
  <c r="AT78" i="46"/>
  <c r="BF78" i="46"/>
  <c r="AO78" i="46"/>
  <c r="AJ78" i="46"/>
  <c r="BG78" i="46"/>
  <c r="V78" i="46"/>
  <c r="BO78" i="46"/>
  <c r="AE78" i="46"/>
  <c r="BI78" i="46"/>
  <c r="AG78" i="46"/>
  <c r="AB78" i="46"/>
  <c r="AU78" i="46"/>
  <c r="BP78" i="46"/>
  <c r="AF78" i="46"/>
  <c r="BC78" i="46"/>
  <c r="T78" i="46"/>
  <c r="BM78" i="46"/>
  <c r="BA78" i="46"/>
  <c r="AP78" i="46"/>
  <c r="AD78" i="46"/>
  <c r="BK78" i="46"/>
  <c r="BJ78" i="46"/>
  <c r="BQ78" i="46"/>
  <c r="AA78" i="46"/>
  <c r="BE78" i="46"/>
  <c r="AM78" i="46"/>
  <c r="Y78" i="46"/>
  <c r="AL78" i="46"/>
  <c r="AX78" i="46"/>
  <c r="AC78" i="46"/>
  <c r="AZ78" i="46"/>
  <c r="BJ78" i="55"/>
  <c r="AQ78" i="55"/>
  <c r="AP78" i="55"/>
  <c r="AI78" i="55"/>
  <c r="AS78" i="55"/>
  <c r="BF78" i="55"/>
  <c r="AR78" i="55"/>
  <c r="BI78" i="55"/>
  <c r="AD78" i="55"/>
  <c r="AZ78" i="55"/>
  <c r="U78" i="55"/>
  <c r="V78" i="55"/>
  <c r="BD78" i="55"/>
  <c r="T78" i="55"/>
  <c r="AB78" i="55"/>
  <c r="AV78" i="55"/>
  <c r="AX78" i="55"/>
  <c r="AW78" i="55"/>
  <c r="AT78" i="55"/>
  <c r="AF78" i="55"/>
  <c r="AG78" i="55"/>
  <c r="BB78" i="55"/>
  <c r="AK78" i="55"/>
  <c r="BN78" i="55"/>
  <c r="AJ78" i="55"/>
  <c r="AU78" i="55"/>
  <c r="BQ78" i="55"/>
  <c r="AH78" i="55"/>
  <c r="AA78" i="55"/>
  <c r="BG78" i="55"/>
  <c r="BP78" i="55"/>
  <c r="S78" i="55"/>
  <c r="X78" i="55"/>
  <c r="AY78" i="55"/>
  <c r="BH78" i="55"/>
  <c r="BE78" i="55"/>
  <c r="AL78" i="55"/>
  <c r="AE78" i="55"/>
  <c r="Z78" i="55"/>
  <c r="W78" i="55"/>
  <c r="Y78" i="55"/>
  <c r="AC78" i="55"/>
  <c r="AM78" i="55"/>
  <c r="G76" i="55"/>
  <c r="G77" i="46"/>
  <c r="G76" i="46"/>
  <c r="K14" i="54"/>
  <c r="N39" i="54"/>
  <c r="K14" i="46"/>
  <c r="N39" i="46"/>
  <c r="K39" i="46" s="1"/>
  <c r="Q116" i="46"/>
  <c r="J39" i="46"/>
  <c r="H39" i="46" s="1"/>
  <c r="N39" i="55"/>
  <c r="K39" i="55" s="1"/>
  <c r="K14" i="55"/>
  <c r="T134" i="46"/>
  <c r="U134" i="46"/>
  <c r="V131" i="46"/>
  <c r="T116" i="46"/>
  <c r="U116" i="46"/>
  <c r="Q64" i="24"/>
  <c r="AQ44" i="40"/>
  <c r="AQ54" i="40"/>
  <c r="K39" i="54" l="1"/>
  <c r="N54" i="54"/>
  <c r="K54" i="54" s="1"/>
  <c r="P88" i="55"/>
  <c r="E54" i="55"/>
  <c r="H54" i="55"/>
  <c r="I42" i="34"/>
  <c r="J54" i="55" l="1"/>
  <c r="S72" i="53"/>
  <c r="T139" i="55" s="1"/>
  <c r="S72" i="52"/>
  <c r="S72" i="47"/>
  <c r="T139" i="46" s="1"/>
  <c r="G89" i="55"/>
  <c r="F15" i="23" s="1"/>
  <c r="N54" i="55"/>
  <c r="K54" i="55" s="1"/>
  <c r="G54" i="55"/>
  <c r="P88" i="54"/>
  <c r="P88" i="46"/>
  <c r="E54" i="46"/>
  <c r="A21" i="7"/>
  <c r="D88" i="24"/>
  <c r="E112" i="24" s="1"/>
  <c r="T139" i="54" l="1"/>
  <c r="S89" i="55"/>
  <c r="H54" i="46"/>
  <c r="J54" i="46" s="1"/>
  <c r="G89" i="54"/>
  <c r="E15" i="23" s="1"/>
  <c r="G89" i="46"/>
  <c r="N54" i="46"/>
  <c r="K54" i="46" s="1"/>
  <c r="G54" i="46"/>
  <c r="T31" i="34"/>
  <c r="P55" i="24"/>
  <c r="G88" i="46" l="1"/>
  <c r="D18" i="23" s="1"/>
  <c r="S89" i="46"/>
  <c r="D15" i="23"/>
  <c r="S89" i="54"/>
  <c r="G88" i="55"/>
  <c r="F18" i="23" s="1"/>
  <c r="G88" i="54"/>
  <c r="E18" i="23" s="1"/>
  <c r="T131" i="24"/>
  <c r="L88" i="46" l="1"/>
  <c r="D28" i="23" s="1"/>
  <c r="L88" i="55"/>
  <c r="F28" i="23" s="1"/>
  <c r="L88" i="54"/>
  <c r="E28" i="23" s="1"/>
  <c r="AH19" i="40" l="1"/>
  <c r="AT10" i="40"/>
  <c r="AT48" i="40" s="1"/>
  <c r="S59" i="24" l="1"/>
  <c r="T59" i="24" s="1"/>
  <c r="U59" i="24" s="1"/>
  <c r="V59" i="24" s="1"/>
  <c r="W59" i="24" s="1"/>
  <c r="X59" i="24" s="1"/>
  <c r="Y59" i="24" s="1"/>
  <c r="Z59" i="24" s="1"/>
  <c r="AA59" i="24" s="1"/>
  <c r="AB59" i="24" s="1"/>
  <c r="AC59" i="24" s="1"/>
  <c r="AD59" i="24" s="1"/>
  <c r="AE59" i="24" s="1"/>
  <c r="AF59" i="24" s="1"/>
  <c r="AG59" i="24" s="1"/>
  <c r="AH59" i="24" s="1"/>
  <c r="AI59" i="24" s="1"/>
  <c r="AJ59" i="24" s="1"/>
  <c r="AK59" i="24" s="1"/>
  <c r="AL59" i="24" s="1"/>
  <c r="AM59" i="24" s="1"/>
  <c r="AN59" i="24" s="1"/>
  <c r="AO59" i="24" s="1"/>
  <c r="AP59" i="24" s="1"/>
  <c r="AQ59" i="24" s="1"/>
  <c r="AR59" i="24" s="1"/>
  <c r="AS59" i="24" s="1"/>
  <c r="AT59" i="24" s="1"/>
  <c r="AU59" i="24" s="1"/>
  <c r="AV59" i="24" s="1"/>
  <c r="AW59" i="24" s="1"/>
  <c r="AX59" i="24" s="1"/>
  <c r="AY59" i="24" s="1"/>
  <c r="AZ59" i="24" s="1"/>
  <c r="BA59" i="24" s="1"/>
  <c r="BB59" i="24" s="1"/>
  <c r="BC59" i="24" s="1"/>
  <c r="BD59" i="24" s="1"/>
  <c r="BE59" i="24" s="1"/>
  <c r="BF59" i="24" s="1"/>
  <c r="BG59" i="24" s="1"/>
  <c r="BH59" i="24" s="1"/>
  <c r="BI59" i="24" s="1"/>
  <c r="BJ59" i="24" s="1"/>
  <c r="BK59" i="24" s="1"/>
  <c r="BL59" i="24" s="1"/>
  <c r="BM59" i="24" s="1"/>
  <c r="BN59" i="24" s="1"/>
  <c r="BO59" i="24" s="1"/>
  <c r="BP59" i="24" s="1"/>
  <c r="BQ59" i="24" s="1"/>
  <c r="AT17" i="40"/>
  <c r="AT15" i="40"/>
  <c r="AT16" i="40"/>
  <c r="AT18" i="40"/>
  <c r="AT34" i="40"/>
  <c r="AT33" i="40"/>
  <c r="AT36" i="40"/>
  <c r="AT35" i="40"/>
  <c r="AT55" i="40"/>
  <c r="AT38" i="40"/>
  <c r="AT37" i="40"/>
  <c r="AT40" i="40"/>
  <c r="AT39" i="40"/>
  <c r="S59" i="55"/>
  <c r="S59" i="54"/>
  <c r="S59" i="46"/>
  <c r="S88" i="24" l="1"/>
  <c r="S88" i="46"/>
  <c r="T88" i="46" s="1"/>
  <c r="T59" i="46"/>
  <c r="U59" i="46" s="1"/>
  <c r="V59" i="46" s="1"/>
  <c r="W59" i="46" s="1"/>
  <c r="X59" i="46" s="1"/>
  <c r="Y59" i="46" s="1"/>
  <c r="Z59" i="46" s="1"/>
  <c r="AA59" i="46" s="1"/>
  <c r="AB59" i="46" s="1"/>
  <c r="AC59" i="46" s="1"/>
  <c r="AD59" i="46" s="1"/>
  <c r="AE59" i="46" s="1"/>
  <c r="AF59" i="46" s="1"/>
  <c r="AG59" i="46" s="1"/>
  <c r="AH59" i="46" s="1"/>
  <c r="AI59" i="46" s="1"/>
  <c r="AJ59" i="46" s="1"/>
  <c r="AK59" i="46" s="1"/>
  <c r="AL59" i="46" s="1"/>
  <c r="AM59" i="46" s="1"/>
  <c r="AN59" i="46" s="1"/>
  <c r="AO59" i="46" s="1"/>
  <c r="AP59" i="46" s="1"/>
  <c r="AQ59" i="46" s="1"/>
  <c r="AR59" i="46" s="1"/>
  <c r="AS59" i="46" s="1"/>
  <c r="AT59" i="46" s="1"/>
  <c r="AU59" i="46" s="1"/>
  <c r="AV59" i="46" s="1"/>
  <c r="AW59" i="46" s="1"/>
  <c r="AX59" i="46" s="1"/>
  <c r="AY59" i="46" s="1"/>
  <c r="AZ59" i="46" s="1"/>
  <c r="BA59" i="46" s="1"/>
  <c r="BB59" i="46" s="1"/>
  <c r="BC59" i="46" s="1"/>
  <c r="BD59" i="46" s="1"/>
  <c r="BE59" i="46" s="1"/>
  <c r="BF59" i="46" s="1"/>
  <c r="BG59" i="46" s="1"/>
  <c r="BH59" i="46" s="1"/>
  <c r="BI59" i="46" s="1"/>
  <c r="BJ59" i="46" s="1"/>
  <c r="BK59" i="46" s="1"/>
  <c r="BL59" i="46" s="1"/>
  <c r="BM59" i="46" s="1"/>
  <c r="BN59" i="46" s="1"/>
  <c r="BO59" i="46" s="1"/>
  <c r="BP59" i="46" s="1"/>
  <c r="BQ59" i="46" s="1"/>
  <c r="S88" i="54"/>
  <c r="T88" i="54" s="1"/>
  <c r="T59" i="54"/>
  <c r="U59" i="54" s="1"/>
  <c r="V59" i="54" s="1"/>
  <c r="W59" i="54" s="1"/>
  <c r="X59" i="54" s="1"/>
  <c r="Y59" i="54" s="1"/>
  <c r="Z59" i="54" s="1"/>
  <c r="AA59" i="54" s="1"/>
  <c r="AB59" i="54" s="1"/>
  <c r="AC59" i="54" s="1"/>
  <c r="AD59" i="54" s="1"/>
  <c r="AE59" i="54" s="1"/>
  <c r="AF59" i="54" s="1"/>
  <c r="AG59" i="54" s="1"/>
  <c r="AH59" i="54" s="1"/>
  <c r="AI59" i="54" s="1"/>
  <c r="AJ59" i="54" s="1"/>
  <c r="AK59" i="54" s="1"/>
  <c r="AL59" i="54" s="1"/>
  <c r="AM59" i="54" s="1"/>
  <c r="AN59" i="54" s="1"/>
  <c r="AO59" i="54" s="1"/>
  <c r="AP59" i="54" s="1"/>
  <c r="AQ59" i="54" s="1"/>
  <c r="AR59" i="54" s="1"/>
  <c r="AS59" i="54" s="1"/>
  <c r="AT59" i="54" s="1"/>
  <c r="AU59" i="54" s="1"/>
  <c r="AV59" i="54" s="1"/>
  <c r="AW59" i="54" s="1"/>
  <c r="AX59" i="54" s="1"/>
  <c r="AY59" i="54" s="1"/>
  <c r="AZ59" i="54" s="1"/>
  <c r="BA59" i="54" s="1"/>
  <c r="BB59" i="54" s="1"/>
  <c r="BC59" i="54" s="1"/>
  <c r="BD59" i="54" s="1"/>
  <c r="BE59" i="54" s="1"/>
  <c r="BF59" i="54" s="1"/>
  <c r="BG59" i="54" s="1"/>
  <c r="BH59" i="54" s="1"/>
  <c r="BI59" i="54" s="1"/>
  <c r="BJ59" i="54" s="1"/>
  <c r="BK59" i="54" s="1"/>
  <c r="BL59" i="54" s="1"/>
  <c r="BM59" i="54" s="1"/>
  <c r="BN59" i="54" s="1"/>
  <c r="BO59" i="54" s="1"/>
  <c r="BP59" i="54" s="1"/>
  <c r="BQ59" i="54" s="1"/>
  <c r="S88" i="55"/>
  <c r="T88" i="55" s="1"/>
  <c r="T59" i="55"/>
  <c r="U59" i="55" s="1"/>
  <c r="V59" i="55" s="1"/>
  <c r="W59" i="55" s="1"/>
  <c r="X59" i="55" s="1"/>
  <c r="Y59" i="55" s="1"/>
  <c r="Z59" i="55" s="1"/>
  <c r="AA59" i="55" s="1"/>
  <c r="AB59" i="55" s="1"/>
  <c r="AC59" i="55" s="1"/>
  <c r="AD59" i="55" s="1"/>
  <c r="AE59" i="55" s="1"/>
  <c r="AF59" i="55" s="1"/>
  <c r="AG59" i="55" s="1"/>
  <c r="AH59" i="55" s="1"/>
  <c r="AI59" i="55" s="1"/>
  <c r="AJ59" i="55" s="1"/>
  <c r="AK59" i="55" s="1"/>
  <c r="AL59" i="55" s="1"/>
  <c r="AM59" i="55" s="1"/>
  <c r="AN59" i="55" s="1"/>
  <c r="AO59" i="55" s="1"/>
  <c r="AP59" i="55" s="1"/>
  <c r="AQ59" i="55" s="1"/>
  <c r="AR59" i="55" s="1"/>
  <c r="AS59" i="55" s="1"/>
  <c r="AT59" i="55" s="1"/>
  <c r="AU59" i="55" s="1"/>
  <c r="AV59" i="55" s="1"/>
  <c r="AW59" i="55" s="1"/>
  <c r="AX59" i="55" s="1"/>
  <c r="AY59" i="55" s="1"/>
  <c r="AZ59" i="55" s="1"/>
  <c r="BA59" i="55" s="1"/>
  <c r="BB59" i="55" s="1"/>
  <c r="BC59" i="55" s="1"/>
  <c r="BD59" i="55" s="1"/>
  <c r="BE59" i="55" s="1"/>
  <c r="BF59" i="55" s="1"/>
  <c r="BG59" i="55" s="1"/>
  <c r="BH59" i="55" s="1"/>
  <c r="BI59" i="55" s="1"/>
  <c r="BJ59" i="55" s="1"/>
  <c r="BK59" i="55" s="1"/>
  <c r="BL59" i="55" s="1"/>
  <c r="BM59" i="55" s="1"/>
  <c r="BN59" i="55" s="1"/>
  <c r="BO59" i="55" s="1"/>
  <c r="BP59" i="55" s="1"/>
  <c r="BQ59" i="55" s="1"/>
  <c r="AH54" i="40"/>
  <c r="AH53" i="40"/>
  <c r="AH52" i="40"/>
  <c r="AH50" i="40"/>
  <c r="AH49" i="40"/>
  <c r="AH47" i="40"/>
  <c r="AH46" i="40"/>
  <c r="AH45" i="40"/>
  <c r="S44" i="40"/>
  <c r="S43" i="40"/>
  <c r="S42" i="40"/>
  <c r="AI41" i="40"/>
  <c r="S41" i="40"/>
  <c r="U88" i="54" l="1"/>
  <c r="T89" i="54"/>
  <c r="U88" i="55"/>
  <c r="T89" i="55"/>
  <c r="U88" i="46"/>
  <c r="T89" i="46"/>
  <c r="AT41" i="40"/>
  <c r="AT42" i="40"/>
  <c r="AT43" i="40"/>
  <c r="AM41" i="40"/>
  <c r="AT44" i="40"/>
  <c r="AL41" i="40"/>
  <c r="AJ41" i="40"/>
  <c r="AK41" i="40"/>
  <c r="AI54" i="40"/>
  <c r="V88" i="55" l="1"/>
  <c r="U89" i="55"/>
  <c r="V88" i="46"/>
  <c r="U89" i="46"/>
  <c r="V88" i="54"/>
  <c r="U89" i="54"/>
  <c r="AT54" i="40"/>
  <c r="W88" i="46" l="1"/>
  <c r="V89" i="46"/>
  <c r="W88" i="54"/>
  <c r="V89" i="54"/>
  <c r="W88" i="55"/>
  <c r="V89" i="55"/>
  <c r="I53" i="45"/>
  <c r="E53" i="45" s="1"/>
  <c r="I60" i="45"/>
  <c r="X88" i="54" l="1"/>
  <c r="W89" i="54"/>
  <c r="X88" i="55"/>
  <c r="W89" i="55"/>
  <c r="X88" i="46"/>
  <c r="W89" i="46"/>
  <c r="E59" i="45"/>
  <c r="E60" i="45"/>
  <c r="Y88" i="55" l="1"/>
  <c r="X89" i="55"/>
  <c r="Y88" i="46"/>
  <c r="X89" i="46"/>
  <c r="Y88" i="54"/>
  <c r="X89" i="54"/>
  <c r="Z88" i="46" l="1"/>
  <c r="Y89" i="46"/>
  <c r="Z88" i="54"/>
  <c r="Y89" i="54"/>
  <c r="Z88" i="55"/>
  <c r="Y89" i="55"/>
  <c r="U5" i="45"/>
  <c r="H5" i="45"/>
  <c r="AA88" i="54" l="1"/>
  <c r="Z89" i="54"/>
  <c r="AA88" i="55"/>
  <c r="Z89" i="55"/>
  <c r="AA88" i="46"/>
  <c r="Z89" i="46"/>
  <c r="K14" i="24"/>
  <c r="AB88" i="55" l="1"/>
  <c r="AA89" i="55"/>
  <c r="AB88" i="46"/>
  <c r="AA89" i="46"/>
  <c r="AB88" i="54"/>
  <c r="AA89" i="54"/>
  <c r="T126" i="40"/>
  <c r="Q126" i="40"/>
  <c r="N126" i="40"/>
  <c r="K126" i="40"/>
  <c r="I37" i="52" l="1"/>
  <c r="I33" i="53"/>
  <c r="E33" i="53" s="1"/>
  <c r="M62" i="53" s="1"/>
  <c r="T140" i="55" s="1"/>
  <c r="I33" i="52"/>
  <c r="E33" i="52" s="1"/>
  <c r="I33" i="47"/>
  <c r="E33" i="47" s="1"/>
  <c r="I37" i="47"/>
  <c r="E37" i="47" s="1"/>
  <c r="E35" i="47" s="1"/>
  <c r="AF25" i="47" s="1"/>
  <c r="I33" i="45"/>
  <c r="E33" i="45" s="1"/>
  <c r="I37" i="45"/>
  <c r="E37" i="45" s="1"/>
  <c r="E35" i="45" s="1"/>
  <c r="AF25" i="45" s="1"/>
  <c r="I28" i="45"/>
  <c r="E29" i="45" s="1"/>
  <c r="AC88" i="46"/>
  <c r="AB89" i="46"/>
  <c r="AC88" i="54"/>
  <c r="AB89" i="54"/>
  <c r="AC88" i="55"/>
  <c r="AB89" i="55"/>
  <c r="E54" i="24"/>
  <c r="S72" i="45"/>
  <c r="T139" i="24" s="1"/>
  <c r="A2" i="45"/>
  <c r="S46" i="45"/>
  <c r="S48" i="45" s="1"/>
  <c r="S33" i="45"/>
  <c r="S35" i="45" s="1"/>
  <c r="S18" i="45"/>
  <c r="S20" i="45" s="1"/>
  <c r="C7" i="24"/>
  <c r="H71" i="45"/>
  <c r="M70" i="45" s="1"/>
  <c r="I49" i="45"/>
  <c r="E49" i="45" s="1"/>
  <c r="B47" i="45" s="1"/>
  <c r="I45" i="45"/>
  <c r="E45" i="45" s="1"/>
  <c r="B43" i="45" s="1"/>
  <c r="I41" i="45"/>
  <c r="H16" i="45"/>
  <c r="M15" i="45" s="1"/>
  <c r="S84" i="45"/>
  <c r="N84" i="45"/>
  <c r="I84" i="45"/>
  <c r="C84" i="45"/>
  <c r="S83" i="45"/>
  <c r="N83" i="45"/>
  <c r="I83" i="45"/>
  <c r="C83" i="45"/>
  <c r="S82" i="45"/>
  <c r="N82" i="45"/>
  <c r="I82" i="45"/>
  <c r="C82" i="45"/>
  <c r="B51" i="45"/>
  <c r="E10" i="45"/>
  <c r="E31" i="52" l="1"/>
  <c r="AF24" i="52" s="1"/>
  <c r="M62" i="52"/>
  <c r="S52" i="45"/>
  <c r="S51" i="45"/>
  <c r="D75" i="7"/>
  <c r="D86" i="7"/>
  <c r="D77" i="7"/>
  <c r="D88" i="7"/>
  <c r="D87" i="7"/>
  <c r="D76" i="7"/>
  <c r="D85" i="7"/>
  <c r="D74" i="7"/>
  <c r="S39" i="45"/>
  <c r="C116" i="24"/>
  <c r="S38" i="45"/>
  <c r="AF73" i="45"/>
  <c r="E31" i="53"/>
  <c r="M67" i="53"/>
  <c r="E67" i="53" s="1"/>
  <c r="E28" i="45"/>
  <c r="E26" i="45" s="1"/>
  <c r="E41" i="45"/>
  <c r="AF30" i="45"/>
  <c r="AD88" i="54"/>
  <c r="AC89" i="54"/>
  <c r="AD88" i="55"/>
  <c r="AC89" i="55"/>
  <c r="AD88" i="46"/>
  <c r="AC89" i="46"/>
  <c r="E31" i="47"/>
  <c r="M62" i="47"/>
  <c r="T140" i="46" s="1"/>
  <c r="T132" i="24"/>
  <c r="U134" i="24" s="1"/>
  <c r="M62" i="45"/>
  <c r="T140" i="24" s="1"/>
  <c r="E31" i="45"/>
  <c r="AF24" i="53" l="1"/>
  <c r="E77" i="55" s="1"/>
  <c r="G77" i="55"/>
  <c r="T140" i="54"/>
  <c r="M67" i="52"/>
  <c r="E67" i="52" s="1"/>
  <c r="AF24" i="45"/>
  <c r="Q116" i="24"/>
  <c r="M67" i="47"/>
  <c r="E67" i="47" s="1"/>
  <c r="T126" i="55"/>
  <c r="G62" i="55"/>
  <c r="G63" i="55"/>
  <c r="G65" i="55"/>
  <c r="G64" i="55"/>
  <c r="T141" i="55"/>
  <c r="V140" i="55" s="1"/>
  <c r="M67" i="45"/>
  <c r="E67" i="45" s="1"/>
  <c r="B39" i="45"/>
  <c r="G78" i="24" s="1"/>
  <c r="AI78" i="24" s="1"/>
  <c r="AF24" i="47"/>
  <c r="AF23" i="45"/>
  <c r="E77" i="24" s="1"/>
  <c r="AE88" i="55"/>
  <c r="AD89" i="55"/>
  <c r="AE88" i="46"/>
  <c r="AD89" i="46"/>
  <c r="AE88" i="54"/>
  <c r="AD89" i="54"/>
  <c r="T134" i="24"/>
  <c r="AK78" i="24" l="1"/>
  <c r="AB78" i="24"/>
  <c r="AU78" i="24"/>
  <c r="AM78" i="24"/>
  <c r="AV78" i="24"/>
  <c r="V78" i="24"/>
  <c r="BL78" i="24"/>
  <c r="BQ78" i="24"/>
  <c r="AQ78" i="24"/>
  <c r="AA78" i="24"/>
  <c r="AW78" i="24"/>
  <c r="BC78" i="24"/>
  <c r="BN78" i="24"/>
  <c r="AE78" i="24"/>
  <c r="BA78" i="24"/>
  <c r="BE78" i="24"/>
  <c r="Z78" i="24"/>
  <c r="AO78" i="24"/>
  <c r="T78" i="24"/>
  <c r="AR78" i="24"/>
  <c r="AG78" i="24"/>
  <c r="U78" i="24"/>
  <c r="BD78" i="24"/>
  <c r="BM78" i="24"/>
  <c r="BF78" i="24"/>
  <c r="AX78" i="24"/>
  <c r="AN78" i="24"/>
  <c r="BO78" i="24"/>
  <c r="X78" i="24"/>
  <c r="AH78" i="24"/>
  <c r="BG78" i="24"/>
  <c r="AS78" i="24"/>
  <c r="S78" i="24"/>
  <c r="BJ78" i="24"/>
  <c r="BB78" i="24"/>
  <c r="AP78" i="24"/>
  <c r="W78" i="24"/>
  <c r="AT78" i="24"/>
  <c r="AJ78" i="24"/>
  <c r="AY78" i="24"/>
  <c r="BK78" i="24"/>
  <c r="BH78" i="24"/>
  <c r="Y78" i="24"/>
  <c r="BI78" i="24"/>
  <c r="AC78" i="24"/>
  <c r="AZ78" i="24"/>
  <c r="AF78" i="24"/>
  <c r="AL78" i="24"/>
  <c r="AD78" i="24"/>
  <c r="BP78" i="24"/>
  <c r="G77" i="24"/>
  <c r="S77" i="24" s="1"/>
  <c r="G63" i="54"/>
  <c r="G62" i="54"/>
  <c r="G64" i="54"/>
  <c r="T126" i="54"/>
  <c r="G65" i="54"/>
  <c r="T141" i="54"/>
  <c r="V139" i="55"/>
  <c r="V141" i="55"/>
  <c r="T135" i="55"/>
  <c r="T136" i="55" s="1"/>
  <c r="V126" i="55"/>
  <c r="T124" i="55"/>
  <c r="AF88" i="46"/>
  <c r="AE89" i="46"/>
  <c r="AF88" i="54"/>
  <c r="AE89" i="54"/>
  <c r="AF88" i="55"/>
  <c r="AE89" i="55"/>
  <c r="G62" i="24"/>
  <c r="T126" i="24"/>
  <c r="T141" i="24"/>
  <c r="G64" i="24"/>
  <c r="V139" i="54" l="1"/>
  <c r="V141" i="54"/>
  <c r="V140" i="54"/>
  <c r="T124" i="54"/>
  <c r="V124" i="54" s="1"/>
  <c r="T135" i="54"/>
  <c r="T136" i="54" s="1"/>
  <c r="V126" i="54"/>
  <c r="T125" i="55"/>
  <c r="V125" i="55" s="1"/>
  <c r="V124" i="55"/>
  <c r="AG88" i="54"/>
  <c r="AF89" i="54"/>
  <c r="V126" i="24"/>
  <c r="AG88" i="55"/>
  <c r="AF89" i="55"/>
  <c r="AG88" i="46"/>
  <c r="AF89" i="46"/>
  <c r="T141" i="46"/>
  <c r="V139" i="46" s="1"/>
  <c r="G62" i="46"/>
  <c r="T126" i="46"/>
  <c r="G64" i="46"/>
  <c r="G65" i="46"/>
  <c r="G63" i="46"/>
  <c r="T124" i="24"/>
  <c r="T125" i="24" s="1"/>
  <c r="V125" i="24" s="1"/>
  <c r="W121" i="40"/>
  <c r="T121" i="40"/>
  <c r="Q121" i="40"/>
  <c r="N121" i="40"/>
  <c r="K121" i="40"/>
  <c r="I60" i="53" l="1"/>
  <c r="E59" i="53" s="1"/>
  <c r="T125" i="54"/>
  <c r="V125" i="54" s="1"/>
  <c r="T129" i="55"/>
  <c r="C118" i="55" s="1"/>
  <c r="AH88" i="46"/>
  <c r="AG89" i="46"/>
  <c r="V124" i="24"/>
  <c r="AH88" i="55"/>
  <c r="AG89" i="55"/>
  <c r="AH88" i="54"/>
  <c r="AG89" i="54"/>
  <c r="V126" i="46"/>
  <c r="T124" i="46"/>
  <c r="T135" i="46"/>
  <c r="T136" i="46" s="1"/>
  <c r="V141" i="46"/>
  <c r="V140" i="46"/>
  <c r="I24" i="52"/>
  <c r="E23" i="52" s="1"/>
  <c r="I20" i="52"/>
  <c r="E19" i="52" s="1"/>
  <c r="I20" i="53"/>
  <c r="E19" i="53" s="1"/>
  <c r="I20" i="47"/>
  <c r="E19" i="47" s="1"/>
  <c r="I20" i="45"/>
  <c r="E19" i="45" s="1"/>
  <c r="I24" i="45"/>
  <c r="T129" i="24"/>
  <c r="T29" i="34"/>
  <c r="G74" i="55" l="1"/>
  <c r="G75" i="55"/>
  <c r="G74" i="54"/>
  <c r="G75" i="54"/>
  <c r="G74" i="46"/>
  <c r="G75" i="46"/>
  <c r="G72" i="55"/>
  <c r="G73" i="55"/>
  <c r="G71" i="54"/>
  <c r="G73" i="54"/>
  <c r="G72" i="46"/>
  <c r="G73" i="46"/>
  <c r="G70" i="55"/>
  <c r="G71" i="55"/>
  <c r="G70" i="46"/>
  <c r="G71" i="46"/>
  <c r="G72" i="54"/>
  <c r="G70" i="54"/>
  <c r="T129" i="54"/>
  <c r="C118" i="54" s="1"/>
  <c r="S77" i="55"/>
  <c r="S77" i="54"/>
  <c r="S77" i="46"/>
  <c r="V129" i="55"/>
  <c r="T130" i="55"/>
  <c r="V130" i="55" s="1"/>
  <c r="S118" i="55"/>
  <c r="V118" i="55"/>
  <c r="U118" i="55"/>
  <c r="C119" i="55"/>
  <c r="E23" i="45"/>
  <c r="E24" i="45"/>
  <c r="AI88" i="55"/>
  <c r="AH89" i="55"/>
  <c r="AI88" i="54"/>
  <c r="AH89" i="54"/>
  <c r="AI88" i="46"/>
  <c r="AH89" i="46"/>
  <c r="T125" i="46"/>
  <c r="V125" i="46" s="1"/>
  <c r="V124" i="46"/>
  <c r="E20" i="45"/>
  <c r="R109" i="24"/>
  <c r="R109" i="55"/>
  <c r="R109" i="54"/>
  <c r="R109" i="46"/>
  <c r="J101" i="46" l="1"/>
  <c r="J101" i="55"/>
  <c r="J101" i="54"/>
  <c r="J107" i="46"/>
  <c r="J106" i="46"/>
  <c r="J107" i="55"/>
  <c r="J106" i="55"/>
  <c r="J106" i="24"/>
  <c r="J107" i="24"/>
  <c r="V129" i="54"/>
  <c r="C56" i="55"/>
  <c r="J78" i="55"/>
  <c r="L78" i="55" s="1"/>
  <c r="J78" i="54"/>
  <c r="L78" i="54" s="1"/>
  <c r="J107" i="54"/>
  <c r="C56" i="54"/>
  <c r="C56" i="46"/>
  <c r="J78" i="46"/>
  <c r="L78" i="46" s="1"/>
  <c r="T130" i="54"/>
  <c r="V130" i="54" s="1"/>
  <c r="U118" i="54"/>
  <c r="C119" i="54"/>
  <c r="V118" i="54"/>
  <c r="S118" i="54"/>
  <c r="J78" i="24"/>
  <c r="J77" i="24"/>
  <c r="L77" i="24" s="1"/>
  <c r="C56" i="24"/>
  <c r="J97" i="55"/>
  <c r="J98" i="55"/>
  <c r="J95" i="55"/>
  <c r="J96" i="55"/>
  <c r="J98" i="54"/>
  <c r="J97" i="54"/>
  <c r="J96" i="54"/>
  <c r="J95" i="54"/>
  <c r="J98" i="46"/>
  <c r="J97" i="46"/>
  <c r="J95" i="46"/>
  <c r="J96" i="46"/>
  <c r="J106" i="54"/>
  <c r="J77" i="46"/>
  <c r="L77" i="46" s="1"/>
  <c r="J97" i="24"/>
  <c r="J95" i="24"/>
  <c r="J98" i="24"/>
  <c r="T129" i="46"/>
  <c r="V129" i="46" s="1"/>
  <c r="J77" i="55"/>
  <c r="L77" i="55" s="1"/>
  <c r="J77" i="54"/>
  <c r="L77" i="54" s="1"/>
  <c r="AJ88" i="54"/>
  <c r="AI89" i="54"/>
  <c r="AJ88" i="46"/>
  <c r="AI89" i="46"/>
  <c r="AJ88" i="55"/>
  <c r="AI89" i="55"/>
  <c r="J91" i="24"/>
  <c r="C109" i="24"/>
  <c r="J93" i="24"/>
  <c r="J105" i="46"/>
  <c r="C109" i="46"/>
  <c r="J92" i="46"/>
  <c r="J100" i="46"/>
  <c r="J103" i="46"/>
  <c r="J94" i="46"/>
  <c r="J99" i="46"/>
  <c r="J104" i="46"/>
  <c r="J102" i="46"/>
  <c r="J91" i="46"/>
  <c r="J93" i="46"/>
  <c r="C109" i="54"/>
  <c r="J91" i="54"/>
  <c r="J93" i="54"/>
  <c r="J105" i="54"/>
  <c r="J92" i="54"/>
  <c r="J102" i="54"/>
  <c r="J94" i="54"/>
  <c r="J103" i="54"/>
  <c r="J100" i="54"/>
  <c r="J104" i="54"/>
  <c r="J99" i="54"/>
  <c r="C109" i="55"/>
  <c r="J94" i="55"/>
  <c r="J105" i="55"/>
  <c r="J92" i="55"/>
  <c r="J93" i="55"/>
  <c r="J102" i="55"/>
  <c r="J91" i="55"/>
  <c r="J99" i="55"/>
  <c r="J104" i="55"/>
  <c r="J103" i="55"/>
  <c r="J100" i="55"/>
  <c r="P118" i="24"/>
  <c r="P117" i="24"/>
  <c r="P116" i="24"/>
  <c r="T117" i="24"/>
  <c r="G107" i="46" l="1"/>
  <c r="E107" i="46" s="1"/>
  <c r="G106" i="24"/>
  <c r="E106" i="24" s="1"/>
  <c r="G107" i="55"/>
  <c r="E107" i="55" s="1"/>
  <c r="J109" i="55"/>
  <c r="F19" i="23" s="1"/>
  <c r="J109" i="54"/>
  <c r="E19" i="23" s="1"/>
  <c r="G107" i="54"/>
  <c r="E107" i="54" s="1"/>
  <c r="J109" i="46"/>
  <c r="D19" i="23" s="1"/>
  <c r="G106" i="54"/>
  <c r="E106" i="54" s="1"/>
  <c r="L78" i="24"/>
  <c r="T130" i="46"/>
  <c r="V130" i="46" s="1"/>
  <c r="G106" i="55"/>
  <c r="E106" i="55" s="1"/>
  <c r="C118" i="46"/>
  <c r="S118" i="46" s="1"/>
  <c r="G106" i="46"/>
  <c r="E106" i="46" s="1"/>
  <c r="AK88" i="46"/>
  <c r="AJ89" i="46"/>
  <c r="AK88" i="55"/>
  <c r="AJ89" i="55"/>
  <c r="AK88" i="54"/>
  <c r="AJ89" i="54"/>
  <c r="P115" i="24"/>
  <c r="R117" i="24"/>
  <c r="V117" i="24"/>
  <c r="T116" i="24"/>
  <c r="U116" i="24"/>
  <c r="G107" i="24" l="1"/>
  <c r="E107" i="24" s="1"/>
  <c r="L109" i="46"/>
  <c r="D29" i="23" s="1"/>
  <c r="U118" i="46"/>
  <c r="V118" i="46"/>
  <c r="C119" i="46"/>
  <c r="AL88" i="55"/>
  <c r="AK89" i="55"/>
  <c r="AL88" i="54"/>
  <c r="AK89" i="54"/>
  <c r="AL88" i="46"/>
  <c r="AK89" i="46"/>
  <c r="L109" i="55"/>
  <c r="F29" i="23" s="1"/>
  <c r="L109" i="54"/>
  <c r="E29" i="23" s="1"/>
  <c r="A75" i="24"/>
  <c r="G75" i="24" s="1"/>
  <c r="C67" i="24"/>
  <c r="G67" i="24" s="1"/>
  <c r="J96" i="24" l="1"/>
  <c r="J104" i="24"/>
  <c r="E75" i="24"/>
  <c r="AM88" i="54"/>
  <c r="AL89" i="54"/>
  <c r="AM88" i="46"/>
  <c r="AL89" i="46"/>
  <c r="AM88" i="55"/>
  <c r="AL89" i="55"/>
  <c r="A104" i="24"/>
  <c r="S11" i="40"/>
  <c r="AN88" i="46" l="1"/>
  <c r="AM89" i="46"/>
  <c r="AN88" i="55"/>
  <c r="AM89" i="55"/>
  <c r="AN88" i="54"/>
  <c r="AM89" i="54"/>
  <c r="AT11" i="40"/>
  <c r="T88" i="24"/>
  <c r="U88" i="24" s="1"/>
  <c r="V88" i="24" s="1"/>
  <c r="W88" i="24" s="1"/>
  <c r="X88" i="24" s="1"/>
  <c r="Y88" i="24" s="1"/>
  <c r="Z88" i="24" s="1"/>
  <c r="AA88" i="24" s="1"/>
  <c r="AB88" i="24" s="1"/>
  <c r="AC88" i="24" s="1"/>
  <c r="AD88" i="24" s="1"/>
  <c r="AE88" i="24" s="1"/>
  <c r="AF88" i="24" s="1"/>
  <c r="AG88" i="24" s="1"/>
  <c r="AH88" i="24" s="1"/>
  <c r="AI88" i="24" s="1"/>
  <c r="AJ88" i="24" s="1"/>
  <c r="AK88" i="24" s="1"/>
  <c r="AL88" i="24" s="1"/>
  <c r="AM88" i="24" s="1"/>
  <c r="AN88" i="24" s="1"/>
  <c r="AO88" i="24" s="1"/>
  <c r="AP88" i="24" s="1"/>
  <c r="AQ88" i="24" s="1"/>
  <c r="AR88" i="24" s="1"/>
  <c r="AS88" i="24" s="1"/>
  <c r="AT88" i="24" s="1"/>
  <c r="AU88" i="24" s="1"/>
  <c r="AV88" i="24" s="1"/>
  <c r="AW88" i="24" s="1"/>
  <c r="AX88" i="24" s="1"/>
  <c r="AY88" i="24" s="1"/>
  <c r="AZ88" i="24" s="1"/>
  <c r="BA88" i="24" s="1"/>
  <c r="BB88" i="24" s="1"/>
  <c r="BC88" i="24" s="1"/>
  <c r="BD88" i="24" s="1"/>
  <c r="BE88" i="24" s="1"/>
  <c r="BF88" i="24" s="1"/>
  <c r="BG88" i="24" s="1"/>
  <c r="BH88" i="24" s="1"/>
  <c r="BI88" i="24" s="1"/>
  <c r="BJ88" i="24" s="1"/>
  <c r="BK88" i="24" s="1"/>
  <c r="BL88" i="24" s="1"/>
  <c r="BM88" i="24" s="1"/>
  <c r="BN88" i="24" s="1"/>
  <c r="BO88" i="24" s="1"/>
  <c r="BP88" i="24" s="1"/>
  <c r="BQ88" i="24" s="1"/>
  <c r="AO88" i="55" l="1"/>
  <c r="AN89" i="55"/>
  <c r="AO88" i="54"/>
  <c r="AN89" i="54"/>
  <c r="AO88" i="46"/>
  <c r="AN89" i="46"/>
  <c r="AU10" i="40"/>
  <c r="AU48" i="40" s="1"/>
  <c r="AU17" i="40" l="1"/>
  <c r="AU16" i="40"/>
  <c r="AU15" i="40"/>
  <c r="AU18" i="40"/>
  <c r="AU35" i="40"/>
  <c r="AU36" i="40"/>
  <c r="AU33" i="40"/>
  <c r="AU34" i="40"/>
  <c r="AU55" i="40"/>
  <c r="AU39" i="40"/>
  <c r="AU40" i="40"/>
  <c r="AU37" i="40"/>
  <c r="AU38" i="40"/>
  <c r="AP88" i="54"/>
  <c r="AO89" i="54"/>
  <c r="AP88" i="46"/>
  <c r="AO89" i="46"/>
  <c r="AP88" i="55"/>
  <c r="AO89" i="55"/>
  <c r="AU42" i="40"/>
  <c r="AU41" i="40"/>
  <c r="AU43" i="40"/>
  <c r="AU44" i="40"/>
  <c r="AU54" i="40"/>
  <c r="AU11" i="40"/>
  <c r="AV10" i="40"/>
  <c r="AV48" i="40" s="1"/>
  <c r="J9" i="24"/>
  <c r="T77" i="46" l="1"/>
  <c r="T77" i="24"/>
  <c r="AV16" i="40"/>
  <c r="AV17" i="40"/>
  <c r="AV15" i="40"/>
  <c r="AV18" i="40"/>
  <c r="H17" i="24"/>
  <c r="J17" i="24" s="1"/>
  <c r="H22" i="24"/>
  <c r="J22" i="24" s="1"/>
  <c r="H20" i="24"/>
  <c r="J20" i="24" s="1"/>
  <c r="H18" i="24"/>
  <c r="J18" i="24" s="1"/>
  <c r="H16" i="24"/>
  <c r="J16" i="24" s="1"/>
  <c r="T77" i="54"/>
  <c r="T77" i="55"/>
  <c r="AV36" i="40"/>
  <c r="AV35" i="40"/>
  <c r="AV34" i="40"/>
  <c r="AV33" i="40"/>
  <c r="AV55" i="40"/>
  <c r="AV39" i="40"/>
  <c r="AV38" i="40"/>
  <c r="AV37" i="40"/>
  <c r="AV40" i="40"/>
  <c r="AQ88" i="46"/>
  <c r="AP89" i="46"/>
  <c r="H38" i="24"/>
  <c r="J38" i="24" s="1"/>
  <c r="H15" i="24"/>
  <c r="J15" i="24" s="1"/>
  <c r="AQ88" i="55"/>
  <c r="AP89" i="55"/>
  <c r="AQ88" i="54"/>
  <c r="AP89" i="54"/>
  <c r="AV42" i="40"/>
  <c r="AV43" i="40"/>
  <c r="AV41" i="40"/>
  <c r="AV44" i="40"/>
  <c r="AV54" i="40"/>
  <c r="AV11" i="40"/>
  <c r="AW10" i="40"/>
  <c r="AW48" i="40" s="1"/>
  <c r="U77" i="46" l="1"/>
  <c r="U77" i="24"/>
  <c r="AW17" i="40"/>
  <c r="AW15" i="40"/>
  <c r="AW16" i="40"/>
  <c r="AW18" i="40"/>
  <c r="U77" i="54"/>
  <c r="U77" i="55"/>
  <c r="AW33" i="40"/>
  <c r="AW34" i="40"/>
  <c r="AW35" i="40"/>
  <c r="AW36" i="40"/>
  <c r="AW55" i="40"/>
  <c r="AW39" i="40"/>
  <c r="AW37" i="40"/>
  <c r="AW38" i="40"/>
  <c r="AW40" i="40"/>
  <c r="J39" i="24"/>
  <c r="AR88" i="54"/>
  <c r="AQ89" i="54"/>
  <c r="AR88" i="55"/>
  <c r="AQ89" i="55"/>
  <c r="AR88" i="46"/>
  <c r="AQ89" i="46"/>
  <c r="AW44" i="40"/>
  <c r="AW41" i="40"/>
  <c r="AW43" i="40"/>
  <c r="AW42" i="40"/>
  <c r="AW54" i="40"/>
  <c r="AW11" i="40"/>
  <c r="AX10" i="40"/>
  <c r="AX48" i="40" s="1"/>
  <c r="V77" i="54" l="1"/>
  <c r="V77" i="24"/>
  <c r="AX17" i="40"/>
  <c r="AX16" i="40"/>
  <c r="AX15" i="40"/>
  <c r="AX18" i="40"/>
  <c r="V77" i="46"/>
  <c r="V77" i="55"/>
  <c r="AX34" i="40"/>
  <c r="AX33" i="40"/>
  <c r="AX36" i="40"/>
  <c r="AX35" i="40"/>
  <c r="AX55" i="40"/>
  <c r="AX38" i="40"/>
  <c r="AX37" i="40"/>
  <c r="AX40" i="40"/>
  <c r="AX39" i="40"/>
  <c r="AS88" i="55"/>
  <c r="AR89" i="55"/>
  <c r="AS88" i="46"/>
  <c r="AR89" i="46"/>
  <c r="AS88" i="54"/>
  <c r="AR89" i="54"/>
  <c r="AX42" i="40"/>
  <c r="AX43" i="40"/>
  <c r="AX41" i="40"/>
  <c r="AX44" i="40"/>
  <c r="AX54" i="40"/>
  <c r="AX11" i="40"/>
  <c r="AY10" i="40"/>
  <c r="AY48" i="40" s="1"/>
  <c r="W77" i="46" l="1"/>
  <c r="W77" i="24"/>
  <c r="AY16" i="40"/>
  <c r="AY17" i="40"/>
  <c r="AY15" i="40"/>
  <c r="AY18" i="40"/>
  <c r="W77" i="55"/>
  <c r="W77" i="54"/>
  <c r="AY35" i="40"/>
  <c r="AY36" i="40"/>
  <c r="AY33" i="40"/>
  <c r="AY34" i="40"/>
  <c r="AY55" i="40"/>
  <c r="AY39" i="40"/>
  <c r="AY40" i="40"/>
  <c r="AY37" i="40"/>
  <c r="AY38" i="40"/>
  <c r="AT88" i="46"/>
  <c r="AS89" i="46"/>
  <c r="AT88" i="54"/>
  <c r="AS89" i="54"/>
  <c r="AT88" i="55"/>
  <c r="AS89" i="55"/>
  <c r="AY41" i="40"/>
  <c r="AY42" i="40"/>
  <c r="AY43" i="40"/>
  <c r="AY44" i="40"/>
  <c r="AY54" i="40"/>
  <c r="AY11" i="40"/>
  <c r="AZ10" i="40"/>
  <c r="AZ48" i="40" s="1"/>
  <c r="X77" i="46" l="1"/>
  <c r="X77" i="24"/>
  <c r="AZ17" i="40"/>
  <c r="AZ16" i="40"/>
  <c r="AZ15" i="40"/>
  <c r="AZ18" i="40"/>
  <c r="X77" i="55"/>
  <c r="AZ36" i="40"/>
  <c r="AZ35" i="40"/>
  <c r="AZ34" i="40"/>
  <c r="AZ33" i="40"/>
  <c r="X77" i="54"/>
  <c r="AZ55" i="40"/>
  <c r="AZ39" i="40"/>
  <c r="AZ38" i="40"/>
  <c r="AZ37" i="40"/>
  <c r="AZ40" i="40"/>
  <c r="AU88" i="54"/>
  <c r="AT89" i="54"/>
  <c r="AU88" i="55"/>
  <c r="AT89" i="55"/>
  <c r="AU88" i="46"/>
  <c r="AT89" i="46"/>
  <c r="AZ41" i="40"/>
  <c r="AZ43" i="40"/>
  <c r="AZ44" i="40"/>
  <c r="AZ42" i="40"/>
  <c r="AZ54" i="40"/>
  <c r="AZ11" i="40"/>
  <c r="BA10" i="40"/>
  <c r="BA48" i="40" s="1"/>
  <c r="Y77" i="46" l="1"/>
  <c r="Y77" i="24"/>
  <c r="BA16" i="40"/>
  <c r="BA17" i="40"/>
  <c r="BA15" i="40"/>
  <c r="BA18" i="40"/>
  <c r="Y77" i="54"/>
  <c r="Y77" i="55"/>
  <c r="BA33" i="40"/>
  <c r="BA34" i="40"/>
  <c r="BA35" i="40"/>
  <c r="BA36" i="40"/>
  <c r="BA55" i="40"/>
  <c r="BA39" i="40"/>
  <c r="BA37" i="40"/>
  <c r="BA38" i="40"/>
  <c r="BA40" i="40"/>
  <c r="AV88" i="55"/>
  <c r="AU89" i="55"/>
  <c r="AV88" i="46"/>
  <c r="AU89" i="46"/>
  <c r="AV88" i="54"/>
  <c r="AU89" i="54"/>
  <c r="G54" i="24"/>
  <c r="M81" i="24"/>
  <c r="E83" i="24" s="1"/>
  <c r="M81" i="46"/>
  <c r="E83" i="46" s="1"/>
  <c r="P107" i="46" s="1"/>
  <c r="L107" i="46" s="1"/>
  <c r="M81" i="54"/>
  <c r="E83" i="54" s="1"/>
  <c r="P107" i="54" s="1"/>
  <c r="L107" i="54" s="1"/>
  <c r="M81" i="55"/>
  <c r="E83" i="55" s="1"/>
  <c r="P107" i="55" s="1"/>
  <c r="L107" i="55" s="1"/>
  <c r="BA44" i="40"/>
  <c r="BA41" i="40"/>
  <c r="BA42" i="40"/>
  <c r="BA43" i="40"/>
  <c r="BA54" i="40"/>
  <c r="BA11" i="40"/>
  <c r="BB10" i="40"/>
  <c r="BB48" i="40" s="1"/>
  <c r="Z77" i="46" l="1"/>
  <c r="Z77" i="24"/>
  <c r="BB16" i="40"/>
  <c r="BB17" i="40"/>
  <c r="BB15" i="40"/>
  <c r="BB18" i="40"/>
  <c r="Z77" i="54"/>
  <c r="Z77" i="55"/>
  <c r="BB34" i="40"/>
  <c r="BB33" i="40"/>
  <c r="BB36" i="40"/>
  <c r="BB35" i="40"/>
  <c r="BB55" i="40"/>
  <c r="BB38" i="40"/>
  <c r="BB37" i="40"/>
  <c r="BB40" i="40"/>
  <c r="BB39" i="40"/>
  <c r="AW88" i="46"/>
  <c r="AV89" i="46"/>
  <c r="AW88" i="54"/>
  <c r="AV89" i="54"/>
  <c r="AW88" i="55"/>
  <c r="AV89" i="55"/>
  <c r="E22" i="23"/>
  <c r="F22" i="23"/>
  <c r="D22" i="23"/>
  <c r="BB43" i="40"/>
  <c r="BB41" i="40"/>
  <c r="BB42" i="40"/>
  <c r="BB44" i="40"/>
  <c r="BB54" i="40"/>
  <c r="BB11" i="40"/>
  <c r="BC10" i="40"/>
  <c r="BC48" i="40" s="1"/>
  <c r="AA77" i="46" l="1"/>
  <c r="AA77" i="24"/>
  <c r="BC15" i="40"/>
  <c r="BC16" i="40"/>
  <c r="BC17" i="40"/>
  <c r="BC18" i="40"/>
  <c r="AA77" i="55"/>
  <c r="AA77" i="54"/>
  <c r="BC35" i="40"/>
  <c r="BC36" i="40"/>
  <c r="BC33" i="40"/>
  <c r="BC34" i="40"/>
  <c r="BC55" i="40"/>
  <c r="BC39" i="40"/>
  <c r="BC40" i="40"/>
  <c r="BC37" i="40"/>
  <c r="BC38" i="40"/>
  <c r="AX88" i="54"/>
  <c r="AW89" i="54"/>
  <c r="AX88" i="55"/>
  <c r="AW89" i="55"/>
  <c r="AX88" i="46"/>
  <c r="AW89" i="46"/>
  <c r="BC43" i="40"/>
  <c r="BC41" i="40"/>
  <c r="BC44" i="40"/>
  <c r="BC42" i="40"/>
  <c r="BC54" i="40"/>
  <c r="BC11" i="40"/>
  <c r="BD10" i="40"/>
  <c r="BD48" i="40" s="1"/>
  <c r="AB77" i="46" l="1"/>
  <c r="AB77" i="24"/>
  <c r="BD15" i="40"/>
  <c r="BD17" i="40"/>
  <c r="BD16" i="40"/>
  <c r="BD18" i="40"/>
  <c r="AB77" i="55"/>
  <c r="AB77" i="54"/>
  <c r="BD36" i="40"/>
  <c r="BD35" i="40"/>
  <c r="BD34" i="40"/>
  <c r="BD33" i="40"/>
  <c r="BD55" i="40"/>
  <c r="BD39" i="40"/>
  <c r="BD38" i="40"/>
  <c r="BD37" i="40"/>
  <c r="BD40" i="40"/>
  <c r="AY88" i="55"/>
  <c r="AX89" i="55"/>
  <c r="AY88" i="46"/>
  <c r="AX89" i="46"/>
  <c r="AY88" i="54"/>
  <c r="AX89" i="54"/>
  <c r="G89" i="24"/>
  <c r="C15" i="23" s="1"/>
  <c r="N54" i="24"/>
  <c r="K54" i="24" s="1"/>
  <c r="BD42" i="40"/>
  <c r="BD44" i="40"/>
  <c r="BD41" i="40"/>
  <c r="BD43" i="40"/>
  <c r="BD54" i="40"/>
  <c r="BD11" i="40"/>
  <c r="BE10" i="40"/>
  <c r="BE48" i="40" s="1"/>
  <c r="AC77" i="46" l="1"/>
  <c r="AC77" i="24"/>
  <c r="BE17" i="40"/>
  <c r="BE15" i="40"/>
  <c r="BE16" i="40"/>
  <c r="BE18" i="40"/>
  <c r="AC77" i="55"/>
  <c r="AC77" i="54"/>
  <c r="BE33" i="40"/>
  <c r="BE34" i="40"/>
  <c r="BE35" i="40"/>
  <c r="BE36" i="40"/>
  <c r="BE55" i="40"/>
  <c r="BE39" i="40"/>
  <c r="BE37" i="40"/>
  <c r="BE38" i="40"/>
  <c r="BE40" i="40"/>
  <c r="AZ88" i="46"/>
  <c r="AY89" i="46"/>
  <c r="AZ88" i="54"/>
  <c r="AY89" i="54"/>
  <c r="AZ88" i="55"/>
  <c r="AY89" i="55"/>
  <c r="BE44" i="40"/>
  <c r="BE43" i="40"/>
  <c r="BE42" i="40"/>
  <c r="BE41" i="40"/>
  <c r="BE54" i="40"/>
  <c r="BE11" i="40"/>
  <c r="BF10" i="40"/>
  <c r="BF48" i="40" s="1"/>
  <c r="AD77" i="46" l="1"/>
  <c r="AD77" i="24"/>
  <c r="BF16" i="40"/>
  <c r="BF17" i="40"/>
  <c r="BF15" i="40"/>
  <c r="BF18" i="40"/>
  <c r="AD77" i="55"/>
  <c r="AD77" i="54"/>
  <c r="BF34" i="40"/>
  <c r="BF33" i="40"/>
  <c r="BF36" i="40"/>
  <c r="BF35" i="40"/>
  <c r="BF55" i="40"/>
  <c r="BF38" i="40"/>
  <c r="BF37" i="40"/>
  <c r="BF40" i="40"/>
  <c r="BF39" i="40"/>
  <c r="BA88" i="54"/>
  <c r="AZ89" i="54"/>
  <c r="BA88" i="55"/>
  <c r="AZ89" i="55"/>
  <c r="BA88" i="46"/>
  <c r="AZ89" i="46"/>
  <c r="BF43" i="40"/>
  <c r="BF44" i="40"/>
  <c r="BF41" i="40"/>
  <c r="BF42" i="40"/>
  <c r="BF54" i="40"/>
  <c r="BF11" i="40"/>
  <c r="BG10" i="40"/>
  <c r="BG48" i="40" s="1"/>
  <c r="AE77" i="46" l="1"/>
  <c r="AE77" i="24"/>
  <c r="BG16" i="40"/>
  <c r="BG17" i="40"/>
  <c r="BG15" i="40"/>
  <c r="BG18" i="40"/>
  <c r="AE77" i="54"/>
  <c r="AE77" i="55"/>
  <c r="BG35" i="40"/>
  <c r="BG36" i="40"/>
  <c r="BG33" i="40"/>
  <c r="BG34" i="40"/>
  <c r="BG55" i="40"/>
  <c r="BG39" i="40"/>
  <c r="BG40" i="40"/>
  <c r="BG37" i="40"/>
  <c r="BG38" i="40"/>
  <c r="BB88" i="55"/>
  <c r="BA89" i="55"/>
  <c r="BB88" i="46"/>
  <c r="BA89" i="46"/>
  <c r="BB88" i="54"/>
  <c r="BA89" i="54"/>
  <c r="BG43" i="40"/>
  <c r="BG44" i="40"/>
  <c r="BG42" i="40"/>
  <c r="BG41" i="40"/>
  <c r="BG54" i="40"/>
  <c r="BG11" i="40"/>
  <c r="BH10" i="40"/>
  <c r="BH48" i="40" s="1"/>
  <c r="AF77" i="46" l="1"/>
  <c r="AF77" i="24"/>
  <c r="BH15" i="40"/>
  <c r="BH16" i="40"/>
  <c r="BH17" i="40"/>
  <c r="BH18" i="40"/>
  <c r="AF77" i="55"/>
  <c r="AF77" i="54"/>
  <c r="BH36" i="40"/>
  <c r="BH35" i="40"/>
  <c r="BH34" i="40"/>
  <c r="BH33" i="40"/>
  <c r="BH55" i="40"/>
  <c r="BH39" i="40"/>
  <c r="BH38" i="40"/>
  <c r="BH37" i="40"/>
  <c r="BH40" i="40"/>
  <c r="BC88" i="46"/>
  <c r="BB89" i="46"/>
  <c r="BC88" i="54"/>
  <c r="BB89" i="54"/>
  <c r="BC88" i="55"/>
  <c r="BB89" i="55"/>
  <c r="BH43" i="40"/>
  <c r="BH42" i="40"/>
  <c r="BH44" i="40"/>
  <c r="BH41" i="40"/>
  <c r="BH54" i="40"/>
  <c r="BH11" i="40"/>
  <c r="BI10" i="40"/>
  <c r="BI48" i="40" s="1"/>
  <c r="AG77" i="46" l="1"/>
  <c r="AG77" i="24"/>
  <c r="BI15" i="40"/>
  <c r="BI16" i="40"/>
  <c r="BI17" i="40"/>
  <c r="BI18" i="40"/>
  <c r="AG77" i="55"/>
  <c r="BI33" i="40"/>
  <c r="BI34" i="40"/>
  <c r="BI35" i="40"/>
  <c r="BI36" i="40"/>
  <c r="AG77" i="54"/>
  <c r="BI55" i="40"/>
  <c r="BI39" i="40"/>
  <c r="BI37" i="40"/>
  <c r="BI38" i="40"/>
  <c r="BI40" i="40"/>
  <c r="BD88" i="54"/>
  <c r="BC89" i="54"/>
  <c r="BD88" i="55"/>
  <c r="BC89" i="55"/>
  <c r="BD88" i="46"/>
  <c r="BC89" i="46"/>
  <c r="BI43" i="40"/>
  <c r="BI41" i="40"/>
  <c r="BI42" i="40"/>
  <c r="BI44" i="40"/>
  <c r="BI54" i="40"/>
  <c r="BI11" i="40"/>
  <c r="BJ10" i="40"/>
  <c r="BJ48" i="40" s="1"/>
  <c r="S31" i="40"/>
  <c r="S32" i="40"/>
  <c r="S30" i="40"/>
  <c r="S28" i="40"/>
  <c r="S24" i="40"/>
  <c r="S14" i="40"/>
  <c r="S13" i="40"/>
  <c r="S12" i="40"/>
  <c r="S23" i="40"/>
  <c r="S27" i="40"/>
  <c r="S29" i="40"/>
  <c r="AH77" i="46" l="1"/>
  <c r="AH77" i="24"/>
  <c r="BJ16" i="40"/>
  <c r="BJ15" i="40"/>
  <c r="BJ17" i="40"/>
  <c r="BJ18" i="40"/>
  <c r="J66" i="24"/>
  <c r="L66" i="24" s="1"/>
  <c r="G95" i="24" s="1"/>
  <c r="E95" i="24" s="1"/>
  <c r="J66" i="54"/>
  <c r="L66" i="54" s="1"/>
  <c r="G95" i="54" s="1"/>
  <c r="E95" i="54" s="1"/>
  <c r="J66" i="55"/>
  <c r="L66" i="55" s="1"/>
  <c r="G95" i="55" s="1"/>
  <c r="E95" i="55" s="1"/>
  <c r="J66" i="46"/>
  <c r="L66" i="46" s="1"/>
  <c r="G95" i="46" s="1"/>
  <c r="E95" i="46" s="1"/>
  <c r="J69" i="55"/>
  <c r="L69" i="55" s="1"/>
  <c r="G98" i="55" s="1"/>
  <c r="E98" i="55" s="1"/>
  <c r="J69" i="24"/>
  <c r="L69" i="24" s="1"/>
  <c r="G98" i="24" s="1"/>
  <c r="E98" i="24" s="1"/>
  <c r="J69" i="46"/>
  <c r="L69" i="46" s="1"/>
  <c r="G98" i="46" s="1"/>
  <c r="E98" i="46" s="1"/>
  <c r="J69" i="54"/>
  <c r="L69" i="54" s="1"/>
  <c r="G98" i="54" s="1"/>
  <c r="E98" i="54" s="1"/>
  <c r="J67" i="46"/>
  <c r="L67" i="46" s="1"/>
  <c r="G96" i="46" s="1"/>
  <c r="E96" i="46" s="1"/>
  <c r="J67" i="54"/>
  <c r="L67" i="54" s="1"/>
  <c r="G96" i="54" s="1"/>
  <c r="E96" i="54" s="1"/>
  <c r="J67" i="55"/>
  <c r="L67" i="55" s="1"/>
  <c r="G96" i="55" s="1"/>
  <c r="E96" i="55" s="1"/>
  <c r="J67" i="24"/>
  <c r="L67" i="24" s="1"/>
  <c r="G96" i="24" s="1"/>
  <c r="E96" i="24" s="1"/>
  <c r="J68" i="55"/>
  <c r="L68" i="55" s="1"/>
  <c r="G97" i="55" s="1"/>
  <c r="E97" i="55" s="1"/>
  <c r="J68" i="24"/>
  <c r="L68" i="24" s="1"/>
  <c r="G97" i="24" s="1"/>
  <c r="E97" i="24" s="1"/>
  <c r="J68" i="46"/>
  <c r="L68" i="46" s="1"/>
  <c r="G97" i="46" s="1"/>
  <c r="E97" i="46" s="1"/>
  <c r="J68" i="54"/>
  <c r="L68" i="54" s="1"/>
  <c r="G97" i="54" s="1"/>
  <c r="E97" i="54" s="1"/>
  <c r="AK31" i="40"/>
  <c r="AM31" i="40"/>
  <c r="AJ31" i="40"/>
  <c r="AL31" i="40"/>
  <c r="AH77" i="55"/>
  <c r="AH77" i="54"/>
  <c r="BJ34" i="40"/>
  <c r="BJ33" i="40"/>
  <c r="BJ36" i="40"/>
  <c r="BJ35" i="40"/>
  <c r="BJ55" i="40"/>
  <c r="BJ38" i="40"/>
  <c r="BJ37" i="40"/>
  <c r="BJ40" i="40"/>
  <c r="BJ39" i="40"/>
  <c r="BI29" i="40"/>
  <c r="BI24" i="40"/>
  <c r="BI28" i="40"/>
  <c r="BI51" i="40"/>
  <c r="AH75" i="55" s="1"/>
  <c r="BE88" i="55"/>
  <c r="BD89" i="55"/>
  <c r="BE88" i="46"/>
  <c r="BD89" i="46"/>
  <c r="BE88" i="54"/>
  <c r="BD89" i="54"/>
  <c r="AT27" i="40"/>
  <c r="AU27" i="40"/>
  <c r="AV27" i="40"/>
  <c r="AW27" i="40"/>
  <c r="AX27" i="40"/>
  <c r="AY27" i="40"/>
  <c r="AZ27" i="40"/>
  <c r="BA27" i="40"/>
  <c r="BB27" i="40"/>
  <c r="BC27" i="40"/>
  <c r="BD27" i="40"/>
  <c r="BE27" i="40"/>
  <c r="BF27" i="40"/>
  <c r="BG27" i="40"/>
  <c r="BH27" i="40"/>
  <c r="AT28" i="40"/>
  <c r="AU28" i="40"/>
  <c r="AV28" i="40"/>
  <c r="AW28" i="40"/>
  <c r="AX28" i="40"/>
  <c r="AY28" i="40"/>
  <c r="AZ28" i="40"/>
  <c r="BA28" i="40"/>
  <c r="BB28" i="40"/>
  <c r="BC28" i="40"/>
  <c r="BD28" i="40"/>
  <c r="BE28" i="40"/>
  <c r="BF28" i="40"/>
  <c r="BG28" i="40"/>
  <c r="BH28" i="40"/>
  <c r="AT51" i="40"/>
  <c r="J75" i="24"/>
  <c r="J75" i="55"/>
  <c r="L75" i="55" s="1"/>
  <c r="G104" i="55" s="1"/>
  <c r="E104" i="55" s="1"/>
  <c r="J75" i="46"/>
  <c r="L75" i="46" s="1"/>
  <c r="G104" i="46" s="1"/>
  <c r="E104" i="46" s="1"/>
  <c r="J75" i="54"/>
  <c r="L75" i="54" s="1"/>
  <c r="G104" i="54" s="1"/>
  <c r="E104" i="54" s="1"/>
  <c r="AU51" i="40"/>
  <c r="AV51" i="40"/>
  <c r="AW51" i="40"/>
  <c r="AX51" i="40"/>
  <c r="AY51" i="40"/>
  <c r="AZ51" i="40"/>
  <c r="BA51" i="40"/>
  <c r="BB51" i="40"/>
  <c r="BC51" i="40"/>
  <c r="BD51" i="40"/>
  <c r="BE51" i="40"/>
  <c r="BF51" i="40"/>
  <c r="BG51" i="40"/>
  <c r="BH51" i="40"/>
  <c r="BI27" i="40"/>
  <c r="AT29" i="40"/>
  <c r="AU29" i="40"/>
  <c r="AV29" i="40"/>
  <c r="AW29" i="40"/>
  <c r="AX29" i="40"/>
  <c r="AY29" i="40"/>
  <c r="AZ29" i="40"/>
  <c r="BA29" i="40"/>
  <c r="BB29" i="40"/>
  <c r="BC29" i="40"/>
  <c r="BD29" i="40"/>
  <c r="BE29" i="40"/>
  <c r="BF29" i="40"/>
  <c r="BG29" i="40"/>
  <c r="BH29" i="40"/>
  <c r="AT30" i="40"/>
  <c r="AU30" i="40"/>
  <c r="AV30" i="40"/>
  <c r="AW30" i="40"/>
  <c r="AX30" i="40"/>
  <c r="AY30" i="40"/>
  <c r="AZ30" i="40"/>
  <c r="BA30" i="40"/>
  <c r="BB30" i="40"/>
  <c r="BC30" i="40"/>
  <c r="BD30" i="40"/>
  <c r="BE30" i="40"/>
  <c r="BF30" i="40"/>
  <c r="BG30" i="40"/>
  <c r="BH30" i="40"/>
  <c r="BI30" i="40"/>
  <c r="AT24" i="40"/>
  <c r="AU24" i="40"/>
  <c r="AV24" i="40"/>
  <c r="AW24" i="40"/>
  <c r="AX24" i="40"/>
  <c r="AY24" i="40"/>
  <c r="AZ24" i="40"/>
  <c r="BA24" i="40"/>
  <c r="BB24" i="40"/>
  <c r="BC24" i="40"/>
  <c r="BD24" i="40"/>
  <c r="BE24" i="40"/>
  <c r="BF24" i="40"/>
  <c r="BG24" i="40"/>
  <c r="BH24" i="40"/>
  <c r="AT23" i="40"/>
  <c r="AU23" i="40"/>
  <c r="AV23" i="40"/>
  <c r="AW23" i="40"/>
  <c r="AX23" i="40"/>
  <c r="AY23" i="40"/>
  <c r="AZ23" i="40"/>
  <c r="BA23" i="40"/>
  <c r="BB23" i="40"/>
  <c r="BC23" i="40"/>
  <c r="BD23" i="40"/>
  <c r="BE23" i="40"/>
  <c r="BF23" i="40"/>
  <c r="BG23" i="40"/>
  <c r="BH23" i="40"/>
  <c r="BI23" i="40"/>
  <c r="AX14" i="40"/>
  <c r="BJ14" i="40"/>
  <c r="AZ14" i="40"/>
  <c r="BD14" i="40"/>
  <c r="AV14" i="40"/>
  <c r="BB14" i="40"/>
  <c r="AT14" i="40"/>
  <c r="BH14" i="40"/>
  <c r="AY14" i="40"/>
  <c r="AW14" i="40"/>
  <c r="BF14" i="40"/>
  <c r="BC14" i="40"/>
  <c r="BG14" i="40"/>
  <c r="BA14" i="40"/>
  <c r="BE14" i="40"/>
  <c r="AU14" i="40"/>
  <c r="BI14" i="40"/>
  <c r="BI12" i="40"/>
  <c r="BF12" i="40"/>
  <c r="AU12" i="40"/>
  <c r="AZ12" i="40"/>
  <c r="BA12" i="40"/>
  <c r="AV12" i="40"/>
  <c r="AX12" i="40"/>
  <c r="BG12" i="40"/>
  <c r="BE12" i="40"/>
  <c r="BH12" i="40"/>
  <c r="BB12" i="40"/>
  <c r="BD12" i="40"/>
  <c r="BJ12" i="40"/>
  <c r="AY12" i="40"/>
  <c r="AW12" i="40"/>
  <c r="BC12" i="40"/>
  <c r="AT12" i="40"/>
  <c r="BG13" i="40"/>
  <c r="AY13" i="40"/>
  <c r="BI13" i="40"/>
  <c r="AU13" i="40"/>
  <c r="BA13" i="40"/>
  <c r="BC13" i="40"/>
  <c r="BE13" i="40"/>
  <c r="AW13" i="40"/>
  <c r="AX13" i="40"/>
  <c r="BH13" i="40"/>
  <c r="BJ13" i="40"/>
  <c r="AZ13" i="40"/>
  <c r="AT13" i="40"/>
  <c r="BD13" i="40"/>
  <c r="BB13" i="40"/>
  <c r="BF13" i="40"/>
  <c r="AV13" i="40"/>
  <c r="BJ24" i="40"/>
  <c r="BJ30" i="40"/>
  <c r="BJ29" i="40"/>
  <c r="BJ28" i="40"/>
  <c r="BJ27" i="40"/>
  <c r="BJ23" i="40"/>
  <c r="BJ42" i="40"/>
  <c r="BJ44" i="40"/>
  <c r="BJ51" i="40"/>
  <c r="BJ43" i="40"/>
  <c r="BJ41" i="40"/>
  <c r="BJ54" i="40"/>
  <c r="BJ11" i="40"/>
  <c r="BA31" i="40"/>
  <c r="BI31" i="40"/>
  <c r="AY31" i="40"/>
  <c r="BC31" i="40"/>
  <c r="BB31" i="40"/>
  <c r="AV31" i="40"/>
  <c r="BE31" i="40"/>
  <c r="AU31" i="40"/>
  <c r="BF31" i="40"/>
  <c r="AZ31" i="40"/>
  <c r="AW31" i="40"/>
  <c r="AT31" i="40"/>
  <c r="BJ31" i="40"/>
  <c r="BD31" i="40"/>
  <c r="BG31" i="40"/>
  <c r="AX31" i="40"/>
  <c r="BH31" i="40"/>
  <c r="BD32" i="40"/>
  <c r="AT32" i="40"/>
  <c r="AX32" i="40"/>
  <c r="BF32" i="40"/>
  <c r="BC32" i="40"/>
  <c r="BA32" i="40"/>
  <c r="AV32" i="40"/>
  <c r="BH32" i="40"/>
  <c r="BG32" i="40"/>
  <c r="BE32" i="40"/>
  <c r="BJ32" i="40"/>
  <c r="AZ32" i="40"/>
  <c r="AU32" i="40"/>
  <c r="BI32" i="40"/>
  <c r="BB32" i="40"/>
  <c r="AW32" i="40"/>
  <c r="AY32" i="40"/>
  <c r="BK10" i="40"/>
  <c r="BK48" i="40" s="1"/>
  <c r="AI77" i="46" l="1"/>
  <c r="AI77" i="24"/>
  <c r="BK16" i="40"/>
  <c r="BK15" i="40"/>
  <c r="BK17" i="40"/>
  <c r="BK18" i="40"/>
  <c r="X69" i="55"/>
  <c r="X69" i="54"/>
  <c r="X69" i="46"/>
  <c r="X69" i="24"/>
  <c r="T69" i="46"/>
  <c r="T69" i="24"/>
  <c r="T69" i="54"/>
  <c r="T69" i="55"/>
  <c r="V69" i="54"/>
  <c r="V69" i="55"/>
  <c r="V69" i="46"/>
  <c r="V69" i="24"/>
  <c r="AH69" i="55"/>
  <c r="AH69" i="46"/>
  <c r="AH69" i="54"/>
  <c r="AH69" i="24"/>
  <c r="Y69" i="46"/>
  <c r="Y69" i="55"/>
  <c r="Y69" i="54"/>
  <c r="Y69" i="24"/>
  <c r="AD69" i="54"/>
  <c r="AD69" i="46"/>
  <c r="AD69" i="55"/>
  <c r="AD69" i="24"/>
  <c r="AG69" i="55"/>
  <c r="AG69" i="46"/>
  <c r="AG69" i="54"/>
  <c r="AG69" i="24"/>
  <c r="Z69" i="55"/>
  <c r="Z69" i="46"/>
  <c r="Z69" i="54"/>
  <c r="Z69" i="24"/>
  <c r="AE69" i="46"/>
  <c r="AE69" i="55"/>
  <c r="AE69" i="54"/>
  <c r="AE69" i="24"/>
  <c r="S69" i="46"/>
  <c r="S69" i="55"/>
  <c r="S69" i="54"/>
  <c r="S69" i="24"/>
  <c r="W68" i="54"/>
  <c r="W68" i="55"/>
  <c r="W68" i="24"/>
  <c r="W68" i="46"/>
  <c r="AC68" i="55"/>
  <c r="AC68" i="24"/>
  <c r="AC68" i="54"/>
  <c r="AC68" i="46"/>
  <c r="S68" i="55"/>
  <c r="S68" i="24"/>
  <c r="S68" i="54"/>
  <c r="S68" i="46"/>
  <c r="Y68" i="54"/>
  <c r="Y68" i="46"/>
  <c r="Y68" i="24"/>
  <c r="Y68" i="55"/>
  <c r="T68" i="54"/>
  <c r="T68" i="46"/>
  <c r="T68" i="24"/>
  <c r="T68" i="55"/>
  <c r="U68" i="55"/>
  <c r="U68" i="24"/>
  <c r="U68" i="54"/>
  <c r="U68" i="46"/>
  <c r="AB68" i="54"/>
  <c r="AB68" i="46"/>
  <c r="AB68" i="24"/>
  <c r="AB68" i="55"/>
  <c r="AH68" i="55"/>
  <c r="AH68" i="54"/>
  <c r="AH68" i="24"/>
  <c r="AH68" i="46"/>
  <c r="AI66" i="24"/>
  <c r="AI66" i="55"/>
  <c r="AI66" i="46"/>
  <c r="AI66" i="54"/>
  <c r="AG67" i="54"/>
  <c r="AG67" i="46"/>
  <c r="AG67" i="55"/>
  <c r="AG67" i="24"/>
  <c r="AE67" i="46"/>
  <c r="AE67" i="54"/>
  <c r="AE67" i="55"/>
  <c r="AE67" i="24"/>
  <c r="AC67" i="46"/>
  <c r="AC67" i="54"/>
  <c r="AC67" i="55"/>
  <c r="AC67" i="24"/>
  <c r="AA67" i="46"/>
  <c r="AA67" i="54"/>
  <c r="AA67" i="55"/>
  <c r="AA67" i="24"/>
  <c r="Y67" i="46"/>
  <c r="Y67" i="54"/>
  <c r="Y67" i="55"/>
  <c r="Y67" i="24"/>
  <c r="W67" i="54"/>
  <c r="W67" i="46"/>
  <c r="W67" i="55"/>
  <c r="W67" i="24"/>
  <c r="U67" i="54"/>
  <c r="U67" i="46"/>
  <c r="U67" i="55"/>
  <c r="U67" i="24"/>
  <c r="S67" i="54"/>
  <c r="S67" i="46"/>
  <c r="S67" i="55"/>
  <c r="S67" i="24"/>
  <c r="AF66" i="24"/>
  <c r="AF66" i="46"/>
  <c r="AF66" i="55"/>
  <c r="AF66" i="54"/>
  <c r="AD66" i="24"/>
  <c r="AD66" i="46"/>
  <c r="AD66" i="55"/>
  <c r="AD66" i="54"/>
  <c r="AB66" i="24"/>
  <c r="AB66" i="55"/>
  <c r="AB66" i="46"/>
  <c r="AB66" i="54"/>
  <c r="Z66" i="24"/>
  <c r="Z66" i="55"/>
  <c r="Z66" i="54"/>
  <c r="Z66" i="46"/>
  <c r="X66" i="24"/>
  <c r="X66" i="54"/>
  <c r="X66" i="55"/>
  <c r="X66" i="46"/>
  <c r="V66" i="24"/>
  <c r="V66" i="54"/>
  <c r="V66" i="55"/>
  <c r="V66" i="46"/>
  <c r="T66" i="24"/>
  <c r="T66" i="55"/>
  <c r="T66" i="54"/>
  <c r="T66" i="46"/>
  <c r="AH66" i="24"/>
  <c r="AH66" i="55"/>
  <c r="AH66" i="46"/>
  <c r="AH66" i="54"/>
  <c r="AA69" i="55"/>
  <c r="AA69" i="54"/>
  <c r="AA69" i="46"/>
  <c r="AA69" i="24"/>
  <c r="AI69" i="55"/>
  <c r="AI69" i="54"/>
  <c r="AI69" i="46"/>
  <c r="AI69" i="24"/>
  <c r="AF69" i="55"/>
  <c r="AF69" i="54"/>
  <c r="AF69" i="46"/>
  <c r="AF69" i="24"/>
  <c r="U69" i="55"/>
  <c r="U69" i="54"/>
  <c r="U69" i="46"/>
  <c r="U69" i="24"/>
  <c r="AB69" i="55"/>
  <c r="AB69" i="24"/>
  <c r="AB69" i="54"/>
  <c r="AB69" i="46"/>
  <c r="W69" i="24"/>
  <c r="W69" i="55"/>
  <c r="W69" i="54"/>
  <c r="W69" i="46"/>
  <c r="AC69" i="55"/>
  <c r="AC69" i="54"/>
  <c r="AC69" i="46"/>
  <c r="AC69" i="24"/>
  <c r="AG68" i="54"/>
  <c r="AG68" i="46"/>
  <c r="AG68" i="24"/>
  <c r="AG68" i="55"/>
  <c r="AF68" i="55"/>
  <c r="AF68" i="24"/>
  <c r="AF68" i="46"/>
  <c r="AF68" i="54"/>
  <c r="AI68" i="55"/>
  <c r="AI68" i="46"/>
  <c r="AI68" i="54"/>
  <c r="AI68" i="24"/>
  <c r="V68" i="55"/>
  <c r="V68" i="54"/>
  <c r="V68" i="46"/>
  <c r="V68" i="24"/>
  <c r="AE68" i="54"/>
  <c r="AE68" i="55"/>
  <c r="AE68" i="46"/>
  <c r="AE68" i="24"/>
  <c r="AD68" i="55"/>
  <c r="AD68" i="54"/>
  <c r="AD68" i="46"/>
  <c r="AD68" i="24"/>
  <c r="AA68" i="55"/>
  <c r="AA68" i="46"/>
  <c r="AA68" i="54"/>
  <c r="AA68" i="24"/>
  <c r="X68" i="55"/>
  <c r="X68" i="24"/>
  <c r="X68" i="54"/>
  <c r="X68" i="46"/>
  <c r="Z68" i="55"/>
  <c r="Z68" i="46"/>
  <c r="Z68" i="24"/>
  <c r="Z68" i="54"/>
  <c r="AI67" i="54"/>
  <c r="AI67" i="46"/>
  <c r="AI67" i="55"/>
  <c r="AI67" i="24"/>
  <c r="AH67" i="54"/>
  <c r="AH67" i="46"/>
  <c r="AH67" i="55"/>
  <c r="AH67" i="24"/>
  <c r="AF67" i="54"/>
  <c r="AF67" i="46"/>
  <c r="AF67" i="55"/>
  <c r="AF67" i="24"/>
  <c r="AD67" i="54"/>
  <c r="AD67" i="46"/>
  <c r="AD67" i="55"/>
  <c r="AD67" i="24"/>
  <c r="AB67" i="46"/>
  <c r="AB67" i="54"/>
  <c r="AB67" i="55"/>
  <c r="AB67" i="24"/>
  <c r="Z67" i="46"/>
  <c r="Z67" i="54"/>
  <c r="Z67" i="55"/>
  <c r="Z67" i="24"/>
  <c r="X67" i="46"/>
  <c r="X67" i="54"/>
  <c r="X67" i="55"/>
  <c r="X67" i="24"/>
  <c r="V67" i="46"/>
  <c r="V67" i="54"/>
  <c r="V67" i="55"/>
  <c r="V67" i="24"/>
  <c r="T67" i="54"/>
  <c r="T67" i="46"/>
  <c r="T67" i="55"/>
  <c r="T67" i="24"/>
  <c r="AG66" i="24"/>
  <c r="AG66" i="54"/>
  <c r="AG66" i="55"/>
  <c r="AG66" i="46"/>
  <c r="AE66" i="24"/>
  <c r="AE66" i="46"/>
  <c r="AE66" i="55"/>
  <c r="AE66" i="54"/>
  <c r="AC66" i="24"/>
  <c r="AC66" i="55"/>
  <c r="AC66" i="54"/>
  <c r="AC66" i="46"/>
  <c r="AA66" i="24"/>
  <c r="AA66" i="55"/>
  <c r="AA66" i="54"/>
  <c r="AA66" i="46"/>
  <c r="Y66" i="24"/>
  <c r="Y66" i="46"/>
  <c r="Y66" i="55"/>
  <c r="Y66" i="54"/>
  <c r="W66" i="24"/>
  <c r="W66" i="54"/>
  <c r="W66" i="55"/>
  <c r="W66" i="46"/>
  <c r="U66" i="24"/>
  <c r="U66" i="55"/>
  <c r="U66" i="46"/>
  <c r="U66" i="54"/>
  <c r="S66" i="24"/>
  <c r="S66" i="46"/>
  <c r="S66" i="55"/>
  <c r="S66" i="54"/>
  <c r="AH75" i="54"/>
  <c r="AH75" i="24"/>
  <c r="AH75" i="46"/>
  <c r="AI77" i="54"/>
  <c r="AI77" i="55"/>
  <c r="BK35" i="40"/>
  <c r="BK36" i="40"/>
  <c r="BK33" i="40"/>
  <c r="BK34" i="40"/>
  <c r="BK39" i="40"/>
  <c r="BK40" i="40"/>
  <c r="BK37" i="40"/>
  <c r="BK38" i="40"/>
  <c r="BK12" i="40"/>
  <c r="BK55" i="40"/>
  <c r="AJ77" i="24" s="1"/>
  <c r="BF88" i="46"/>
  <c r="BE89" i="46"/>
  <c r="BF88" i="54"/>
  <c r="BE89" i="54"/>
  <c r="BF88" i="55"/>
  <c r="BE89" i="55"/>
  <c r="AA75" i="24"/>
  <c r="AA75" i="55"/>
  <c r="AA75" i="46"/>
  <c r="AA75" i="54"/>
  <c r="W75" i="24"/>
  <c r="W75" i="46"/>
  <c r="W75" i="54"/>
  <c r="W75" i="55"/>
  <c r="S75" i="55"/>
  <c r="S75" i="54"/>
  <c r="S75" i="46"/>
  <c r="S75" i="24"/>
  <c r="Z75" i="24"/>
  <c r="Z75" i="55"/>
  <c r="Z75" i="54"/>
  <c r="Z75" i="46"/>
  <c r="AG75" i="24"/>
  <c r="AG75" i="55"/>
  <c r="AG75" i="46"/>
  <c r="AG75" i="54"/>
  <c r="AC75" i="24"/>
  <c r="AC75" i="46"/>
  <c r="AC75" i="55"/>
  <c r="AC75" i="54"/>
  <c r="Y75" i="24"/>
  <c r="Y75" i="46"/>
  <c r="Y75" i="55"/>
  <c r="Y75" i="54"/>
  <c r="U75" i="24"/>
  <c r="U75" i="46"/>
  <c r="U75" i="55"/>
  <c r="U75" i="54"/>
  <c r="AI75" i="24"/>
  <c r="AI75" i="46"/>
  <c r="AI75" i="55"/>
  <c r="AI75" i="54"/>
  <c r="AE75" i="24"/>
  <c r="AE75" i="55"/>
  <c r="AE75" i="46"/>
  <c r="AE75" i="54"/>
  <c r="AD75" i="24"/>
  <c r="AD75" i="54"/>
  <c r="AD75" i="46"/>
  <c r="AD75" i="55"/>
  <c r="V75" i="24"/>
  <c r="V75" i="55"/>
  <c r="V75" i="54"/>
  <c r="V75" i="46"/>
  <c r="AF75" i="24"/>
  <c r="AF75" i="55"/>
  <c r="AF75" i="46"/>
  <c r="AF75" i="54"/>
  <c r="AB75" i="24"/>
  <c r="AB75" i="46"/>
  <c r="AB75" i="55"/>
  <c r="AB75" i="54"/>
  <c r="X75" i="24"/>
  <c r="X75" i="54"/>
  <c r="X75" i="55"/>
  <c r="X75" i="46"/>
  <c r="T75" i="24"/>
  <c r="T75" i="46"/>
  <c r="T75" i="55"/>
  <c r="T75" i="54"/>
  <c r="BK14" i="40"/>
  <c r="BK30" i="40"/>
  <c r="BK27" i="40"/>
  <c r="BK29" i="40"/>
  <c r="BK23" i="40"/>
  <c r="BK28" i="40"/>
  <c r="BK24" i="40"/>
  <c r="BK44" i="40"/>
  <c r="BK51" i="40"/>
  <c r="BK41" i="40"/>
  <c r="BK42" i="40"/>
  <c r="BK43" i="40"/>
  <c r="BK54" i="40"/>
  <c r="BK11" i="40"/>
  <c r="BK31" i="40"/>
  <c r="BK13" i="40"/>
  <c r="BK32" i="40"/>
  <c r="BL10" i="40"/>
  <c r="BL48" i="40" s="1"/>
  <c r="BL16" i="40" l="1"/>
  <c r="BL17" i="40"/>
  <c r="BL15" i="40"/>
  <c r="BL18" i="40"/>
  <c r="AJ69" i="46"/>
  <c r="AJ69" i="24"/>
  <c r="AJ69" i="54"/>
  <c r="AJ69" i="55"/>
  <c r="AJ68" i="54"/>
  <c r="AJ68" i="46"/>
  <c r="AJ68" i="24"/>
  <c r="AJ68" i="55"/>
  <c r="AJ66" i="24"/>
  <c r="AJ66" i="55"/>
  <c r="AJ66" i="54"/>
  <c r="AJ66" i="46"/>
  <c r="AJ67" i="54"/>
  <c r="AJ67" i="46"/>
  <c r="AJ67" i="55"/>
  <c r="AJ67" i="24"/>
  <c r="BL36" i="40"/>
  <c r="BL35" i="40"/>
  <c r="BL34" i="40"/>
  <c r="BL33" i="40"/>
  <c r="BL55" i="40"/>
  <c r="BL39" i="40"/>
  <c r="BL38" i="40"/>
  <c r="BL37" i="40"/>
  <c r="BL40" i="40"/>
  <c r="AJ77" i="46"/>
  <c r="AJ77" i="54"/>
  <c r="AJ77" i="55"/>
  <c r="BG88" i="54"/>
  <c r="BF89" i="54"/>
  <c r="BG88" i="55"/>
  <c r="BF89" i="55"/>
  <c r="BG88" i="46"/>
  <c r="BF89" i="46"/>
  <c r="AJ75" i="24"/>
  <c r="AJ75" i="46"/>
  <c r="AJ75" i="54"/>
  <c r="AJ75" i="55"/>
  <c r="BL24" i="40"/>
  <c r="BL30" i="40"/>
  <c r="BL28" i="40"/>
  <c r="BL29" i="40"/>
  <c r="BL23" i="40"/>
  <c r="BL27" i="40"/>
  <c r="BL51" i="40"/>
  <c r="BL42" i="40"/>
  <c r="BL43" i="40"/>
  <c r="BL44" i="40"/>
  <c r="BL41" i="40"/>
  <c r="BL54" i="40"/>
  <c r="BL11" i="40"/>
  <c r="BL14" i="40"/>
  <c r="BL32" i="40"/>
  <c r="BL12" i="40"/>
  <c r="BL13" i="40"/>
  <c r="BL31" i="40"/>
  <c r="BM10" i="40"/>
  <c r="BM48" i="40" s="1"/>
  <c r="AK77" i="46" l="1"/>
  <c r="AK77" i="24"/>
  <c r="BM17" i="40"/>
  <c r="BM15" i="40"/>
  <c r="BM16" i="40"/>
  <c r="BM18" i="40"/>
  <c r="AK68" i="55"/>
  <c r="AK68" i="24"/>
  <c r="AK68" i="54"/>
  <c r="AK68" i="46"/>
  <c r="AK66" i="24"/>
  <c r="AK66" i="55"/>
  <c r="AK66" i="46"/>
  <c r="AK66" i="54"/>
  <c r="AK67" i="54"/>
  <c r="AK67" i="46"/>
  <c r="AK67" i="55"/>
  <c r="AK67" i="24"/>
  <c r="AK69" i="55"/>
  <c r="AK69" i="54"/>
  <c r="AK69" i="46"/>
  <c r="AK69" i="24"/>
  <c r="AK77" i="54"/>
  <c r="AK77" i="55"/>
  <c r="BM33" i="40"/>
  <c r="BM34" i="40"/>
  <c r="BM35" i="40"/>
  <c r="BM36" i="40"/>
  <c r="BM55" i="40"/>
  <c r="BM39" i="40"/>
  <c r="BM37" i="40"/>
  <c r="BM38" i="40"/>
  <c r="BM40" i="40"/>
  <c r="BH88" i="55"/>
  <c r="BG89" i="55"/>
  <c r="BH88" i="46"/>
  <c r="BG89" i="46"/>
  <c r="BH88" i="54"/>
  <c r="BG89" i="54"/>
  <c r="AK75" i="24"/>
  <c r="AK75" i="55"/>
  <c r="AK75" i="54"/>
  <c r="AK75" i="46"/>
  <c r="BM29" i="40"/>
  <c r="BM30" i="40"/>
  <c r="BM27" i="40"/>
  <c r="BM28" i="40"/>
  <c r="BM24" i="40"/>
  <c r="BM23" i="40"/>
  <c r="BM41" i="40"/>
  <c r="BM42" i="40"/>
  <c r="BM51" i="40"/>
  <c r="BM44" i="40"/>
  <c r="BM43" i="40"/>
  <c r="BM54" i="40"/>
  <c r="BM11" i="40"/>
  <c r="BM31" i="40"/>
  <c r="BM32" i="40"/>
  <c r="BM14" i="40"/>
  <c r="BM12" i="40"/>
  <c r="BM13" i="40"/>
  <c r="BN10" i="40"/>
  <c r="BN48" i="40" s="1"/>
  <c r="AL77" i="46" l="1"/>
  <c r="AL77" i="24"/>
  <c r="BN17" i="40"/>
  <c r="BN16" i="40"/>
  <c r="BN15" i="40"/>
  <c r="BN18" i="40"/>
  <c r="AL69" i="54"/>
  <c r="AL69" i="55"/>
  <c r="AL69" i="46"/>
  <c r="AL69" i="24"/>
  <c r="AL66" i="24"/>
  <c r="AL66" i="54"/>
  <c r="AL66" i="55"/>
  <c r="AL66" i="46"/>
  <c r="AL68" i="55"/>
  <c r="AL68" i="54"/>
  <c r="AL68" i="46"/>
  <c r="AL68" i="24"/>
  <c r="AL67" i="46"/>
  <c r="AL67" i="54"/>
  <c r="AL67" i="55"/>
  <c r="AL67" i="24"/>
  <c r="AL77" i="54"/>
  <c r="AL77" i="55"/>
  <c r="BN34" i="40"/>
  <c r="BN33" i="40"/>
  <c r="BN36" i="40"/>
  <c r="BN35" i="40"/>
  <c r="BN55" i="40"/>
  <c r="BN38" i="40"/>
  <c r="BN37" i="40"/>
  <c r="BN40" i="40"/>
  <c r="BN39" i="40"/>
  <c r="BI88" i="46"/>
  <c r="BH89" i="46"/>
  <c r="BI88" i="54"/>
  <c r="BH89" i="54"/>
  <c r="BI88" i="55"/>
  <c r="BH89" i="55"/>
  <c r="AL75" i="24"/>
  <c r="AL75" i="55"/>
  <c r="AL75" i="54"/>
  <c r="AL75" i="46"/>
  <c r="BN24" i="40"/>
  <c r="BN30" i="40"/>
  <c r="BN29" i="40"/>
  <c r="BN23" i="40"/>
  <c r="BN27" i="40"/>
  <c r="BN28" i="40"/>
  <c r="BN44" i="40"/>
  <c r="BN43" i="40"/>
  <c r="BN42" i="40"/>
  <c r="BN51" i="40"/>
  <c r="BN41" i="40"/>
  <c r="BN54" i="40"/>
  <c r="BN11" i="40"/>
  <c r="BN12" i="40"/>
  <c r="BN14" i="40"/>
  <c r="BN13" i="40"/>
  <c r="BN31" i="40"/>
  <c r="BN32" i="40"/>
  <c r="BO10" i="40"/>
  <c r="BO48" i="40" s="1"/>
  <c r="S22" i="40"/>
  <c r="S21" i="40"/>
  <c r="S20" i="40"/>
  <c r="S19" i="40"/>
  <c r="AI24" i="40"/>
  <c r="AI23" i="40"/>
  <c r="AM77" i="46" l="1"/>
  <c r="AM77" i="24"/>
  <c r="AA13" i="40"/>
  <c r="AA11" i="40"/>
  <c r="BO17" i="40"/>
  <c r="BO15" i="40"/>
  <c r="BO16" i="40"/>
  <c r="BO18" i="40"/>
  <c r="AM68" i="54"/>
  <c r="AM68" i="55"/>
  <c r="AM68" i="24"/>
  <c r="AM68" i="46"/>
  <c r="AM66" i="24"/>
  <c r="AM66" i="54"/>
  <c r="AM66" i="55"/>
  <c r="AM66" i="46"/>
  <c r="AM69" i="24"/>
  <c r="AM69" i="55"/>
  <c r="AM69" i="54"/>
  <c r="AM69" i="46"/>
  <c r="AM67" i="54"/>
  <c r="AM67" i="46"/>
  <c r="AM67" i="55"/>
  <c r="AM67" i="24"/>
  <c r="AM77" i="54"/>
  <c r="AM77" i="55"/>
  <c r="BO35" i="40"/>
  <c r="BO36" i="40"/>
  <c r="BO33" i="40"/>
  <c r="BO34" i="40"/>
  <c r="BO55" i="40"/>
  <c r="BO39" i="40"/>
  <c r="BO40" i="40"/>
  <c r="BO37" i="40"/>
  <c r="BO38" i="40"/>
  <c r="BN19" i="40"/>
  <c r="BJ88" i="54"/>
  <c r="BI89" i="54"/>
  <c r="BJ88" i="55"/>
  <c r="BI89" i="55"/>
  <c r="BJ88" i="46"/>
  <c r="BI89" i="46"/>
  <c r="AM75" i="24"/>
  <c r="AM75" i="46"/>
  <c r="AM75" i="55"/>
  <c r="AM75" i="54"/>
  <c r="AT19" i="40"/>
  <c r="AU19" i="40"/>
  <c r="AV19" i="40"/>
  <c r="AW19" i="40"/>
  <c r="AX19" i="40"/>
  <c r="AY19" i="40"/>
  <c r="AZ19" i="40"/>
  <c r="BA19" i="40"/>
  <c r="BB19" i="40"/>
  <c r="BC19" i="40"/>
  <c r="BD19" i="40"/>
  <c r="BE19" i="40"/>
  <c r="BF19" i="40"/>
  <c r="BG19" i="40"/>
  <c r="BH19" i="40"/>
  <c r="BI19" i="40"/>
  <c r="BJ19" i="40"/>
  <c r="BK19" i="40"/>
  <c r="BL19" i="40"/>
  <c r="BM19" i="40"/>
  <c r="BC22" i="40"/>
  <c r="BO22" i="40"/>
  <c r="BK22" i="40"/>
  <c r="BG22" i="40"/>
  <c r="AY22" i="40"/>
  <c r="AU22" i="40"/>
  <c r="AT22" i="40"/>
  <c r="BJ22" i="40"/>
  <c r="BH22" i="40"/>
  <c r="BE22" i="40"/>
  <c r="BB22" i="40"/>
  <c r="AV22" i="40"/>
  <c r="BI22" i="40"/>
  <c r="BF22" i="40"/>
  <c r="AZ22" i="40"/>
  <c r="BM22" i="40"/>
  <c r="BN22" i="40"/>
  <c r="BD22" i="40"/>
  <c r="AW22" i="40"/>
  <c r="AX22" i="40"/>
  <c r="BL22" i="40"/>
  <c r="BA22" i="40"/>
  <c r="BO30" i="40"/>
  <c r="BO19" i="40"/>
  <c r="BO28" i="40"/>
  <c r="BO29" i="40"/>
  <c r="BO24" i="40"/>
  <c r="BO27" i="40"/>
  <c r="BO23" i="40"/>
  <c r="BO42" i="40"/>
  <c r="BO51" i="40"/>
  <c r="BO41" i="40"/>
  <c r="BO44" i="40"/>
  <c r="BO43" i="40"/>
  <c r="BO54" i="40"/>
  <c r="BO11" i="40"/>
  <c r="BO13" i="40"/>
  <c r="BO32" i="40"/>
  <c r="BO31" i="40"/>
  <c r="BO12" i="40"/>
  <c r="BO14" i="40"/>
  <c r="AZ20" i="40"/>
  <c r="AW20" i="40"/>
  <c r="BM20" i="40"/>
  <c r="AT20" i="40"/>
  <c r="BJ20" i="40"/>
  <c r="BC20" i="40"/>
  <c r="BH20" i="40"/>
  <c r="BA20" i="40"/>
  <c r="BN20" i="40"/>
  <c r="AY20" i="40"/>
  <c r="BL20" i="40"/>
  <c r="BE20" i="40"/>
  <c r="AX20" i="40"/>
  <c r="BG20" i="40"/>
  <c r="AV20" i="40"/>
  <c r="BB20" i="40"/>
  <c r="BK20" i="40"/>
  <c r="BF20" i="40"/>
  <c r="BO20" i="40"/>
  <c r="BI20" i="40"/>
  <c r="BD20" i="40"/>
  <c r="AU20" i="40"/>
  <c r="BI21" i="40"/>
  <c r="BE21" i="40"/>
  <c r="AU21" i="40"/>
  <c r="AY21" i="40"/>
  <c r="AW21" i="40"/>
  <c r="BK21" i="40"/>
  <c r="BC21" i="40"/>
  <c r="BA21" i="40"/>
  <c r="BO21" i="40"/>
  <c r="BF21" i="40"/>
  <c r="AZ21" i="40"/>
  <c r="BG21" i="40"/>
  <c r="BM21" i="40"/>
  <c r="BB21" i="40"/>
  <c r="BL21" i="40"/>
  <c r="BJ21" i="40"/>
  <c r="AV21" i="40"/>
  <c r="BN21" i="40"/>
  <c r="BD21" i="40"/>
  <c r="AX21" i="40"/>
  <c r="BH21" i="40"/>
  <c r="AT21" i="40"/>
  <c r="BP10" i="40"/>
  <c r="BP48" i="40" s="1"/>
  <c r="AL23" i="40"/>
  <c r="AJ23" i="40"/>
  <c r="AM23" i="40"/>
  <c r="AK23" i="40"/>
  <c r="Y45" i="40"/>
  <c r="AN77" i="46" l="1"/>
  <c r="AN77" i="24"/>
  <c r="BP16" i="40"/>
  <c r="BP17" i="40"/>
  <c r="BP15" i="40"/>
  <c r="BP18" i="40"/>
  <c r="AN69" i="55"/>
  <c r="AN69" i="54"/>
  <c r="AN69" i="46"/>
  <c r="AN69" i="24"/>
  <c r="AN67" i="46"/>
  <c r="AN67" i="54"/>
  <c r="AN67" i="55"/>
  <c r="AN67" i="24"/>
  <c r="AN68" i="55"/>
  <c r="AN68" i="24"/>
  <c r="AN68" i="54"/>
  <c r="AN68" i="46"/>
  <c r="AN66" i="24"/>
  <c r="AN66" i="54"/>
  <c r="AN66" i="55"/>
  <c r="AN66" i="46"/>
  <c r="AN77" i="54"/>
  <c r="AN77" i="55"/>
  <c r="BP36" i="40"/>
  <c r="BP35" i="40"/>
  <c r="BP34" i="40"/>
  <c r="BP33" i="40"/>
  <c r="BP55" i="40"/>
  <c r="BP39" i="40"/>
  <c r="BP38" i="40"/>
  <c r="BP37" i="40"/>
  <c r="BP40" i="40"/>
  <c r="BK88" i="55"/>
  <c r="BJ89" i="55"/>
  <c r="BK88" i="46"/>
  <c r="BJ89" i="46"/>
  <c r="BK88" i="54"/>
  <c r="BJ89" i="54"/>
  <c r="AN75" i="24"/>
  <c r="AN75" i="46"/>
  <c r="AN75" i="55"/>
  <c r="AN75" i="54"/>
  <c r="BP24" i="40"/>
  <c r="BP29" i="40"/>
  <c r="BP28" i="40"/>
  <c r="BP30" i="40"/>
  <c r="BP23" i="40"/>
  <c r="BP19" i="40"/>
  <c r="BP27" i="40"/>
  <c r="BP41" i="40"/>
  <c r="BP44" i="40"/>
  <c r="BP51" i="40"/>
  <c r="BP42" i="40"/>
  <c r="BP43" i="40"/>
  <c r="BP54" i="40"/>
  <c r="BP11" i="40"/>
  <c r="BP13" i="40"/>
  <c r="BP14" i="40"/>
  <c r="BP12" i="40"/>
  <c r="BP31" i="40"/>
  <c r="BP32" i="40"/>
  <c r="BP20" i="40"/>
  <c r="BP21" i="40"/>
  <c r="BP22" i="40"/>
  <c r="BQ10" i="40"/>
  <c r="BQ48" i="40" s="1"/>
  <c r="AA52" i="40"/>
  <c r="S47" i="40"/>
  <c r="J72" i="54" l="1"/>
  <c r="J72" i="24"/>
  <c r="J72" i="55"/>
  <c r="J72" i="46"/>
  <c r="AO77" i="46"/>
  <c r="AO77" i="24"/>
  <c r="BQ16" i="40"/>
  <c r="BQ17" i="40"/>
  <c r="BQ15" i="40"/>
  <c r="BQ18" i="40"/>
  <c r="AO69" i="46"/>
  <c r="AO69" i="55"/>
  <c r="AO69" i="54"/>
  <c r="AO69" i="24"/>
  <c r="AO67" i="46"/>
  <c r="AO67" i="54"/>
  <c r="AO67" i="55"/>
  <c r="AO67" i="24"/>
  <c r="AO68" i="54"/>
  <c r="AO68" i="46"/>
  <c r="AO68" i="24"/>
  <c r="AO68" i="55"/>
  <c r="AO66" i="24"/>
  <c r="AO66" i="46"/>
  <c r="AO66" i="55"/>
  <c r="AO66" i="54"/>
  <c r="AO77" i="54"/>
  <c r="AO77" i="55"/>
  <c r="BQ33" i="40"/>
  <c r="BQ34" i="40"/>
  <c r="BQ35" i="40"/>
  <c r="BQ36" i="40"/>
  <c r="BQ55" i="40"/>
  <c r="BQ39" i="40"/>
  <c r="BQ37" i="40"/>
  <c r="BQ38" i="40"/>
  <c r="BQ40" i="40"/>
  <c r="BL88" i="46"/>
  <c r="BK89" i="46"/>
  <c r="BL88" i="54"/>
  <c r="BK89" i="54"/>
  <c r="BL88" i="55"/>
  <c r="BK89" i="55"/>
  <c r="AO75" i="24"/>
  <c r="AO75" i="46"/>
  <c r="AO75" i="55"/>
  <c r="AO75" i="54"/>
  <c r="BQ19" i="40"/>
  <c r="BQ29" i="40"/>
  <c r="BQ23" i="40"/>
  <c r="BQ27" i="40"/>
  <c r="BQ30" i="40"/>
  <c r="BQ28" i="40"/>
  <c r="BQ24" i="40"/>
  <c r="BQ44" i="40"/>
  <c r="BQ51" i="40"/>
  <c r="BQ41" i="40"/>
  <c r="BQ42" i="40"/>
  <c r="BQ43" i="40"/>
  <c r="BQ54" i="40"/>
  <c r="BQ11" i="40"/>
  <c r="BQ12" i="40"/>
  <c r="BQ32" i="40"/>
  <c r="BQ13" i="40"/>
  <c r="BQ31" i="40"/>
  <c r="BQ14" i="40"/>
  <c r="BQ22" i="40"/>
  <c r="BQ21" i="40"/>
  <c r="BQ20" i="40"/>
  <c r="BB53" i="40"/>
  <c r="BI53" i="40"/>
  <c r="BH53" i="40"/>
  <c r="BG53" i="40"/>
  <c r="BN53" i="40"/>
  <c r="AX53" i="40"/>
  <c r="BE53" i="40"/>
  <c r="BF53" i="40"/>
  <c r="BM53" i="40"/>
  <c r="AW53" i="40"/>
  <c r="BL53" i="40"/>
  <c r="AV53" i="40"/>
  <c r="BK53" i="40"/>
  <c r="AU53" i="40"/>
  <c r="BD53" i="40"/>
  <c r="BC53" i="40"/>
  <c r="BJ53" i="40"/>
  <c r="AT53" i="40"/>
  <c r="BQ53" i="40"/>
  <c r="BA53" i="40"/>
  <c r="BP53" i="40"/>
  <c r="AZ53" i="40"/>
  <c r="BO53" i="40"/>
  <c r="AY53" i="40"/>
  <c r="BR10" i="40"/>
  <c r="BR48" i="40" s="1"/>
  <c r="F5" i="23"/>
  <c r="A5" i="23"/>
  <c r="S26" i="40"/>
  <c r="S25" i="40"/>
  <c r="AP77" i="54" l="1"/>
  <c r="AP77" i="24"/>
  <c r="BR17" i="40"/>
  <c r="BR15" i="40"/>
  <c r="BR16" i="40"/>
  <c r="BR18" i="40"/>
  <c r="AP77" i="46"/>
  <c r="AP68" i="55"/>
  <c r="AP68" i="46"/>
  <c r="AP68" i="24"/>
  <c r="AP68" i="54"/>
  <c r="AP69" i="55"/>
  <c r="AP69" i="54"/>
  <c r="AP69" i="46"/>
  <c r="AP69" i="24"/>
  <c r="AP67" i="46"/>
  <c r="AP67" i="54"/>
  <c r="AP67" i="55"/>
  <c r="AP67" i="24"/>
  <c r="AP66" i="24"/>
  <c r="AP66" i="55"/>
  <c r="AP66" i="54"/>
  <c r="AP66" i="46"/>
  <c r="AP77" i="55"/>
  <c r="BR34" i="40"/>
  <c r="BR33" i="40"/>
  <c r="BR36" i="40"/>
  <c r="BR35" i="40"/>
  <c r="BR55" i="40"/>
  <c r="BR38" i="40"/>
  <c r="BR37" i="40"/>
  <c r="BR40" i="40"/>
  <c r="BR39" i="40"/>
  <c r="BM88" i="54"/>
  <c r="BL89" i="54"/>
  <c r="BM88" i="55"/>
  <c r="BL89" i="55"/>
  <c r="BM88" i="46"/>
  <c r="BL89" i="46"/>
  <c r="AP75" i="24"/>
  <c r="AP75" i="46"/>
  <c r="AP75" i="55"/>
  <c r="AP75" i="54"/>
  <c r="AT26" i="40"/>
  <c r="AU26" i="40"/>
  <c r="AV26" i="40"/>
  <c r="AW26" i="40"/>
  <c r="AX26" i="40"/>
  <c r="AY26" i="40"/>
  <c r="AZ26" i="40"/>
  <c r="BA26" i="40"/>
  <c r="BB26" i="40"/>
  <c r="BC26" i="40"/>
  <c r="BD26" i="40"/>
  <c r="BE26" i="40"/>
  <c r="BF26" i="40"/>
  <c r="BG26" i="40"/>
  <c r="BH26" i="40"/>
  <c r="BI26" i="40"/>
  <c r="BJ26" i="40"/>
  <c r="BK26" i="40"/>
  <c r="BL26" i="40"/>
  <c r="BM26" i="40"/>
  <c r="BN26" i="40"/>
  <c r="BO26" i="40"/>
  <c r="BP26" i="40"/>
  <c r="BQ26" i="40"/>
  <c r="BR28" i="40"/>
  <c r="BR24" i="40"/>
  <c r="BR26" i="40"/>
  <c r="BR29" i="40"/>
  <c r="BR23" i="40"/>
  <c r="BR30" i="40"/>
  <c r="BR19" i="40"/>
  <c r="BR27" i="40"/>
  <c r="BR41" i="40"/>
  <c r="BR43" i="40"/>
  <c r="BR44" i="40"/>
  <c r="BR51" i="40"/>
  <c r="BR42" i="40"/>
  <c r="BR54" i="40"/>
  <c r="BR11" i="40"/>
  <c r="BR14" i="40"/>
  <c r="BR12" i="40"/>
  <c r="BR13" i="40"/>
  <c r="BR31" i="40"/>
  <c r="BR32" i="40"/>
  <c r="BR20" i="40"/>
  <c r="BR21" i="40"/>
  <c r="BR22" i="40"/>
  <c r="BR53" i="40"/>
  <c r="AY25" i="40"/>
  <c r="BM25" i="40"/>
  <c r="BC25" i="40"/>
  <c r="AV25" i="40"/>
  <c r="BL25" i="40"/>
  <c r="BF25" i="40"/>
  <c r="BE25" i="40"/>
  <c r="AU25" i="40"/>
  <c r="BQ25" i="40"/>
  <c r="BG25" i="40"/>
  <c r="AZ25" i="40"/>
  <c r="BP25" i="40"/>
  <c r="AT25" i="40"/>
  <c r="BJ25" i="40"/>
  <c r="AW25" i="40"/>
  <c r="BI25" i="40"/>
  <c r="BD25" i="40"/>
  <c r="AX25" i="40"/>
  <c r="BN25" i="40"/>
  <c r="BK25" i="40"/>
  <c r="BA25" i="40"/>
  <c r="BO25" i="40"/>
  <c r="BH25" i="40"/>
  <c r="BB25" i="40"/>
  <c r="BR25" i="40"/>
  <c r="BS10" i="40"/>
  <c r="BS48" i="40" s="1"/>
  <c r="N5" i="24"/>
  <c r="A5" i="24"/>
  <c r="S46" i="40"/>
  <c r="A76" i="24"/>
  <c r="J48" i="7"/>
  <c r="D48" i="7" s="1"/>
  <c r="G76" i="24" l="1"/>
  <c r="J105" i="24" s="1"/>
  <c r="AQ77" i="46"/>
  <c r="AQ77" i="24"/>
  <c r="BS17" i="40"/>
  <c r="BS16" i="40"/>
  <c r="BS15" i="40"/>
  <c r="BS18" i="40"/>
  <c r="AQ69" i="55"/>
  <c r="AQ69" i="54"/>
  <c r="AQ69" i="46"/>
  <c r="AQ69" i="24"/>
  <c r="AQ68" i="55"/>
  <c r="AQ68" i="46"/>
  <c r="AQ68" i="54"/>
  <c r="AQ68" i="24"/>
  <c r="AQ67" i="46"/>
  <c r="AQ67" i="54"/>
  <c r="AQ67" i="55"/>
  <c r="AQ67" i="24"/>
  <c r="AQ66" i="24"/>
  <c r="AQ66" i="55"/>
  <c r="AQ66" i="54"/>
  <c r="AQ66" i="46"/>
  <c r="AQ77" i="54"/>
  <c r="AQ77" i="55"/>
  <c r="BS35" i="40"/>
  <c r="BS36" i="40"/>
  <c r="BS33" i="40"/>
  <c r="BS34" i="40"/>
  <c r="BS55" i="40"/>
  <c r="BS39" i="40"/>
  <c r="BS40" i="40"/>
  <c r="BS37" i="40"/>
  <c r="BS38" i="40"/>
  <c r="BR46" i="40"/>
  <c r="AQ71" i="46" s="1"/>
  <c r="BR47" i="40"/>
  <c r="BN88" i="55"/>
  <c r="BM89" i="55"/>
  <c r="BN88" i="46"/>
  <c r="BM89" i="46"/>
  <c r="BN88" i="54"/>
  <c r="BM89" i="54"/>
  <c r="J76" i="46"/>
  <c r="J76" i="54"/>
  <c r="J76" i="55"/>
  <c r="J76" i="24"/>
  <c r="AT50" i="40"/>
  <c r="J74" i="24"/>
  <c r="J74" i="55"/>
  <c r="L74" i="55" s="1"/>
  <c r="G103" i="55" s="1"/>
  <c r="E103" i="55" s="1"/>
  <c r="J74" i="46"/>
  <c r="L74" i="46" s="1"/>
  <c r="G103" i="46" s="1"/>
  <c r="E103" i="46" s="1"/>
  <c r="J74" i="54"/>
  <c r="L74" i="54" s="1"/>
  <c r="G103" i="54" s="1"/>
  <c r="E103" i="54" s="1"/>
  <c r="AU50" i="40"/>
  <c r="AV50" i="40"/>
  <c r="AW50" i="40"/>
  <c r="AX50" i="40"/>
  <c r="AY50" i="40"/>
  <c r="AZ50" i="40"/>
  <c r="BA50" i="40"/>
  <c r="BB50" i="40"/>
  <c r="BC50" i="40"/>
  <c r="BD50" i="40"/>
  <c r="BE50" i="40"/>
  <c r="BF50" i="40"/>
  <c r="BG50" i="40"/>
  <c r="BH50" i="40"/>
  <c r="BI50" i="40"/>
  <c r="BJ50" i="40"/>
  <c r="BK50" i="40"/>
  <c r="BL50" i="40"/>
  <c r="BM50" i="40"/>
  <c r="BN50" i="40"/>
  <c r="BO50" i="40"/>
  <c r="BP50" i="40"/>
  <c r="BQ50" i="40"/>
  <c r="BR50"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BQ52"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BQ47" i="40"/>
  <c r="AT46" i="40"/>
  <c r="J71" i="24"/>
  <c r="J71" i="55"/>
  <c r="L71" i="55" s="1"/>
  <c r="G100" i="55" s="1"/>
  <c r="E100" i="55" s="1"/>
  <c r="J71" i="54"/>
  <c r="L71" i="54" s="1"/>
  <c r="G100" i="54" s="1"/>
  <c r="E100" i="54" s="1"/>
  <c r="J71" i="46"/>
  <c r="L71" i="46" s="1"/>
  <c r="G100" i="46" s="1"/>
  <c r="E100" i="46" s="1"/>
  <c r="AU46" i="40"/>
  <c r="AV46" i="40"/>
  <c r="AW46" i="40"/>
  <c r="AX46" i="40"/>
  <c r="AY46" i="40"/>
  <c r="AZ46" i="40"/>
  <c r="BA46" i="40"/>
  <c r="BB46" i="40"/>
  <c r="BC46" i="40"/>
  <c r="BD46" i="40"/>
  <c r="BE46" i="40"/>
  <c r="BF46" i="40"/>
  <c r="BG46" i="40"/>
  <c r="BH46" i="40"/>
  <c r="BI46" i="40"/>
  <c r="BJ46" i="40"/>
  <c r="BK46" i="40"/>
  <c r="BL46" i="40"/>
  <c r="BM46" i="40"/>
  <c r="BN46" i="40"/>
  <c r="BO46" i="40"/>
  <c r="BP46" i="40"/>
  <c r="BQ46" i="40"/>
  <c r="AQ75" i="24"/>
  <c r="AQ75" i="46"/>
  <c r="AQ75" i="55"/>
  <c r="AQ75" i="54"/>
  <c r="BR52" i="40"/>
  <c r="AT49" i="40"/>
  <c r="J73" i="24"/>
  <c r="J73" i="46"/>
  <c r="J73" i="54"/>
  <c r="J73" i="55"/>
  <c r="AU49" i="40"/>
  <c r="AV49" i="40"/>
  <c r="AW49" i="40"/>
  <c r="AX49" i="40"/>
  <c r="AY49" i="40"/>
  <c r="AZ49" i="40"/>
  <c r="BA49" i="40"/>
  <c r="BB49" i="40"/>
  <c r="BC49" i="40"/>
  <c r="BD49" i="40"/>
  <c r="BE49" i="40"/>
  <c r="BF49" i="40"/>
  <c r="BG49" i="40"/>
  <c r="BH49" i="40"/>
  <c r="BI49" i="40"/>
  <c r="BJ49" i="40"/>
  <c r="BK49" i="40"/>
  <c r="BL49" i="40"/>
  <c r="BM49" i="40"/>
  <c r="BN49" i="40"/>
  <c r="BO49" i="40"/>
  <c r="BP49" i="40"/>
  <c r="BQ49" i="40"/>
  <c r="BR49" i="40"/>
  <c r="AB23" i="1"/>
  <c r="F48" i="7"/>
  <c r="G48" i="7"/>
  <c r="BS29" i="40"/>
  <c r="BS19" i="40"/>
  <c r="BS30" i="40"/>
  <c r="BS28" i="40"/>
  <c r="BS24" i="40"/>
  <c r="BS27" i="40"/>
  <c r="BS26" i="40"/>
  <c r="BS23" i="40"/>
  <c r="BS42" i="40"/>
  <c r="BS43" i="40"/>
  <c r="BS41" i="40"/>
  <c r="BS44" i="40"/>
  <c r="BS50" i="40"/>
  <c r="BS51" i="40"/>
  <c r="BS49" i="40"/>
  <c r="BS46" i="40"/>
  <c r="BS52" i="40"/>
  <c r="BS47" i="40"/>
  <c r="BS54" i="40"/>
  <c r="BS11" i="40"/>
  <c r="BS12" i="40"/>
  <c r="BS31" i="40"/>
  <c r="BS14" i="40"/>
  <c r="BS32" i="40"/>
  <c r="BS13" i="40"/>
  <c r="BS22" i="40"/>
  <c r="BS20" i="40"/>
  <c r="BS21" i="40"/>
  <c r="BS53" i="40"/>
  <c r="BS25" i="40"/>
  <c r="BT10" i="40"/>
  <c r="BT48" i="40" s="1"/>
  <c r="AI53" i="40"/>
  <c r="AI52" i="40"/>
  <c r="AI50" i="40"/>
  <c r="AI49" i="40"/>
  <c r="AI47" i="40"/>
  <c r="AI46" i="40"/>
  <c r="AI45" i="40"/>
  <c r="AI29" i="40"/>
  <c r="AI28" i="40"/>
  <c r="AI27" i="40"/>
  <c r="AI26" i="40"/>
  <c r="AI25" i="40"/>
  <c r="AI19" i="40"/>
  <c r="AI11" i="40"/>
  <c r="AM11" i="40"/>
  <c r="AL11" i="40"/>
  <c r="S45" i="40"/>
  <c r="AM29" i="40"/>
  <c r="AL29" i="40"/>
  <c r="AM27" i="40"/>
  <c r="AL27" i="40"/>
  <c r="AM25" i="40"/>
  <c r="AL25" i="40"/>
  <c r="AK19" i="40"/>
  <c r="AJ19" i="40"/>
  <c r="A94" i="24"/>
  <c r="A93" i="24"/>
  <c r="A92" i="24"/>
  <c r="A91" i="24"/>
  <c r="A105" i="24"/>
  <c r="A74" i="24"/>
  <c r="G74" i="24" s="1"/>
  <c r="A73" i="24"/>
  <c r="G72" i="24"/>
  <c r="J101" i="24" s="1"/>
  <c r="A71" i="24"/>
  <c r="G71" i="24" s="1"/>
  <c r="A70" i="24"/>
  <c r="G70" i="24" s="1"/>
  <c r="C65" i="24"/>
  <c r="G65" i="24" s="1"/>
  <c r="C63" i="24"/>
  <c r="G63" i="24" s="1"/>
  <c r="D60" i="7"/>
  <c r="R102" i="40"/>
  <c r="R101" i="40"/>
  <c r="A2" i="40"/>
  <c r="E72" i="24" l="1"/>
  <c r="E72" i="55"/>
  <c r="AQ72" i="55" s="1"/>
  <c r="E72" i="54"/>
  <c r="AQ72" i="54" s="1"/>
  <c r="E72" i="46"/>
  <c r="AQ72" i="46" s="1"/>
  <c r="E73" i="24"/>
  <c r="G73" i="24"/>
  <c r="AR77" i="46"/>
  <c r="AR77" i="24"/>
  <c r="P106" i="24" s="1"/>
  <c r="L106" i="24" s="1"/>
  <c r="BT17" i="40"/>
  <c r="BT15" i="40"/>
  <c r="BT16" i="40"/>
  <c r="BT18" i="40"/>
  <c r="D64" i="7"/>
  <c r="D66" i="7"/>
  <c r="D65" i="7"/>
  <c r="D61" i="7"/>
  <c r="D58" i="7"/>
  <c r="D62" i="7"/>
  <c r="E62" i="7"/>
  <c r="F62" i="7"/>
  <c r="G62" i="7"/>
  <c r="AQ71" i="55"/>
  <c r="F63" i="7"/>
  <c r="G63" i="7"/>
  <c r="E63" i="7"/>
  <c r="D63" i="7"/>
  <c r="D72" i="7"/>
  <c r="D69" i="7"/>
  <c r="D73" i="7"/>
  <c r="E73" i="7"/>
  <c r="F73" i="7"/>
  <c r="G73" i="7"/>
  <c r="D83" i="7"/>
  <c r="D80" i="7"/>
  <c r="D84" i="7"/>
  <c r="E84" i="7"/>
  <c r="F84" i="7"/>
  <c r="G84" i="7"/>
  <c r="AQ71" i="54"/>
  <c r="AR67" i="46"/>
  <c r="AR67" i="54"/>
  <c r="AR67" i="55"/>
  <c r="AR67" i="24"/>
  <c r="AR66" i="24"/>
  <c r="AR66" i="55"/>
  <c r="AR66" i="46"/>
  <c r="AR66" i="54"/>
  <c r="AR69" i="55"/>
  <c r="AR69" i="46"/>
  <c r="AR69" i="54"/>
  <c r="AR69" i="24"/>
  <c r="AR68" i="54"/>
  <c r="AR68" i="46"/>
  <c r="AR68" i="24"/>
  <c r="AR68" i="55"/>
  <c r="E76" i="54"/>
  <c r="E76" i="46"/>
  <c r="E76" i="55"/>
  <c r="AR76" i="55" s="1"/>
  <c r="E76" i="24"/>
  <c r="AR76" i="24" s="1"/>
  <c r="AR77" i="54"/>
  <c r="E61" i="24"/>
  <c r="E63" i="24" s="1"/>
  <c r="E61" i="54"/>
  <c r="E61" i="55"/>
  <c r="E61" i="46"/>
  <c r="AR77" i="55"/>
  <c r="BT36" i="40"/>
  <c r="BT35" i="40"/>
  <c r="BT34" i="40"/>
  <c r="BT33" i="40"/>
  <c r="BT55" i="40"/>
  <c r="BT39" i="40"/>
  <c r="BT38" i="40"/>
  <c r="BT37" i="40"/>
  <c r="BT40" i="40"/>
  <c r="BS45" i="40"/>
  <c r="AR70" i="46" s="1"/>
  <c r="G80" i="7"/>
  <c r="F80" i="7"/>
  <c r="E80" i="7"/>
  <c r="E73" i="55"/>
  <c r="AF73" i="55" s="1"/>
  <c r="E73" i="54"/>
  <c r="AM73" i="54" s="1"/>
  <c r="E73" i="46"/>
  <c r="AN73" i="46" s="1"/>
  <c r="E81" i="7"/>
  <c r="E59" i="7"/>
  <c r="G58" i="7"/>
  <c r="G61" i="7"/>
  <c r="F58" i="7"/>
  <c r="F61" i="7"/>
  <c r="E58" i="7"/>
  <c r="E61" i="7"/>
  <c r="E70" i="7"/>
  <c r="G83" i="7"/>
  <c r="F83" i="7"/>
  <c r="E83" i="7"/>
  <c r="G72" i="7"/>
  <c r="G69" i="7"/>
  <c r="F72" i="7"/>
  <c r="F69" i="7"/>
  <c r="E72" i="7"/>
  <c r="E69" i="7"/>
  <c r="BO88" i="46"/>
  <c r="BN89" i="46"/>
  <c r="BO88" i="54"/>
  <c r="BN89" i="54"/>
  <c r="BO88" i="55"/>
  <c r="BN89" i="55"/>
  <c r="AR74" i="55"/>
  <c r="AR74" i="46"/>
  <c r="AR74" i="54"/>
  <c r="AP71" i="54"/>
  <c r="AP71" i="55"/>
  <c r="AP71" i="46"/>
  <c r="AL71" i="46"/>
  <c r="AL71" i="55"/>
  <c r="AL71" i="54"/>
  <c r="AD71" i="54"/>
  <c r="AD71" i="55"/>
  <c r="AD71" i="46"/>
  <c r="V71" i="54"/>
  <c r="V71" i="46"/>
  <c r="V71" i="55"/>
  <c r="S71" i="55"/>
  <c r="S71" i="54"/>
  <c r="S71" i="46"/>
  <c r="AP74" i="46"/>
  <c r="AP74" i="55"/>
  <c r="AP74" i="54"/>
  <c r="AL74" i="54"/>
  <c r="AL74" i="46"/>
  <c r="AL74" i="55"/>
  <c r="AH74" i="54"/>
  <c r="AH74" i="55"/>
  <c r="AH74" i="46"/>
  <c r="AD74" i="54"/>
  <c r="AD74" i="46"/>
  <c r="AD74" i="55"/>
  <c r="Z74" i="46"/>
  <c r="Z74" i="54"/>
  <c r="Z74" i="55"/>
  <c r="V74" i="55"/>
  <c r="V74" i="54"/>
  <c r="V74" i="46"/>
  <c r="S74" i="46"/>
  <c r="S74" i="55"/>
  <c r="S74" i="54"/>
  <c r="AO71" i="55"/>
  <c r="AO71" i="46"/>
  <c r="AO71" i="54"/>
  <c r="AG71" i="46"/>
  <c r="AG71" i="54"/>
  <c r="AG71" i="55"/>
  <c r="AC71" i="46"/>
  <c r="AC71" i="55"/>
  <c r="AC71" i="54"/>
  <c r="Y71" i="55"/>
  <c r="Y71" i="46"/>
  <c r="Y71" i="54"/>
  <c r="AQ74" i="55"/>
  <c r="AQ74" i="46"/>
  <c r="AQ74" i="54"/>
  <c r="AO74" i="55"/>
  <c r="AO74" i="54"/>
  <c r="AO74" i="46"/>
  <c r="AK74" i="46"/>
  <c r="AK74" i="54"/>
  <c r="AK74" i="55"/>
  <c r="AG74" i="55"/>
  <c r="AG74" i="46"/>
  <c r="AG74" i="54"/>
  <c r="AC74" i="46"/>
  <c r="AC74" i="55"/>
  <c r="AC74" i="54"/>
  <c r="Y74" i="55"/>
  <c r="Y74" i="54"/>
  <c r="Y74" i="46"/>
  <c r="U74" i="55"/>
  <c r="U74" i="46"/>
  <c r="U74" i="54"/>
  <c r="F66" i="7"/>
  <c r="G66" i="7"/>
  <c r="F65" i="7"/>
  <c r="G65" i="7"/>
  <c r="F64" i="7"/>
  <c r="G64" i="7"/>
  <c r="E64" i="7"/>
  <c r="E66" i="7"/>
  <c r="E65" i="7"/>
  <c r="AT45" i="40"/>
  <c r="S70" i="24" s="1"/>
  <c r="J70" i="24"/>
  <c r="J70" i="54"/>
  <c r="L70" i="54" s="1"/>
  <c r="G99" i="54" s="1"/>
  <c r="E99" i="54" s="1"/>
  <c r="J70" i="55"/>
  <c r="L70" i="55" s="1"/>
  <c r="G99" i="55" s="1"/>
  <c r="E99" i="55" s="1"/>
  <c r="J70" i="46"/>
  <c r="L70" i="46" s="1"/>
  <c r="G99" i="46" s="1"/>
  <c r="E99" i="46" s="1"/>
  <c r="AU45" i="40"/>
  <c r="T70" i="24" s="1"/>
  <c r="AV45" i="40"/>
  <c r="AW45" i="40"/>
  <c r="V70" i="24" s="1"/>
  <c r="AX45" i="40"/>
  <c r="W70" i="24" s="1"/>
  <c r="AY45" i="40"/>
  <c r="AZ45" i="40"/>
  <c r="Y70" i="24" s="1"/>
  <c r="BA45" i="40"/>
  <c r="Z70" i="24" s="1"/>
  <c r="BB45" i="40"/>
  <c r="AA70" i="24" s="1"/>
  <c r="BC45" i="40"/>
  <c r="BD45" i="40"/>
  <c r="BE45" i="40"/>
  <c r="AD70" i="24" s="1"/>
  <c r="BF45" i="40"/>
  <c r="AE70" i="24" s="1"/>
  <c r="BG45" i="40"/>
  <c r="AF70" i="24" s="1"/>
  <c r="BH45" i="40"/>
  <c r="BI45" i="40"/>
  <c r="AH70" i="24" s="1"/>
  <c r="BJ45" i="40"/>
  <c r="AI70" i="24" s="1"/>
  <c r="BK45" i="40"/>
  <c r="AJ70" i="24" s="1"/>
  <c r="BL45" i="40"/>
  <c r="BM45" i="40"/>
  <c r="AL70" i="24" s="1"/>
  <c r="BN45" i="40"/>
  <c r="AM70" i="24" s="1"/>
  <c r="BO45" i="40"/>
  <c r="AN70" i="24" s="1"/>
  <c r="BP45" i="40"/>
  <c r="BQ45" i="40"/>
  <c r="AP70" i="24" s="1"/>
  <c r="BR45" i="40"/>
  <c r="AQ70" i="24" s="1"/>
  <c r="AN71" i="46"/>
  <c r="AN71" i="55"/>
  <c r="AN71" i="54"/>
  <c r="AJ71" i="54"/>
  <c r="AJ71" i="46"/>
  <c r="AJ71" i="55"/>
  <c r="AF71" i="54"/>
  <c r="AF71" i="46"/>
  <c r="AF71" i="55"/>
  <c r="AB71" i="54"/>
  <c r="AB71" i="46"/>
  <c r="AB71" i="55"/>
  <c r="X71" i="55"/>
  <c r="X71" i="46"/>
  <c r="X71" i="54"/>
  <c r="T71" i="54"/>
  <c r="T71" i="46"/>
  <c r="T71" i="55"/>
  <c r="AN74" i="54"/>
  <c r="AN74" i="55"/>
  <c r="AN74" i="46"/>
  <c r="AJ74" i="55"/>
  <c r="AJ74" i="46"/>
  <c r="AJ74" i="54"/>
  <c r="AF74" i="55"/>
  <c r="AF74" i="54"/>
  <c r="AF74" i="46"/>
  <c r="AB74" i="54"/>
  <c r="AB74" i="46"/>
  <c r="AB74" i="55"/>
  <c r="X74" i="54"/>
  <c r="X74" i="46"/>
  <c r="X74" i="55"/>
  <c r="T74" i="54"/>
  <c r="T74" i="46"/>
  <c r="T74" i="55"/>
  <c r="AH71" i="46"/>
  <c r="AH71" i="54"/>
  <c r="AH71" i="55"/>
  <c r="Z71" i="46"/>
  <c r="Z71" i="55"/>
  <c r="Z71" i="54"/>
  <c r="AR71" i="55"/>
  <c r="AR71" i="54"/>
  <c r="AR71" i="46"/>
  <c r="AK71" i="46"/>
  <c r="AK71" i="55"/>
  <c r="AK71" i="54"/>
  <c r="U71" i="55"/>
  <c r="U71" i="54"/>
  <c r="U71" i="46"/>
  <c r="F60" i="7"/>
  <c r="G60" i="7"/>
  <c r="E60" i="7"/>
  <c r="AR75" i="24"/>
  <c r="AR75" i="46"/>
  <c r="AR75" i="55"/>
  <c r="AR75" i="54"/>
  <c r="AM71" i="46"/>
  <c r="AM71" i="55"/>
  <c r="AM71" i="54"/>
  <c r="AI71" i="55"/>
  <c r="AI71" i="54"/>
  <c r="AI71" i="46"/>
  <c r="AE71" i="54"/>
  <c r="AE71" i="55"/>
  <c r="AE71" i="46"/>
  <c r="AA71" i="46"/>
  <c r="AA71" i="54"/>
  <c r="AA71" i="55"/>
  <c r="W71" i="46"/>
  <c r="W71" i="55"/>
  <c r="W71" i="54"/>
  <c r="AM74" i="55"/>
  <c r="AM74" i="54"/>
  <c r="AM74" i="46"/>
  <c r="AI74" i="54"/>
  <c r="AI74" i="46"/>
  <c r="AI74" i="55"/>
  <c r="AE74" i="55"/>
  <c r="AE74" i="54"/>
  <c r="AE74" i="46"/>
  <c r="AA74" i="54"/>
  <c r="AA74" i="55"/>
  <c r="AA74" i="46"/>
  <c r="W74" i="46"/>
  <c r="W74" i="55"/>
  <c r="W74" i="54"/>
  <c r="AQ71" i="24"/>
  <c r="AM71" i="24"/>
  <c r="AI71" i="24"/>
  <c r="AE71" i="24"/>
  <c r="AA71" i="24"/>
  <c r="W71" i="24"/>
  <c r="AP71" i="24"/>
  <c r="AK71" i="24"/>
  <c r="AF71" i="24"/>
  <c r="Z71" i="24"/>
  <c r="U71" i="24"/>
  <c r="AO71" i="24"/>
  <c r="AJ71" i="24"/>
  <c r="AD71" i="24"/>
  <c r="Y71" i="24"/>
  <c r="T71" i="24"/>
  <c r="AN71" i="24"/>
  <c r="AH71" i="24"/>
  <c r="AC71" i="24"/>
  <c r="X71" i="24"/>
  <c r="AG71" i="24"/>
  <c r="AR71" i="24"/>
  <c r="AB71" i="24"/>
  <c r="V71" i="24"/>
  <c r="AL71" i="24"/>
  <c r="AO74" i="24"/>
  <c r="AK74" i="24"/>
  <c r="AG74" i="24"/>
  <c r="AC74" i="24"/>
  <c r="Y74" i="24"/>
  <c r="U74" i="24"/>
  <c r="AR74" i="24"/>
  <c r="AN74" i="24"/>
  <c r="AJ74" i="24"/>
  <c r="AF74" i="24"/>
  <c r="AB74" i="24"/>
  <c r="X74" i="24"/>
  <c r="T74" i="24"/>
  <c r="AQ74" i="24"/>
  <c r="AM74" i="24"/>
  <c r="AI74" i="24"/>
  <c r="AE74" i="24"/>
  <c r="AA74" i="24"/>
  <c r="W74" i="24"/>
  <c r="AH74" i="24"/>
  <c r="AD74" i="24"/>
  <c r="AP74" i="24"/>
  <c r="Z74" i="24"/>
  <c r="AL74" i="24"/>
  <c r="V74" i="24"/>
  <c r="S71" i="24"/>
  <c r="J100" i="24"/>
  <c r="S74" i="24"/>
  <c r="J103" i="24"/>
  <c r="J92" i="24"/>
  <c r="J94" i="24"/>
  <c r="J99" i="24"/>
  <c r="BT24" i="40"/>
  <c r="BT30" i="40"/>
  <c r="BT29" i="40"/>
  <c r="BT28" i="40"/>
  <c r="BT27" i="40"/>
  <c r="BT19" i="40"/>
  <c r="BT26" i="40"/>
  <c r="BT23" i="40"/>
  <c r="BT41" i="40"/>
  <c r="BT44" i="40"/>
  <c r="BT50" i="40"/>
  <c r="BT42" i="40"/>
  <c r="BT43" i="40"/>
  <c r="BT52" i="40"/>
  <c r="BT51" i="40"/>
  <c r="BT49" i="40"/>
  <c r="BT46" i="40"/>
  <c r="BT45" i="40"/>
  <c r="BT47" i="40"/>
  <c r="BT54" i="40"/>
  <c r="BT11" i="40"/>
  <c r="BT14" i="40"/>
  <c r="BT12" i="40"/>
  <c r="BT13" i="40"/>
  <c r="BT32" i="40"/>
  <c r="BT31" i="40"/>
  <c r="BT21" i="40"/>
  <c r="BT22" i="40"/>
  <c r="BT20" i="40"/>
  <c r="BT53" i="40"/>
  <c r="BT25" i="40"/>
  <c r="BU10" i="40"/>
  <c r="BU48" i="40" s="1"/>
  <c r="A99" i="24"/>
  <c r="A100" i="24"/>
  <c r="A101" i="24"/>
  <c r="A102" i="24"/>
  <c r="AL19" i="40"/>
  <c r="J64" i="55" s="1"/>
  <c r="AM19" i="40"/>
  <c r="J65" i="46" s="1"/>
  <c r="AK11" i="40"/>
  <c r="AJ25" i="40"/>
  <c r="AJ29" i="40"/>
  <c r="AK25" i="40"/>
  <c r="AK29" i="40"/>
  <c r="AJ11" i="40"/>
  <c r="A103" i="24"/>
  <c r="AK27" i="40"/>
  <c r="AJ27" i="40"/>
  <c r="C44" i="23"/>
  <c r="J62" i="24" l="1"/>
  <c r="AS77" i="54"/>
  <c r="AS77" i="24"/>
  <c r="BU16" i="40"/>
  <c r="BU17" i="40"/>
  <c r="BU15" i="40"/>
  <c r="BU18" i="40"/>
  <c r="J64" i="46"/>
  <c r="J64" i="24"/>
  <c r="J65" i="55"/>
  <c r="J65" i="24"/>
  <c r="J64" i="54"/>
  <c r="J65" i="54"/>
  <c r="AS68" i="55"/>
  <c r="AS68" i="24"/>
  <c r="AS68" i="54"/>
  <c r="AS68" i="46"/>
  <c r="AS66" i="24"/>
  <c r="AS66" i="55"/>
  <c r="AS66" i="54"/>
  <c r="AS66" i="46"/>
  <c r="AS69" i="55"/>
  <c r="AS69" i="54"/>
  <c r="AS69" i="46"/>
  <c r="AS69" i="24"/>
  <c r="AS67" i="46"/>
  <c r="AS67" i="54"/>
  <c r="AS67" i="55"/>
  <c r="AS67" i="24"/>
  <c r="AS77" i="46"/>
  <c r="E65" i="46"/>
  <c r="L65" i="46" s="1"/>
  <c r="G94" i="46" s="1"/>
  <c r="E94" i="46" s="1"/>
  <c r="E64" i="46"/>
  <c r="AS64" i="46" s="1"/>
  <c r="E65" i="54"/>
  <c r="AS65" i="54" s="1"/>
  <c r="E64" i="54"/>
  <c r="AS77" i="55"/>
  <c r="BU33" i="40"/>
  <c r="BU34" i="40"/>
  <c r="BU35" i="40"/>
  <c r="BU36" i="40"/>
  <c r="AR70" i="24"/>
  <c r="BU55" i="40"/>
  <c r="BU39" i="40"/>
  <c r="BU37" i="40"/>
  <c r="BU38" i="40"/>
  <c r="BU40" i="40"/>
  <c r="AR70" i="55"/>
  <c r="AR70" i="54"/>
  <c r="E65" i="55"/>
  <c r="AS65" i="55" s="1"/>
  <c r="E64" i="55"/>
  <c r="AS64" i="55" s="1"/>
  <c r="E63" i="55"/>
  <c r="U63" i="55" s="1"/>
  <c r="E62" i="55"/>
  <c r="V62" i="55" s="1"/>
  <c r="E63" i="54"/>
  <c r="U63" i="54" s="1"/>
  <c r="E62" i="54"/>
  <c r="AR62" i="54" s="1"/>
  <c r="E65" i="24"/>
  <c r="E64" i="24"/>
  <c r="E63" i="46"/>
  <c r="U63" i="46" s="1"/>
  <c r="E62" i="46"/>
  <c r="AR62" i="46" s="1"/>
  <c r="E62" i="24"/>
  <c r="AC73" i="55"/>
  <c r="BP88" i="54"/>
  <c r="BO89" i="54"/>
  <c r="BP88" i="55"/>
  <c r="BO89" i="55"/>
  <c r="BP88" i="46"/>
  <c r="BO89" i="46"/>
  <c r="AS64" i="54"/>
  <c r="AG72" i="55"/>
  <c r="AC72" i="46"/>
  <c r="AO72" i="46"/>
  <c r="AG72" i="46"/>
  <c r="AG73" i="55"/>
  <c r="AI73" i="55"/>
  <c r="AN72" i="46"/>
  <c r="U72" i="46"/>
  <c r="AO73" i="55"/>
  <c r="AL72" i="46"/>
  <c r="W72" i="46"/>
  <c r="Y72" i="46"/>
  <c r="AK72" i="46"/>
  <c r="V73" i="54"/>
  <c r="Y72" i="55"/>
  <c r="L72" i="55"/>
  <c r="G101" i="55" s="1"/>
  <c r="E101" i="55" s="1"/>
  <c r="AO72" i="55"/>
  <c r="AK73" i="55"/>
  <c r="T73" i="55"/>
  <c r="AR73" i="54"/>
  <c r="Y73" i="55"/>
  <c r="AO73" i="54"/>
  <c r="L73" i="55"/>
  <c r="G102" i="55" s="1"/>
  <c r="E102" i="55" s="1"/>
  <c r="AB73" i="54"/>
  <c r="AH73" i="54"/>
  <c r="AN73" i="54"/>
  <c r="AC72" i="54"/>
  <c r="Y73" i="54"/>
  <c r="AG73" i="54"/>
  <c r="AA73" i="54"/>
  <c r="V72" i="55"/>
  <c r="S73" i="55"/>
  <c r="AL73" i="54"/>
  <c r="U73" i="54"/>
  <c r="AC73" i="54"/>
  <c r="AK73" i="54"/>
  <c r="AI73" i="54"/>
  <c r="AJ73" i="54"/>
  <c r="AD73" i="55"/>
  <c r="AR72" i="46"/>
  <c r="AA72" i="46"/>
  <c r="AE73" i="46"/>
  <c r="AO72" i="54"/>
  <c r="U73" i="46"/>
  <c r="AK73" i="46"/>
  <c r="AO73" i="46"/>
  <c r="G79" i="7"/>
  <c r="G101" i="7" s="1"/>
  <c r="AA73" i="55"/>
  <c r="AJ72" i="55"/>
  <c r="AB73" i="55"/>
  <c r="AP72" i="55"/>
  <c r="V73" i="46"/>
  <c r="AH73" i="55"/>
  <c r="AP73" i="54"/>
  <c r="AR72" i="55"/>
  <c r="AE72" i="46"/>
  <c r="AF72" i="46"/>
  <c r="AQ73" i="55"/>
  <c r="W73" i="46"/>
  <c r="X73" i="55"/>
  <c r="U73" i="55"/>
  <c r="AI73" i="46"/>
  <c r="AJ73" i="55"/>
  <c r="Z72" i="46"/>
  <c r="Z73" i="46"/>
  <c r="AL73" i="46"/>
  <c r="AR73" i="55"/>
  <c r="AA72" i="55"/>
  <c r="W73" i="54"/>
  <c r="AF73" i="54"/>
  <c r="AS70" i="24"/>
  <c r="AS70" i="46"/>
  <c r="AS70" i="54"/>
  <c r="AS70" i="55"/>
  <c r="AS74" i="24"/>
  <c r="AS74" i="54"/>
  <c r="AS74" i="46"/>
  <c r="AS74" i="55"/>
  <c r="AI76" i="46"/>
  <c r="AL76" i="46"/>
  <c r="AN76" i="46"/>
  <c r="AK76" i="46"/>
  <c r="AA76" i="46"/>
  <c r="AC76" i="46"/>
  <c r="AD76" i="46"/>
  <c r="AH76" i="46"/>
  <c r="U76" i="46"/>
  <c r="V76" i="46"/>
  <c r="AO76" i="46"/>
  <c r="AJ76" i="46"/>
  <c r="X76" i="46"/>
  <c r="AB76" i="46"/>
  <c r="L76" i="46"/>
  <c r="G105" i="46" s="1"/>
  <c r="E105" i="46" s="1"/>
  <c r="S76" i="46"/>
  <c r="T76" i="46"/>
  <c r="AG76" i="46"/>
  <c r="Y76" i="46"/>
  <c r="W76" i="46"/>
  <c r="AM76" i="46"/>
  <c r="AP76" i="46"/>
  <c r="AF76" i="46"/>
  <c r="Z76" i="46"/>
  <c r="AE76" i="46"/>
  <c r="AQ76" i="46"/>
  <c r="T72" i="54"/>
  <c r="G57" i="7"/>
  <c r="G91" i="7" s="1"/>
  <c r="S72" i="54"/>
  <c r="AL72" i="54"/>
  <c r="AK70" i="55"/>
  <c r="AK70" i="54"/>
  <c r="AK70" i="46"/>
  <c r="AC70" i="46"/>
  <c r="AC70" i="55"/>
  <c r="AC70" i="54"/>
  <c r="U70" i="46"/>
  <c r="U70" i="54"/>
  <c r="U70" i="55"/>
  <c r="W72" i="54"/>
  <c r="AM72" i="54"/>
  <c r="AF72" i="54"/>
  <c r="AS71" i="24"/>
  <c r="AS71" i="46"/>
  <c r="AS71" i="54"/>
  <c r="AS71" i="55"/>
  <c r="U72" i="54"/>
  <c r="AK72" i="54"/>
  <c r="AH76" i="55"/>
  <c r="L76" i="55"/>
  <c r="G105" i="55" s="1"/>
  <c r="E105" i="55" s="1"/>
  <c r="AB76" i="55"/>
  <c r="AI76" i="55"/>
  <c r="U76" i="55"/>
  <c r="S76" i="55"/>
  <c r="V76" i="55"/>
  <c r="AJ76" i="55"/>
  <c r="AN76" i="55"/>
  <c r="AG76" i="55"/>
  <c r="AM76" i="55"/>
  <c r="AP76" i="55"/>
  <c r="AC76" i="55"/>
  <c r="AD76" i="55"/>
  <c r="AF76" i="55"/>
  <c r="AE76" i="55"/>
  <c r="AA76" i="55"/>
  <c r="AO76" i="55"/>
  <c r="X76" i="55"/>
  <c r="Z76" i="55"/>
  <c r="AK76" i="55"/>
  <c r="AL76" i="55"/>
  <c r="Y76" i="55"/>
  <c r="T76" i="55"/>
  <c r="W76" i="55"/>
  <c r="AQ76" i="55"/>
  <c r="AB72" i="54"/>
  <c r="T73" i="46"/>
  <c r="AB73" i="46"/>
  <c r="AJ73" i="46"/>
  <c r="S72" i="55"/>
  <c r="AD72" i="54"/>
  <c r="AN70" i="46"/>
  <c r="AN70" i="55"/>
  <c r="AN70" i="54"/>
  <c r="AF70" i="46"/>
  <c r="AF70" i="54"/>
  <c r="AF70" i="55"/>
  <c r="X70" i="46"/>
  <c r="X70" i="54"/>
  <c r="X70" i="55"/>
  <c r="AI72" i="54"/>
  <c r="AM72" i="55"/>
  <c r="AM73" i="46"/>
  <c r="AS73" i="54"/>
  <c r="AS73" i="46"/>
  <c r="AS73" i="55"/>
  <c r="X70" i="24"/>
  <c r="AK70" i="24"/>
  <c r="U72" i="55"/>
  <c r="Y72" i="54"/>
  <c r="AK72" i="55"/>
  <c r="L73" i="46"/>
  <c r="G102" i="46" s="1"/>
  <c r="E102" i="46" s="1"/>
  <c r="AG73" i="46"/>
  <c r="L76" i="54"/>
  <c r="G105" i="54" s="1"/>
  <c r="E105" i="54" s="1"/>
  <c r="X76" i="54"/>
  <c r="AB76" i="54"/>
  <c r="AF76" i="54"/>
  <c r="AH76" i="54"/>
  <c r="AG76" i="54"/>
  <c r="AI76" i="54"/>
  <c r="AA76" i="54"/>
  <c r="S76" i="54"/>
  <c r="AN76" i="54"/>
  <c r="AK76" i="54"/>
  <c r="Z76" i="54"/>
  <c r="U76" i="54"/>
  <c r="Y76" i="54"/>
  <c r="V76" i="54"/>
  <c r="W76" i="54"/>
  <c r="AJ76" i="54"/>
  <c r="AM76" i="54"/>
  <c r="AP76" i="54"/>
  <c r="AC76" i="54"/>
  <c r="AD76" i="54"/>
  <c r="AL76" i="54"/>
  <c r="AE76" i="54"/>
  <c r="T76" i="54"/>
  <c r="AO76" i="54"/>
  <c r="AQ76" i="54"/>
  <c r="AA73" i="46"/>
  <c r="T72" i="46"/>
  <c r="AB72" i="55"/>
  <c r="AJ72" i="46"/>
  <c r="F57" i="7"/>
  <c r="F91" i="7" s="1"/>
  <c r="L72" i="46"/>
  <c r="G101" i="46" s="1"/>
  <c r="E101" i="46" s="1"/>
  <c r="Z72" i="54"/>
  <c r="AD72" i="55"/>
  <c r="AH72" i="46"/>
  <c r="AP72" i="46"/>
  <c r="L73" i="54"/>
  <c r="G102" i="54" s="1"/>
  <c r="E102" i="54" s="1"/>
  <c r="Z73" i="55"/>
  <c r="AD73" i="54"/>
  <c r="AH73" i="46"/>
  <c r="AP73" i="55"/>
  <c r="AQ73" i="54"/>
  <c r="AR73" i="46"/>
  <c r="AR76" i="54"/>
  <c r="AQ70" i="46"/>
  <c r="AQ70" i="55"/>
  <c r="AQ70" i="54"/>
  <c r="AM70" i="46"/>
  <c r="AM70" i="55"/>
  <c r="AM70" i="54"/>
  <c r="AI70" i="46"/>
  <c r="AI70" i="54"/>
  <c r="AI70" i="55"/>
  <c r="AE70" i="46"/>
  <c r="AE70" i="55"/>
  <c r="AE70" i="54"/>
  <c r="AA70" i="46"/>
  <c r="AA70" i="55"/>
  <c r="AA70" i="54"/>
  <c r="W70" i="46"/>
  <c r="W70" i="54"/>
  <c r="W70" i="55"/>
  <c r="G68" i="7"/>
  <c r="G97" i="7" s="1"/>
  <c r="W72" i="55"/>
  <c r="AE72" i="55"/>
  <c r="AI72" i="46"/>
  <c r="AM72" i="46"/>
  <c r="AE73" i="55"/>
  <c r="AM73" i="55"/>
  <c r="X72" i="46"/>
  <c r="AN72" i="54"/>
  <c r="X73" i="54"/>
  <c r="AN73" i="55"/>
  <c r="J63" i="24"/>
  <c r="J63" i="54"/>
  <c r="J63" i="46"/>
  <c r="J63" i="55"/>
  <c r="AS76" i="24"/>
  <c r="AS76" i="55"/>
  <c r="AS76" i="54"/>
  <c r="AS76" i="46"/>
  <c r="AS75" i="24"/>
  <c r="AS75" i="46"/>
  <c r="AS75" i="55"/>
  <c r="AS75" i="54"/>
  <c r="AH72" i="54"/>
  <c r="AO70" i="55"/>
  <c r="AO70" i="46"/>
  <c r="AO70" i="54"/>
  <c r="AG70" i="46"/>
  <c r="AG70" i="55"/>
  <c r="AG70" i="54"/>
  <c r="Y70" i="46"/>
  <c r="Y70" i="55"/>
  <c r="Y70" i="54"/>
  <c r="X72" i="54"/>
  <c r="J62" i="46"/>
  <c r="J62" i="54"/>
  <c r="J62" i="55"/>
  <c r="AC70" i="24"/>
  <c r="AG70" i="24"/>
  <c r="AJ72" i="54"/>
  <c r="V72" i="54"/>
  <c r="AH72" i="55"/>
  <c r="S73" i="46"/>
  <c r="AJ70" i="46"/>
  <c r="AJ70" i="54"/>
  <c r="AJ70" i="55"/>
  <c r="AB70" i="46"/>
  <c r="AB70" i="55"/>
  <c r="AB70" i="54"/>
  <c r="T70" i="46"/>
  <c r="T70" i="55"/>
  <c r="T70" i="54"/>
  <c r="X72" i="55"/>
  <c r="X73" i="46"/>
  <c r="AF73" i="46"/>
  <c r="AS72" i="46"/>
  <c r="AS72" i="54"/>
  <c r="AS72" i="55"/>
  <c r="AB70" i="24"/>
  <c r="U70" i="24"/>
  <c r="AO70" i="24"/>
  <c r="AC72" i="55"/>
  <c r="AG72" i="54"/>
  <c r="Y73" i="46"/>
  <c r="AC73" i="46"/>
  <c r="AO76" i="24"/>
  <c r="AJ76" i="24"/>
  <c r="AM76" i="24"/>
  <c r="AN76" i="24"/>
  <c r="AP76" i="24"/>
  <c r="AC76" i="24"/>
  <c r="AK76" i="24"/>
  <c r="AD76" i="24"/>
  <c r="AF76" i="24"/>
  <c r="Z76" i="24"/>
  <c r="U76" i="24"/>
  <c r="AE76" i="24"/>
  <c r="AA76" i="24"/>
  <c r="Y76" i="24"/>
  <c r="S76" i="24"/>
  <c r="T76" i="24"/>
  <c r="V76" i="24"/>
  <c r="W76" i="24"/>
  <c r="AG76" i="24"/>
  <c r="X76" i="24"/>
  <c r="AI76" i="24"/>
  <c r="AL76" i="24"/>
  <c r="AH76" i="24"/>
  <c r="AB76" i="24"/>
  <c r="AQ76" i="24"/>
  <c r="F79" i="7"/>
  <c r="F101" i="7" s="1"/>
  <c r="T72" i="55"/>
  <c r="AB72" i="46"/>
  <c r="T73" i="54"/>
  <c r="S72" i="46"/>
  <c r="V72" i="46"/>
  <c r="Z72" i="55"/>
  <c r="AD72" i="46"/>
  <c r="AL72" i="55"/>
  <c r="AP72" i="54"/>
  <c r="S73" i="54"/>
  <c r="V73" i="55"/>
  <c r="Z73" i="54"/>
  <c r="AD73" i="46"/>
  <c r="AL73" i="55"/>
  <c r="AP73" i="46"/>
  <c r="AQ73" i="46"/>
  <c r="AR72" i="54"/>
  <c r="AR76" i="46"/>
  <c r="AP70" i="46"/>
  <c r="AP70" i="55"/>
  <c r="AP70" i="54"/>
  <c r="AL70" i="46"/>
  <c r="AL70" i="55"/>
  <c r="AL70" i="54"/>
  <c r="AH70" i="46"/>
  <c r="AH70" i="54"/>
  <c r="AH70" i="55"/>
  <c r="AD70" i="46"/>
  <c r="AD70" i="55"/>
  <c r="AD70" i="54"/>
  <c r="Z70" i="46"/>
  <c r="Z70" i="54"/>
  <c r="Z70" i="55"/>
  <c r="V70" i="46"/>
  <c r="V70" i="54"/>
  <c r="V70" i="55"/>
  <c r="S70" i="46"/>
  <c r="S70" i="55"/>
  <c r="S70" i="54"/>
  <c r="F68" i="7"/>
  <c r="F97" i="7" s="1"/>
  <c r="L72" i="54"/>
  <c r="G101" i="54" s="1"/>
  <c r="E101" i="54" s="1"/>
  <c r="AA72" i="54"/>
  <c r="AE72" i="54"/>
  <c r="AI72" i="55"/>
  <c r="W73" i="55"/>
  <c r="AE73" i="54"/>
  <c r="AF72" i="55"/>
  <c r="AN72" i="55"/>
  <c r="AQ73" i="24"/>
  <c r="AM73" i="24"/>
  <c r="AI73" i="24"/>
  <c r="AE73" i="24"/>
  <c r="AA73" i="24"/>
  <c r="W73" i="24"/>
  <c r="AP73" i="24"/>
  <c r="AL73" i="24"/>
  <c r="AH73" i="24"/>
  <c r="AD73" i="24"/>
  <c r="Z73" i="24"/>
  <c r="V73" i="24"/>
  <c r="AS73" i="24"/>
  <c r="AO73" i="24"/>
  <c r="AK73" i="24"/>
  <c r="AG73" i="24"/>
  <c r="AC73" i="24"/>
  <c r="Y73" i="24"/>
  <c r="U73" i="24"/>
  <c r="AJ73" i="24"/>
  <c r="T73" i="24"/>
  <c r="AF73" i="24"/>
  <c r="AR73" i="24"/>
  <c r="AB73" i="24"/>
  <c r="X73" i="24"/>
  <c r="AN73" i="24"/>
  <c r="AS72" i="24"/>
  <c r="AO72" i="24"/>
  <c r="AK72" i="24"/>
  <c r="AG72" i="24"/>
  <c r="AC72" i="24"/>
  <c r="Y72" i="24"/>
  <c r="U72" i="24"/>
  <c r="AR72" i="24"/>
  <c r="AN72" i="24"/>
  <c r="AJ72" i="24"/>
  <c r="AF72" i="24"/>
  <c r="AB72" i="24"/>
  <c r="X72" i="24"/>
  <c r="T72" i="24"/>
  <c r="AQ72" i="24"/>
  <c r="AM72" i="24"/>
  <c r="AI72" i="24"/>
  <c r="AE72" i="24"/>
  <c r="AA72" i="24"/>
  <c r="W72" i="24"/>
  <c r="AL72" i="24"/>
  <c r="V72" i="24"/>
  <c r="AH72" i="24"/>
  <c r="AD72" i="24"/>
  <c r="AP72" i="24"/>
  <c r="Z72" i="24"/>
  <c r="S72" i="24"/>
  <c r="S73" i="24"/>
  <c r="J102" i="24"/>
  <c r="BU29" i="40"/>
  <c r="BU23" i="40"/>
  <c r="BU19" i="40"/>
  <c r="BU27" i="40"/>
  <c r="BU30" i="40"/>
  <c r="BU28" i="40"/>
  <c r="BU24" i="40"/>
  <c r="BU26" i="40"/>
  <c r="BU51" i="40"/>
  <c r="BU44" i="40"/>
  <c r="BU52" i="40"/>
  <c r="BU47" i="40"/>
  <c r="BU41" i="40"/>
  <c r="BU43" i="40"/>
  <c r="BU49" i="40"/>
  <c r="BU50" i="40"/>
  <c r="BU46" i="40"/>
  <c r="BU45" i="40"/>
  <c r="BU42" i="40"/>
  <c r="BU54" i="40"/>
  <c r="BU11" i="40"/>
  <c r="BU13" i="40"/>
  <c r="BU31" i="40"/>
  <c r="BU32" i="40"/>
  <c r="BU14" i="40"/>
  <c r="BU12" i="40"/>
  <c r="BU21" i="40"/>
  <c r="BU22" i="40"/>
  <c r="BU20" i="40"/>
  <c r="BU53" i="40"/>
  <c r="BU25" i="40"/>
  <c r="S89" i="24"/>
  <c r="P88" i="24"/>
  <c r="BV10" i="40"/>
  <c r="BV48" i="40" s="1"/>
  <c r="AR62" i="55" l="1"/>
  <c r="AT77" i="46"/>
  <c r="AT77" i="24"/>
  <c r="BV16" i="40"/>
  <c r="BV15" i="40"/>
  <c r="BV17" i="40"/>
  <c r="BV18" i="40"/>
  <c r="L64" i="46"/>
  <c r="G93" i="46" s="1"/>
  <c r="E93" i="46" s="1"/>
  <c r="W63" i="55"/>
  <c r="AR63" i="55"/>
  <c r="AO63" i="55"/>
  <c r="AE63" i="55"/>
  <c r="AT68" i="55"/>
  <c r="AT68" i="54"/>
  <c r="AT68" i="46"/>
  <c r="AT68" i="24"/>
  <c r="AT67" i="54"/>
  <c r="AT67" i="46"/>
  <c r="AT67" i="55"/>
  <c r="AT67" i="24"/>
  <c r="AT66" i="24"/>
  <c r="AT66" i="46"/>
  <c r="AT66" i="55"/>
  <c r="AT66" i="54"/>
  <c r="AT69" i="54"/>
  <c r="AT69" i="46"/>
  <c r="AT69" i="55"/>
  <c r="AT69" i="24"/>
  <c r="AK63" i="55"/>
  <c r="AA63" i="55"/>
  <c r="AS65" i="46"/>
  <c r="L62" i="54"/>
  <c r="T64" i="54"/>
  <c r="V64" i="54"/>
  <c r="X64" i="54"/>
  <c r="Z64" i="54"/>
  <c r="AB64" i="54"/>
  <c r="AD64" i="54"/>
  <c r="AF64" i="54"/>
  <c r="AH64" i="54"/>
  <c r="AJ64" i="54"/>
  <c r="AL64" i="54"/>
  <c r="AN64" i="54"/>
  <c r="AP64" i="54"/>
  <c r="AR64" i="54"/>
  <c r="S64" i="54"/>
  <c r="U64" i="54"/>
  <c r="W64" i="54"/>
  <c r="Y64" i="54"/>
  <c r="AA64" i="54"/>
  <c r="AC64" i="54"/>
  <c r="AE64" i="54"/>
  <c r="AG64" i="54"/>
  <c r="AI64" i="54"/>
  <c r="AK64" i="54"/>
  <c r="AM64" i="54"/>
  <c r="AO64" i="54"/>
  <c r="AQ64" i="54"/>
  <c r="S64" i="46"/>
  <c r="U64" i="46"/>
  <c r="W64" i="46"/>
  <c r="Y64" i="46"/>
  <c r="AA64" i="46"/>
  <c r="AC64" i="46"/>
  <c r="AE64" i="46"/>
  <c r="AG64" i="46"/>
  <c r="AI64" i="46"/>
  <c r="AK64" i="46"/>
  <c r="AM64" i="46"/>
  <c r="AO64" i="46"/>
  <c r="T64" i="46"/>
  <c r="V64" i="46"/>
  <c r="X64" i="46"/>
  <c r="Z64" i="46"/>
  <c r="AB64" i="46"/>
  <c r="AD64" i="46"/>
  <c r="AF64" i="46"/>
  <c r="AH64" i="46"/>
  <c r="AJ64" i="46"/>
  <c r="AL64" i="46"/>
  <c r="AN64" i="46"/>
  <c r="AP64" i="46"/>
  <c r="AR64" i="46"/>
  <c r="AQ64" i="46"/>
  <c r="L64" i="54"/>
  <c r="G93" i="54" s="1"/>
  <c r="E93" i="54" s="1"/>
  <c r="S65" i="54"/>
  <c r="U65" i="54"/>
  <c r="W65" i="54"/>
  <c r="Y65" i="54"/>
  <c r="AA65" i="54"/>
  <c r="AC65" i="54"/>
  <c r="AE65" i="54"/>
  <c r="AG65" i="54"/>
  <c r="AI65" i="54"/>
  <c r="AK65" i="54"/>
  <c r="AM65" i="54"/>
  <c r="AO65" i="54"/>
  <c r="AQ65" i="54"/>
  <c r="T65" i="54"/>
  <c r="V65" i="54"/>
  <c r="X65" i="54"/>
  <c r="Z65" i="54"/>
  <c r="AB65" i="54"/>
  <c r="AD65" i="54"/>
  <c r="AF65" i="54"/>
  <c r="AH65" i="54"/>
  <c r="AJ65" i="54"/>
  <c r="AL65" i="54"/>
  <c r="AN65" i="54"/>
  <c r="AP65" i="54"/>
  <c r="AR65" i="54"/>
  <c r="S65" i="46"/>
  <c r="U65" i="46"/>
  <c r="W65" i="46"/>
  <c r="Y65" i="46"/>
  <c r="AA65" i="46"/>
  <c r="AC65" i="46"/>
  <c r="AE65" i="46"/>
  <c r="AG65" i="46"/>
  <c r="AI65" i="46"/>
  <c r="AK65" i="46"/>
  <c r="AM65" i="46"/>
  <c r="AO65" i="46"/>
  <c r="AQ65" i="46"/>
  <c r="AR65" i="46"/>
  <c r="T65" i="46"/>
  <c r="V65" i="46"/>
  <c r="X65" i="46"/>
  <c r="Z65" i="46"/>
  <c r="AB65" i="46"/>
  <c r="AD65" i="46"/>
  <c r="AF65" i="46"/>
  <c r="AH65" i="46"/>
  <c r="AJ65" i="46"/>
  <c r="AL65" i="46"/>
  <c r="AN65" i="46"/>
  <c r="AP65" i="46"/>
  <c r="L65" i="54"/>
  <c r="G94" i="54" s="1"/>
  <c r="E94" i="54" s="1"/>
  <c r="AP63" i="55"/>
  <c r="AM63" i="55"/>
  <c r="AH63" i="55"/>
  <c r="AD63" i="55"/>
  <c r="X63" i="55"/>
  <c r="T63" i="55"/>
  <c r="AT77" i="54"/>
  <c r="BV34" i="40"/>
  <c r="BV33" i="40"/>
  <c r="BV36" i="40"/>
  <c r="BV35" i="40"/>
  <c r="AT77" i="55"/>
  <c r="BV55" i="40"/>
  <c r="BV38" i="40"/>
  <c r="BV37" i="40"/>
  <c r="BV40" i="40"/>
  <c r="BV39" i="40"/>
  <c r="AN63" i="54"/>
  <c r="AP63" i="54"/>
  <c r="AK63" i="54"/>
  <c r="AH63" i="46"/>
  <c r="AB63" i="54"/>
  <c r="T63" i="54"/>
  <c r="AM63" i="46"/>
  <c r="AR63" i="54"/>
  <c r="AM63" i="54"/>
  <c r="AQ63" i="55"/>
  <c r="AJ63" i="55"/>
  <c r="AG63" i="55"/>
  <c r="AC63" i="55"/>
  <c r="Z63" i="55"/>
  <c r="V63" i="55"/>
  <c r="S63" i="55"/>
  <c r="AS63" i="55"/>
  <c r="AN63" i="55"/>
  <c r="AL63" i="55"/>
  <c r="AI63" i="55"/>
  <c r="AF63" i="55"/>
  <c r="AB63" i="55"/>
  <c r="Y63" i="55"/>
  <c r="L63" i="55"/>
  <c r="G92" i="55" s="1"/>
  <c r="E92" i="55" s="1"/>
  <c r="S62" i="55"/>
  <c r="Y64" i="55"/>
  <c r="AA64" i="55"/>
  <c r="AG64" i="55"/>
  <c r="AI64" i="55"/>
  <c r="AK64" i="55"/>
  <c r="S64" i="55"/>
  <c r="U64" i="55"/>
  <c r="W64" i="55"/>
  <c r="AC64" i="55"/>
  <c r="AE64" i="55"/>
  <c r="AM64" i="55"/>
  <c r="AO64" i="55"/>
  <c r="AR64" i="55"/>
  <c r="Z64" i="55"/>
  <c r="AB64" i="55"/>
  <c r="AD64" i="55"/>
  <c r="AF64" i="55"/>
  <c r="AH64" i="55"/>
  <c r="AJ64" i="55"/>
  <c r="AL64" i="55"/>
  <c r="AN64" i="55"/>
  <c r="AQ64" i="55"/>
  <c r="T64" i="55"/>
  <c r="V64" i="55"/>
  <c r="X64" i="55"/>
  <c r="AP64" i="55"/>
  <c r="U65" i="55"/>
  <c r="Y65" i="55"/>
  <c r="AA65" i="55"/>
  <c r="AC65" i="55"/>
  <c r="AG65" i="55"/>
  <c r="AK65" i="55"/>
  <c r="AM65" i="55"/>
  <c r="AO65" i="55"/>
  <c r="AQ65" i="55"/>
  <c r="T65" i="55"/>
  <c r="V65" i="55"/>
  <c r="X65" i="55"/>
  <c r="Z65" i="55"/>
  <c r="AH65" i="55"/>
  <c r="AJ65" i="55"/>
  <c r="AL65" i="55"/>
  <c r="AN65" i="55"/>
  <c r="AB65" i="55"/>
  <c r="AD65" i="55"/>
  <c r="AF65" i="55"/>
  <c r="AP65" i="55"/>
  <c r="AR65" i="55"/>
  <c r="S65" i="55"/>
  <c r="W65" i="55"/>
  <c r="AE65" i="55"/>
  <c r="AI65" i="55"/>
  <c r="L65" i="55"/>
  <c r="G94" i="55" s="1"/>
  <c r="E94" i="55" s="1"/>
  <c r="L64" i="55"/>
  <c r="G93" i="55" s="1"/>
  <c r="E93" i="55" s="1"/>
  <c r="W63" i="46"/>
  <c r="L63" i="46"/>
  <c r="G92" i="46" s="1"/>
  <c r="E92" i="46" s="1"/>
  <c r="AG63" i="46"/>
  <c r="AI62" i="55"/>
  <c r="AS62" i="55"/>
  <c r="AA62" i="55"/>
  <c r="AQ62" i="55"/>
  <c r="AM62" i="55"/>
  <c r="W62" i="55"/>
  <c r="AE62" i="55"/>
  <c r="AK62" i="55"/>
  <c r="AC62" i="55"/>
  <c r="U62" i="55"/>
  <c r="AO62" i="55"/>
  <c r="AG62" i="55"/>
  <c r="Y62" i="55"/>
  <c r="AN62" i="55"/>
  <c r="AJ62" i="55"/>
  <c r="AF62" i="55"/>
  <c r="AB62" i="55"/>
  <c r="X62" i="55"/>
  <c r="T62" i="55"/>
  <c r="AP62" i="55"/>
  <c r="AL62" i="55"/>
  <c r="AH62" i="55"/>
  <c r="AD62" i="55"/>
  <c r="Z62" i="55"/>
  <c r="L62" i="55"/>
  <c r="AL62" i="54"/>
  <c r="AJ62" i="54"/>
  <c r="AK62" i="54"/>
  <c r="AP62" i="54"/>
  <c r="AE62" i="54"/>
  <c r="AC62" i="54"/>
  <c r="AF62" i="54"/>
  <c r="AD62" i="54"/>
  <c r="AB62" i="54"/>
  <c r="AS62" i="54"/>
  <c r="AH62" i="54"/>
  <c r="Y62" i="54"/>
  <c r="V62" i="54"/>
  <c r="AN62" i="54"/>
  <c r="Z62" i="54"/>
  <c r="AL63" i="54"/>
  <c r="AH63" i="54"/>
  <c r="AG63" i="54"/>
  <c r="AC63" i="54"/>
  <c r="AA63" i="54"/>
  <c r="V63" i="54"/>
  <c r="AS63" i="54"/>
  <c r="AQ63" i="54"/>
  <c r="AJ63" i="54"/>
  <c r="AE63" i="54"/>
  <c r="Y63" i="54"/>
  <c r="S63" i="54"/>
  <c r="L63" i="54"/>
  <c r="G92" i="54" s="1"/>
  <c r="E92" i="54" s="1"/>
  <c r="AO63" i="54"/>
  <c r="AI63" i="54"/>
  <c r="AF63" i="54"/>
  <c r="AD63" i="54"/>
  <c r="Z63" i="54"/>
  <c r="X63" i="54"/>
  <c r="W63" i="54"/>
  <c r="X62" i="54"/>
  <c r="T62" i="54"/>
  <c r="AQ62" i="54"/>
  <c r="AO62" i="54"/>
  <c r="AM62" i="54"/>
  <c r="AI62" i="54"/>
  <c r="AG62" i="54"/>
  <c r="AA62" i="54"/>
  <c r="W62" i="54"/>
  <c r="U62" i="54"/>
  <c r="S62" i="54"/>
  <c r="X62" i="46"/>
  <c r="Y63" i="46"/>
  <c r="AA63" i="46"/>
  <c r="AM62" i="46"/>
  <c r="AQ62" i="46"/>
  <c r="L62" i="46"/>
  <c r="AL63" i="46"/>
  <c r="AI63" i="46"/>
  <c r="AD63" i="46"/>
  <c r="AB63" i="46"/>
  <c r="X63" i="46"/>
  <c r="V63" i="46"/>
  <c r="T63" i="46"/>
  <c r="S63" i="46"/>
  <c r="AR63" i="46"/>
  <c r="AS63" i="46"/>
  <c r="AQ63" i="46"/>
  <c r="AO63" i="46"/>
  <c r="AJ63" i="46"/>
  <c r="AE63" i="46"/>
  <c r="AP63" i="46"/>
  <c r="AN63" i="46"/>
  <c r="AK63" i="46"/>
  <c r="AF63" i="46"/>
  <c r="AC63" i="46"/>
  <c r="Z63" i="46"/>
  <c r="AJ62" i="46"/>
  <c r="AI62" i="46"/>
  <c r="AG62" i="46"/>
  <c r="T62" i="46"/>
  <c r="S62" i="46"/>
  <c r="AS62" i="46"/>
  <c r="AH62" i="46"/>
  <c r="AD62" i="46"/>
  <c r="AB62" i="46"/>
  <c r="U62" i="46"/>
  <c r="AN62" i="46"/>
  <c r="AL62" i="46"/>
  <c r="AF62" i="46"/>
  <c r="Y62" i="46"/>
  <c r="V62" i="46"/>
  <c r="AP62" i="46"/>
  <c r="AO62" i="46"/>
  <c r="AK62" i="46"/>
  <c r="AE62" i="46"/>
  <c r="AC62" i="46"/>
  <c r="AA62" i="46"/>
  <c r="Z62" i="46"/>
  <c r="W62" i="46"/>
  <c r="J109" i="24"/>
  <c r="C19" i="23" s="1"/>
  <c r="BQ88" i="55"/>
  <c r="BQ89" i="55" s="1"/>
  <c r="BP89" i="55"/>
  <c r="BQ88" i="46"/>
  <c r="BQ89" i="46" s="1"/>
  <c r="P89" i="46" s="1"/>
  <c r="L89" i="46" s="1"/>
  <c r="D25" i="23" s="1"/>
  <c r="BP89" i="46"/>
  <c r="BQ88" i="54"/>
  <c r="BQ89" i="54" s="1"/>
  <c r="P89" i="54" s="1"/>
  <c r="L89" i="54" s="1"/>
  <c r="E25" i="23" s="1"/>
  <c r="BP89" i="54"/>
  <c r="BP89" i="24"/>
  <c r="BL89" i="24"/>
  <c r="BH89" i="24"/>
  <c r="BD89" i="24"/>
  <c r="AZ89" i="24"/>
  <c r="AV89" i="24"/>
  <c r="AR89" i="24"/>
  <c r="AN89" i="24"/>
  <c r="AJ89" i="24"/>
  <c r="AF89" i="24"/>
  <c r="AB89" i="24"/>
  <c r="X89" i="24"/>
  <c r="T89" i="24"/>
  <c r="BO89" i="24"/>
  <c r="BK89" i="24"/>
  <c r="BG89" i="24"/>
  <c r="BC89" i="24"/>
  <c r="AY89" i="24"/>
  <c r="AU89" i="24"/>
  <c r="AQ89" i="24"/>
  <c r="AM89" i="24"/>
  <c r="AI89" i="24"/>
  <c r="AE89" i="24"/>
  <c r="AA89" i="24"/>
  <c r="BN89" i="24"/>
  <c r="BJ89" i="24"/>
  <c r="BF89" i="24"/>
  <c r="BB89" i="24"/>
  <c r="AX89" i="24"/>
  <c r="AT89" i="24"/>
  <c r="AP89" i="24"/>
  <c r="AL89" i="24"/>
  <c r="AH89" i="24"/>
  <c r="AD89" i="24"/>
  <c r="Z89" i="24"/>
  <c r="V89" i="24"/>
  <c r="BQ89" i="24"/>
  <c r="BM89" i="24"/>
  <c r="BI89" i="24"/>
  <c r="BE89" i="24"/>
  <c r="BA89" i="24"/>
  <c r="AW89" i="24"/>
  <c r="AS89" i="24"/>
  <c r="AO89" i="24"/>
  <c r="AK89" i="24"/>
  <c r="AG89" i="24"/>
  <c r="AC89" i="24"/>
  <c r="Y89" i="24"/>
  <c r="U89" i="24"/>
  <c r="W89" i="24"/>
  <c r="AT64" i="54"/>
  <c r="AT65" i="54"/>
  <c r="AT72" i="24"/>
  <c r="AT72" i="46"/>
  <c r="AT72" i="55"/>
  <c r="AT72" i="54"/>
  <c r="AT65" i="55"/>
  <c r="AT63" i="54"/>
  <c r="AT63" i="55"/>
  <c r="AT62" i="54"/>
  <c r="AT65" i="46"/>
  <c r="AT62" i="46"/>
  <c r="AT64" i="55"/>
  <c r="AT64" i="46"/>
  <c r="AT62" i="55"/>
  <c r="AT63" i="46"/>
  <c r="AT70" i="24"/>
  <c r="AT70" i="55"/>
  <c r="AT70" i="46"/>
  <c r="AT70" i="54"/>
  <c r="AT74" i="24"/>
  <c r="AT74" i="55"/>
  <c r="AT74" i="54"/>
  <c r="AT74" i="46"/>
  <c r="AT76" i="24"/>
  <c r="AT76" i="55"/>
  <c r="AT76" i="54"/>
  <c r="AT76" i="46"/>
  <c r="AT73" i="24"/>
  <c r="AT73" i="46"/>
  <c r="AT73" i="54"/>
  <c r="AT73" i="55"/>
  <c r="AT71" i="24"/>
  <c r="AT71" i="46"/>
  <c r="AT71" i="55"/>
  <c r="AT71" i="54"/>
  <c r="AT75" i="24"/>
  <c r="AT75" i="55"/>
  <c r="AT75" i="46"/>
  <c r="AT75" i="54"/>
  <c r="BV24" i="40"/>
  <c r="BV30" i="40"/>
  <c r="BV29" i="40"/>
  <c r="BV27" i="40"/>
  <c r="BV28" i="40"/>
  <c r="BV26" i="40"/>
  <c r="BV23" i="40"/>
  <c r="BV19" i="40"/>
  <c r="BV42" i="40"/>
  <c r="BV43" i="40"/>
  <c r="BV51" i="40"/>
  <c r="BV50" i="40"/>
  <c r="BV49" i="40"/>
  <c r="BV45" i="40"/>
  <c r="BV44" i="40"/>
  <c r="BV52" i="40"/>
  <c r="BV46" i="40"/>
  <c r="BV47" i="40"/>
  <c r="BV41" i="40"/>
  <c r="BV54" i="40"/>
  <c r="BV11" i="40"/>
  <c r="BV32" i="40"/>
  <c r="BV13" i="40"/>
  <c r="BV14" i="40"/>
  <c r="BV12" i="40"/>
  <c r="BV31" i="40"/>
  <c r="BV21" i="40"/>
  <c r="BV22" i="40"/>
  <c r="BV20" i="40"/>
  <c r="BV53" i="40"/>
  <c r="BV25" i="40"/>
  <c r="BW10" i="40"/>
  <c r="BW48" i="40" s="1"/>
  <c r="A2" i="39"/>
  <c r="G91" i="55" l="1"/>
  <c r="G108" i="55" s="1"/>
  <c r="F16" i="23" s="1"/>
  <c r="L79" i="55"/>
  <c r="G91" i="54"/>
  <c r="G108" i="54" s="1"/>
  <c r="E16" i="23" s="1"/>
  <c r="L79" i="54"/>
  <c r="G91" i="46"/>
  <c r="G108" i="46" s="1"/>
  <c r="D16" i="23" s="1"/>
  <c r="L79" i="46"/>
  <c r="AU77" i="46"/>
  <c r="AU77" i="24"/>
  <c r="BW17" i="40"/>
  <c r="BW15" i="40"/>
  <c r="BW16" i="40"/>
  <c r="BW18" i="40"/>
  <c r="U79" i="55"/>
  <c r="AS79" i="46"/>
  <c r="AG79" i="54"/>
  <c r="P89" i="55"/>
  <c r="L89" i="55" s="1"/>
  <c r="F25" i="23" s="1"/>
  <c r="AU67" i="46"/>
  <c r="AU67" i="54"/>
  <c r="AU67" i="55"/>
  <c r="AU67" i="24"/>
  <c r="AU68" i="54"/>
  <c r="AU68" i="55"/>
  <c r="AU68" i="46"/>
  <c r="AU68" i="24"/>
  <c r="AU69" i="46"/>
  <c r="AU69" i="55"/>
  <c r="AU69" i="24"/>
  <c r="AU69" i="54"/>
  <c r="AU66" i="24"/>
  <c r="AU66" i="46"/>
  <c r="AU66" i="55"/>
  <c r="AU66" i="54"/>
  <c r="U79" i="46"/>
  <c r="AI79" i="46"/>
  <c r="AA79" i="46"/>
  <c r="AG79" i="46"/>
  <c r="AJ79" i="46"/>
  <c r="AR79" i="46"/>
  <c r="U79" i="54"/>
  <c r="AF79" i="54"/>
  <c r="AR79" i="54"/>
  <c r="AU77" i="54"/>
  <c r="BW35" i="40"/>
  <c r="BW36" i="40"/>
  <c r="BW33" i="40"/>
  <c r="BW34" i="40"/>
  <c r="AU77" i="55"/>
  <c r="BW55" i="40"/>
  <c r="BW39" i="40"/>
  <c r="BW40" i="40"/>
  <c r="BW37" i="40"/>
  <c r="BW38" i="40"/>
  <c r="AN79" i="54"/>
  <c r="AK79" i="54"/>
  <c r="AM79" i="46"/>
  <c r="AO79" i="55"/>
  <c r="AH79" i="46"/>
  <c r="T79" i="54"/>
  <c r="AB79" i="54"/>
  <c r="AM79" i="54"/>
  <c r="AP79" i="54"/>
  <c r="AS79" i="54"/>
  <c r="AN79" i="55"/>
  <c r="AR79" i="55"/>
  <c r="W79" i="46"/>
  <c r="AG79" i="55"/>
  <c r="AL79" i="55"/>
  <c r="AI79" i="55"/>
  <c r="S79" i="55"/>
  <c r="V79" i="55"/>
  <c r="AH79" i="55"/>
  <c r="X79" i="55"/>
  <c r="W79" i="55"/>
  <c r="AS79" i="55"/>
  <c r="Z79" i="55"/>
  <c r="AP79" i="55"/>
  <c r="AF79" i="55"/>
  <c r="AK79" i="55"/>
  <c r="AQ79" i="55"/>
  <c r="Y79" i="55"/>
  <c r="AB79" i="55"/>
  <c r="AC79" i="55"/>
  <c r="AM79" i="55"/>
  <c r="AD79" i="55"/>
  <c r="T79" i="55"/>
  <c r="AJ79" i="55"/>
  <c r="AE79" i="55"/>
  <c r="AA79" i="55"/>
  <c r="AJ79" i="54"/>
  <c r="AL79" i="54"/>
  <c r="X79" i="54"/>
  <c r="AD79" i="54"/>
  <c r="AA79" i="54"/>
  <c r="Z79" i="54"/>
  <c r="Y79" i="46"/>
  <c r="Y79" i="54"/>
  <c r="AO79" i="54"/>
  <c r="AE79" i="54"/>
  <c r="V79" i="54"/>
  <c r="W79" i="54"/>
  <c r="S79" i="54"/>
  <c r="AQ79" i="54"/>
  <c r="AC79" i="54"/>
  <c r="AH79" i="54"/>
  <c r="AI79" i="54"/>
  <c r="X79" i="46"/>
  <c r="AQ79" i="46"/>
  <c r="AC79" i="46"/>
  <c r="AP79" i="46"/>
  <c r="AD79" i="46"/>
  <c r="T79" i="46"/>
  <c r="Z79" i="46"/>
  <c r="AN79" i="46"/>
  <c r="S79" i="46"/>
  <c r="AB79" i="46"/>
  <c r="AL79" i="46"/>
  <c r="AO79" i="46"/>
  <c r="AK79" i="46"/>
  <c r="AF79" i="46"/>
  <c r="AE79" i="46"/>
  <c r="V79" i="46"/>
  <c r="AU64" i="54"/>
  <c r="AU65" i="54"/>
  <c r="AU62" i="54"/>
  <c r="AU65" i="55"/>
  <c r="AU63" i="54"/>
  <c r="AU63" i="55"/>
  <c r="AU64" i="46"/>
  <c r="AU65" i="46"/>
  <c r="AU64" i="55"/>
  <c r="AU63" i="46"/>
  <c r="AU62" i="55"/>
  <c r="AU62" i="46"/>
  <c r="AU71" i="24"/>
  <c r="AU71" i="55"/>
  <c r="AU71" i="54"/>
  <c r="AU71" i="46"/>
  <c r="AU70" i="24"/>
  <c r="AU70" i="46"/>
  <c r="AU70" i="54"/>
  <c r="AU70" i="55"/>
  <c r="AT79" i="55"/>
  <c r="AU73" i="24"/>
  <c r="AU73" i="54"/>
  <c r="AU73" i="46"/>
  <c r="AU73" i="55"/>
  <c r="AT79" i="54"/>
  <c r="AU74" i="24"/>
  <c r="AU74" i="55"/>
  <c r="AU74" i="46"/>
  <c r="AU74" i="54"/>
  <c r="AU76" i="24"/>
  <c r="AU76" i="46"/>
  <c r="AU76" i="55"/>
  <c r="AU76" i="54"/>
  <c r="AU72" i="24"/>
  <c r="AU72" i="46"/>
  <c r="AU72" i="55"/>
  <c r="AU72" i="54"/>
  <c r="AU75" i="24"/>
  <c r="AU75" i="55"/>
  <c r="AU75" i="54"/>
  <c r="AU75" i="46"/>
  <c r="AT79" i="46"/>
  <c r="BW19" i="40"/>
  <c r="BW29" i="40"/>
  <c r="BW30" i="40"/>
  <c r="BW28" i="40"/>
  <c r="BW24" i="40"/>
  <c r="BW27" i="40"/>
  <c r="BW26" i="40"/>
  <c r="BW23" i="40"/>
  <c r="BW41" i="40"/>
  <c r="BW42" i="40"/>
  <c r="BW43" i="40"/>
  <c r="BW50" i="40"/>
  <c r="BW46" i="40"/>
  <c r="BW44" i="40"/>
  <c r="BW52" i="40"/>
  <c r="BW51" i="40"/>
  <c r="BW47" i="40"/>
  <c r="BW45" i="40"/>
  <c r="BW49" i="40"/>
  <c r="BW54" i="40"/>
  <c r="BW11" i="40"/>
  <c r="BW14" i="40"/>
  <c r="BW12" i="40"/>
  <c r="BW13" i="40"/>
  <c r="BW31" i="40"/>
  <c r="BW32" i="40"/>
  <c r="BW21" i="40"/>
  <c r="BW20" i="40"/>
  <c r="BW22" i="40"/>
  <c r="BW53" i="40"/>
  <c r="BW25" i="40"/>
  <c r="C22" i="23"/>
  <c r="P89" i="24"/>
  <c r="L89" i="24" s="1"/>
  <c r="C25" i="23" s="1"/>
  <c r="BX10" i="40"/>
  <c r="BX48" i="40" s="1"/>
  <c r="R6" i="1"/>
  <c r="A2" i="7"/>
  <c r="A2" i="1"/>
  <c r="A2" i="24"/>
  <c r="A2" i="23"/>
  <c r="A2" i="34"/>
  <c r="W211" i="1"/>
  <c r="W210" i="1"/>
  <c r="Q211" i="1"/>
  <c r="Q210" i="1"/>
  <c r="E91" i="55" l="1"/>
  <c r="E91" i="54"/>
  <c r="E91" i="46"/>
  <c r="AV77" i="46"/>
  <c r="AV77" i="24"/>
  <c r="BX16" i="40"/>
  <c r="BX17" i="40"/>
  <c r="BX15" i="40"/>
  <c r="BX18" i="40"/>
  <c r="G110" i="55"/>
  <c r="F17" i="23"/>
  <c r="F20" i="23" s="1"/>
  <c r="E17" i="23"/>
  <c r="E20" i="23" s="1"/>
  <c r="G110" i="46"/>
  <c r="AV69" i="55"/>
  <c r="AV69" i="54"/>
  <c r="AV69" i="46"/>
  <c r="AV69" i="24"/>
  <c r="AV68" i="55"/>
  <c r="AV68" i="24"/>
  <c r="AV68" i="46"/>
  <c r="AV68" i="54"/>
  <c r="AV67" i="54"/>
  <c r="AV67" i="46"/>
  <c r="AV67" i="55"/>
  <c r="AV67" i="24"/>
  <c r="AV66" i="24"/>
  <c r="AV66" i="46"/>
  <c r="AV66" i="55"/>
  <c r="AV66" i="54"/>
  <c r="AV77" i="54"/>
  <c r="BX36" i="40"/>
  <c r="BX35" i="40"/>
  <c r="BX34" i="40"/>
  <c r="BX33" i="40"/>
  <c r="AV77" i="55"/>
  <c r="BX55" i="40"/>
  <c r="BX39" i="40"/>
  <c r="BX38" i="40"/>
  <c r="BX37" i="40"/>
  <c r="BX40" i="40"/>
  <c r="G110" i="54"/>
  <c r="AV64" i="54"/>
  <c r="AV65" i="54"/>
  <c r="AV72" i="24"/>
  <c r="AV72" i="46"/>
  <c r="AV72" i="55"/>
  <c r="AV72" i="54"/>
  <c r="AV71" i="24"/>
  <c r="AV71" i="55"/>
  <c r="AV71" i="54"/>
  <c r="AV71" i="46"/>
  <c r="AU79" i="55"/>
  <c r="AV75" i="24"/>
  <c r="AV75" i="46"/>
  <c r="AV75" i="54"/>
  <c r="AV75" i="55"/>
  <c r="AV74" i="24"/>
  <c r="AV74" i="55"/>
  <c r="AV74" i="54"/>
  <c r="AV74" i="46"/>
  <c r="AV76" i="24"/>
  <c r="AV76" i="55"/>
  <c r="AV76" i="54"/>
  <c r="AV76" i="46"/>
  <c r="AV73" i="24"/>
  <c r="AV73" i="46"/>
  <c r="AV73" i="55"/>
  <c r="AV73" i="54"/>
  <c r="AU79" i="54"/>
  <c r="AV62" i="55"/>
  <c r="AV63" i="55"/>
  <c r="AV65" i="46"/>
  <c r="AV63" i="54"/>
  <c r="AV62" i="46"/>
  <c r="AV65" i="55"/>
  <c r="AV64" i="55"/>
  <c r="AV64" i="46"/>
  <c r="AV62" i="54"/>
  <c r="AV63" i="46"/>
  <c r="AV70" i="24"/>
  <c r="AV70" i="46"/>
  <c r="AV70" i="54"/>
  <c r="AV70" i="55"/>
  <c r="AU79" i="46"/>
  <c r="BX27" i="40"/>
  <c r="BX26" i="40"/>
  <c r="BX30" i="40"/>
  <c r="BX24" i="40"/>
  <c r="BX23" i="40"/>
  <c r="BX29" i="40"/>
  <c r="BX28" i="40"/>
  <c r="BX19" i="40"/>
  <c r="BX41" i="40"/>
  <c r="BX52" i="40"/>
  <c r="BX51" i="40"/>
  <c r="BX47" i="40"/>
  <c r="BX43" i="40"/>
  <c r="BX45" i="40"/>
  <c r="BX42" i="40"/>
  <c r="BX49" i="40"/>
  <c r="BX46" i="40"/>
  <c r="BX44" i="40"/>
  <c r="BX50" i="40"/>
  <c r="BX54" i="40"/>
  <c r="BX11" i="40"/>
  <c r="BX12" i="40"/>
  <c r="BX31" i="40"/>
  <c r="BX14" i="40"/>
  <c r="BX13" i="40"/>
  <c r="BX32" i="40"/>
  <c r="BX22" i="40"/>
  <c r="BX21" i="40"/>
  <c r="BX20" i="40"/>
  <c r="BX53" i="40"/>
  <c r="BX25" i="40"/>
  <c r="BY10" i="40"/>
  <c r="BY48" i="40" s="1"/>
  <c r="K211" i="1"/>
  <c r="Q154" i="1"/>
  <c r="W154" i="1"/>
  <c r="K155" i="1"/>
  <c r="Q155" i="1"/>
  <c r="W155" i="1"/>
  <c r="A48" i="7"/>
  <c r="G72" i="34"/>
  <c r="W6" i="1"/>
  <c r="J5" i="1"/>
  <c r="F6" i="1"/>
  <c r="A6" i="1"/>
  <c r="AW77" i="46" l="1"/>
  <c r="AW77" i="24"/>
  <c r="BY17" i="40"/>
  <c r="BY15" i="40"/>
  <c r="BY16" i="40"/>
  <c r="BY18" i="40"/>
  <c r="AW69" i="55"/>
  <c r="AW69" i="54"/>
  <c r="AW69" i="46"/>
  <c r="AW69" i="24"/>
  <c r="AW68" i="54"/>
  <c r="AW68" i="46"/>
  <c r="AW68" i="24"/>
  <c r="AW68" i="55"/>
  <c r="AW66" i="24"/>
  <c r="AW66" i="54"/>
  <c r="AW66" i="55"/>
  <c r="AW66" i="46"/>
  <c r="AW67" i="54"/>
  <c r="AW67" i="46"/>
  <c r="AW67" i="55"/>
  <c r="AW67" i="24"/>
  <c r="AW77" i="54"/>
  <c r="BY33" i="40"/>
  <c r="BY34" i="40"/>
  <c r="BY35" i="40"/>
  <c r="BY36" i="40"/>
  <c r="AW77" i="55"/>
  <c r="BY55" i="40"/>
  <c r="BY39" i="40"/>
  <c r="BY37" i="40"/>
  <c r="BY38" i="40"/>
  <c r="BY40" i="40"/>
  <c r="AW64" i="54"/>
  <c r="AW65" i="54"/>
  <c r="AW74" i="24"/>
  <c r="AW74" i="54"/>
  <c r="AW74" i="46"/>
  <c r="AW74" i="55"/>
  <c r="AW72" i="24"/>
  <c r="AW72" i="46"/>
  <c r="AW72" i="55"/>
  <c r="AW72" i="54"/>
  <c r="AW76" i="24"/>
  <c r="AW76" i="54"/>
  <c r="AW76" i="55"/>
  <c r="AW76" i="46"/>
  <c r="AW70" i="24"/>
  <c r="AW70" i="54"/>
  <c r="AW70" i="46"/>
  <c r="AW70" i="55"/>
  <c r="AW75" i="24"/>
  <c r="AW75" i="46"/>
  <c r="AW75" i="55"/>
  <c r="AW75" i="54"/>
  <c r="AV79" i="55"/>
  <c r="AW63" i="46"/>
  <c r="AW65" i="55"/>
  <c r="AW65" i="46"/>
  <c r="AW62" i="55"/>
  <c r="AW62" i="46"/>
  <c r="AW63" i="54"/>
  <c r="AW63" i="55"/>
  <c r="AW64" i="55"/>
  <c r="AW64" i="46"/>
  <c r="AW62" i="54"/>
  <c r="AW71" i="24"/>
  <c r="AW71" i="54"/>
  <c r="AW71" i="55"/>
  <c r="AW71" i="46"/>
  <c r="AV79" i="54"/>
  <c r="AV79" i="46"/>
  <c r="AW73" i="24"/>
  <c r="AW73" i="54"/>
  <c r="AW73" i="46"/>
  <c r="AW73" i="55"/>
  <c r="BY29" i="40"/>
  <c r="BY30" i="40"/>
  <c r="BY28" i="40"/>
  <c r="BY27" i="40"/>
  <c r="BY26" i="40"/>
  <c r="BY19" i="40"/>
  <c r="BY23" i="40"/>
  <c r="BY24" i="40"/>
  <c r="BY41" i="40"/>
  <c r="BY42" i="40"/>
  <c r="BY44" i="40"/>
  <c r="BY52" i="40"/>
  <c r="BY49" i="40"/>
  <c r="BY43" i="40"/>
  <c r="BY50" i="40"/>
  <c r="BY51" i="40"/>
  <c r="BY45" i="40"/>
  <c r="BY47" i="40"/>
  <c r="BY46" i="40"/>
  <c r="BY54" i="40"/>
  <c r="BY11" i="40"/>
  <c r="BY13" i="40"/>
  <c r="BY31" i="40"/>
  <c r="BY32" i="40"/>
  <c r="BY12" i="40"/>
  <c r="BY14" i="40"/>
  <c r="BY21" i="40"/>
  <c r="BY22" i="40"/>
  <c r="BY20" i="40"/>
  <c r="BY53" i="40"/>
  <c r="BY25" i="40"/>
  <c r="E155" i="1"/>
  <c r="E211" i="1"/>
  <c r="K154" i="1"/>
  <c r="K210" i="1"/>
  <c r="E154" i="1"/>
  <c r="E210" i="1"/>
  <c r="BZ10" i="40"/>
  <c r="BZ48" i="40" s="1"/>
  <c r="E48" i="7"/>
  <c r="W183" i="1"/>
  <c r="Q183" i="1"/>
  <c r="K183" i="1"/>
  <c r="E183" i="1"/>
  <c r="W182" i="1"/>
  <c r="Q182" i="1"/>
  <c r="K182" i="1"/>
  <c r="E182" i="1"/>
  <c r="G12" i="7"/>
  <c r="F12" i="7"/>
  <c r="E12" i="7"/>
  <c r="D12" i="7"/>
  <c r="W127" i="1"/>
  <c r="Q127" i="1"/>
  <c r="K127" i="1"/>
  <c r="E127" i="1"/>
  <c r="W126" i="1"/>
  <c r="Q126" i="1"/>
  <c r="K126" i="1"/>
  <c r="E126" i="1"/>
  <c r="W99" i="1"/>
  <c r="Q99" i="1"/>
  <c r="K99" i="1"/>
  <c r="E99" i="1"/>
  <c r="W98" i="1"/>
  <c r="Q98" i="1"/>
  <c r="K98" i="1"/>
  <c r="E98" i="1"/>
  <c r="C5" i="7"/>
  <c r="G5" i="7"/>
  <c r="AX77" i="46" l="1"/>
  <c r="AX77" i="24"/>
  <c r="BZ17" i="40"/>
  <c r="BZ16" i="40"/>
  <c r="BZ15" i="40"/>
  <c r="BZ18" i="40"/>
  <c r="AX69" i="55"/>
  <c r="AX69" i="46"/>
  <c r="AX69" i="54"/>
  <c r="AX69" i="24"/>
  <c r="AX66" i="24"/>
  <c r="AX66" i="55"/>
  <c r="AX66" i="46"/>
  <c r="AX66" i="54"/>
  <c r="AX68" i="55"/>
  <c r="AX68" i="54"/>
  <c r="AX68" i="24"/>
  <c r="AX68" i="46"/>
  <c r="AX67" i="54"/>
  <c r="AX67" i="46"/>
  <c r="AX67" i="55"/>
  <c r="AX67" i="24"/>
  <c r="AX77" i="54"/>
  <c r="BZ34" i="40"/>
  <c r="BZ33" i="40"/>
  <c r="BZ36" i="40"/>
  <c r="BZ35" i="40"/>
  <c r="AX77" i="55"/>
  <c r="BZ55" i="40"/>
  <c r="BZ38" i="40"/>
  <c r="BZ37" i="40"/>
  <c r="BZ40" i="40"/>
  <c r="BZ39" i="40"/>
  <c r="AX65" i="54"/>
  <c r="AX64" i="54"/>
  <c r="AX70" i="24"/>
  <c r="AX70" i="46"/>
  <c r="AX70" i="55"/>
  <c r="AX70" i="54"/>
  <c r="AX73" i="24"/>
  <c r="AX73" i="46"/>
  <c r="AX73" i="55"/>
  <c r="AX73" i="54"/>
  <c r="AW79" i="46"/>
  <c r="AX71" i="24"/>
  <c r="AX71" i="46"/>
  <c r="AX71" i="55"/>
  <c r="AX71" i="54"/>
  <c r="AX75" i="24"/>
  <c r="AX75" i="46"/>
  <c r="AX75" i="55"/>
  <c r="AX75" i="54"/>
  <c r="AW79" i="55"/>
  <c r="AX76" i="24"/>
  <c r="AX76" i="55"/>
  <c r="AX76" i="46"/>
  <c r="AX76" i="54"/>
  <c r="AX74" i="24"/>
  <c r="AX74" i="54"/>
  <c r="AX74" i="55"/>
  <c r="AX74" i="46"/>
  <c r="AX62" i="55"/>
  <c r="AX62" i="54"/>
  <c r="AX62" i="46"/>
  <c r="AX65" i="55"/>
  <c r="AX63" i="55"/>
  <c r="AX65" i="46"/>
  <c r="AX64" i="46"/>
  <c r="AX63" i="46"/>
  <c r="AX64" i="55"/>
  <c r="AX63" i="54"/>
  <c r="AX72" i="24"/>
  <c r="AX72" i="46"/>
  <c r="AX72" i="54"/>
  <c r="AX72" i="55"/>
  <c r="AW79" i="54"/>
  <c r="BZ24" i="40"/>
  <c r="BZ30" i="40"/>
  <c r="BZ29" i="40"/>
  <c r="BZ28" i="40"/>
  <c r="BZ27" i="40"/>
  <c r="BZ26" i="40"/>
  <c r="BZ23" i="40"/>
  <c r="BZ19" i="40"/>
  <c r="BZ41" i="40"/>
  <c r="BZ51" i="40"/>
  <c r="BZ50" i="40"/>
  <c r="BZ49" i="40"/>
  <c r="BZ42" i="40"/>
  <c r="BZ46" i="40"/>
  <c r="BZ43" i="40"/>
  <c r="BZ52" i="40"/>
  <c r="BZ47" i="40"/>
  <c r="BZ45" i="40"/>
  <c r="BZ44" i="40"/>
  <c r="BZ54" i="40"/>
  <c r="BZ11" i="40"/>
  <c r="BZ12" i="40"/>
  <c r="BZ32" i="40"/>
  <c r="BZ31" i="40"/>
  <c r="BZ14" i="40"/>
  <c r="BZ13" i="40"/>
  <c r="BZ22" i="40"/>
  <c r="BZ21" i="40"/>
  <c r="BZ20" i="40"/>
  <c r="BZ53" i="40"/>
  <c r="BZ25" i="40"/>
  <c r="CA10" i="40"/>
  <c r="CA48" i="40" s="1"/>
  <c r="D79" i="7"/>
  <c r="D101" i="7" s="1"/>
  <c r="E79" i="7"/>
  <c r="E101" i="7" s="1"/>
  <c r="E68" i="7"/>
  <c r="E97" i="7" s="1"/>
  <c r="D68" i="7"/>
  <c r="D97" i="7" s="1"/>
  <c r="D57" i="7"/>
  <c r="D91" i="7" s="1"/>
  <c r="E57" i="7"/>
  <c r="E91" i="7" s="1"/>
  <c r="G11" i="7"/>
  <c r="U11" i="1" s="1"/>
  <c r="AY77" i="46" l="1"/>
  <c r="AY77" i="24"/>
  <c r="CA17" i="40"/>
  <c r="CA16" i="40"/>
  <c r="CA15" i="40"/>
  <c r="CA18" i="40"/>
  <c r="AY68" i="55"/>
  <c r="AY68" i="46"/>
  <c r="AY68" i="54"/>
  <c r="AY68" i="24"/>
  <c r="AY66" i="24"/>
  <c r="AY66" i="55"/>
  <c r="AY66" i="46"/>
  <c r="AY66" i="54"/>
  <c r="AY67" i="54"/>
  <c r="AY67" i="46"/>
  <c r="AY67" i="55"/>
  <c r="AY67" i="24"/>
  <c r="AY69" i="55"/>
  <c r="AY69" i="54"/>
  <c r="AY69" i="46"/>
  <c r="AY69" i="24"/>
  <c r="AY77" i="54"/>
  <c r="CA35" i="40"/>
  <c r="CA36" i="40"/>
  <c r="CA33" i="40"/>
  <c r="CA34" i="40"/>
  <c r="AY77" i="55"/>
  <c r="CA55" i="40"/>
  <c r="CA39" i="40"/>
  <c r="CA40" i="40"/>
  <c r="CA37" i="40"/>
  <c r="CA38" i="40"/>
  <c r="AY64" i="54"/>
  <c r="AY65" i="54"/>
  <c r="AX79" i="55"/>
  <c r="AY73" i="24"/>
  <c r="AY73" i="54"/>
  <c r="AY73" i="46"/>
  <c r="AY73" i="55"/>
  <c r="AY76" i="24"/>
  <c r="AY76" i="55"/>
  <c r="AY76" i="54"/>
  <c r="AY76" i="46"/>
  <c r="AY70" i="24"/>
  <c r="AY70" i="46"/>
  <c r="AY70" i="55"/>
  <c r="AY70" i="54"/>
  <c r="AY74" i="24"/>
  <c r="AY74" i="55"/>
  <c r="AY74" i="46"/>
  <c r="AY74" i="54"/>
  <c r="AX79" i="46"/>
  <c r="AY62" i="46"/>
  <c r="AY64" i="46"/>
  <c r="AY64" i="55"/>
  <c r="AY65" i="55"/>
  <c r="AY63" i="55"/>
  <c r="AY62" i="55"/>
  <c r="AY62" i="54"/>
  <c r="AY65" i="46"/>
  <c r="AY63" i="46"/>
  <c r="AY63" i="54"/>
  <c r="AY72" i="24"/>
  <c r="AY72" i="46"/>
  <c r="AY72" i="55"/>
  <c r="AY72" i="54"/>
  <c r="AY71" i="24"/>
  <c r="AY71" i="46"/>
  <c r="AY71" i="54"/>
  <c r="AY71" i="55"/>
  <c r="AY75" i="24"/>
  <c r="AY75" i="46"/>
  <c r="AY75" i="55"/>
  <c r="AY75" i="54"/>
  <c r="AX79" i="54"/>
  <c r="CA19" i="40"/>
  <c r="CA27" i="40"/>
  <c r="CA26" i="40"/>
  <c r="CA29" i="40"/>
  <c r="CA23" i="40"/>
  <c r="CA28" i="40"/>
  <c r="CA24" i="40"/>
  <c r="CA30" i="40"/>
  <c r="CA43" i="40"/>
  <c r="CA50" i="40"/>
  <c r="CA44" i="40"/>
  <c r="CA52" i="40"/>
  <c r="CA51" i="40"/>
  <c r="CA47" i="40"/>
  <c r="CA45" i="40"/>
  <c r="CA42" i="40"/>
  <c r="CA41" i="40"/>
  <c r="CA49" i="40"/>
  <c r="CA46" i="40"/>
  <c r="CA54" i="40"/>
  <c r="CA11" i="40"/>
  <c r="CA14" i="40"/>
  <c r="CA12" i="40"/>
  <c r="CA31" i="40"/>
  <c r="CA32" i="40"/>
  <c r="CA13" i="40"/>
  <c r="CA20" i="40"/>
  <c r="CA22" i="40"/>
  <c r="CA21" i="40"/>
  <c r="CA53" i="40"/>
  <c r="CA25" i="40"/>
  <c r="CB10" i="40"/>
  <c r="CB48" i="40" s="1"/>
  <c r="L76" i="24"/>
  <c r="D11" i="7"/>
  <c r="C11" i="1" s="1"/>
  <c r="F11" i="7"/>
  <c r="O11" i="1" s="1"/>
  <c r="E11" i="7"/>
  <c r="I11" i="1" s="1"/>
  <c r="W71" i="1"/>
  <c r="Q71" i="1"/>
  <c r="K71" i="1"/>
  <c r="E71" i="1"/>
  <c r="W70" i="1"/>
  <c r="Q70" i="1"/>
  <c r="K70" i="1"/>
  <c r="E70" i="1"/>
  <c r="W43" i="1"/>
  <c r="W42" i="1"/>
  <c r="Q43" i="1"/>
  <c r="Q42" i="1"/>
  <c r="K43" i="1"/>
  <c r="K42" i="1"/>
  <c r="E43" i="1"/>
  <c r="E42" i="1"/>
  <c r="G8" i="7"/>
  <c r="F8" i="7"/>
  <c r="E8" i="7"/>
  <c r="D8" i="7"/>
  <c r="G35" i="7" l="1"/>
  <c r="G94" i="7" s="1"/>
  <c r="F35" i="7"/>
  <c r="F94" i="7" s="1"/>
  <c r="E35" i="7"/>
  <c r="E94" i="7" s="1"/>
  <c r="D37" i="7"/>
  <c r="D46" i="7" s="1"/>
  <c r="D35" i="7"/>
  <c r="D94" i="7" s="1"/>
  <c r="E37" i="7"/>
  <c r="E46" i="7" s="1"/>
  <c r="F37" i="7"/>
  <c r="F46" i="7" s="1"/>
  <c r="G37" i="7"/>
  <c r="G46" i="7" s="1"/>
  <c r="AZ77" i="46"/>
  <c r="AZ77" i="24"/>
  <c r="CB15" i="40"/>
  <c r="CB17" i="40"/>
  <c r="CB16" i="40"/>
  <c r="CB18" i="40"/>
  <c r="D32" i="7"/>
  <c r="D30" i="7"/>
  <c r="D27" i="7"/>
  <c r="D33" i="7"/>
  <c r="D44" i="7" s="1"/>
  <c r="D31" i="7"/>
  <c r="D28" i="7"/>
  <c r="D29" i="7"/>
  <c r="D34" i="7"/>
  <c r="D42" i="7" s="1"/>
  <c r="D36" i="7"/>
  <c r="F36" i="7"/>
  <c r="F34" i="7"/>
  <c r="E36" i="7"/>
  <c r="E34" i="7"/>
  <c r="G36" i="7"/>
  <c r="G34" i="7"/>
  <c r="G32" i="7"/>
  <c r="G30" i="7"/>
  <c r="G28" i="7"/>
  <c r="G33" i="7"/>
  <c r="G44" i="7" s="1"/>
  <c r="G31" i="7"/>
  <c r="G29" i="7"/>
  <c r="G27" i="7"/>
  <c r="E33" i="7"/>
  <c r="E44" i="7" s="1"/>
  <c r="E31" i="7"/>
  <c r="E29" i="7"/>
  <c r="E27" i="7"/>
  <c r="E32" i="7"/>
  <c r="E30" i="7"/>
  <c r="E28" i="7"/>
  <c r="F32" i="7"/>
  <c r="F30" i="7"/>
  <c r="F28" i="7"/>
  <c r="F33" i="7"/>
  <c r="F44" i="7" s="1"/>
  <c r="F31" i="7"/>
  <c r="F29" i="7"/>
  <c r="F27" i="7"/>
  <c r="AZ68" i="54"/>
  <c r="AZ68" i="46"/>
  <c r="AZ68" i="24"/>
  <c r="AZ68" i="55"/>
  <c r="AZ67" i="54"/>
  <c r="AZ67" i="46"/>
  <c r="AZ67" i="55"/>
  <c r="AZ67" i="24"/>
  <c r="AZ66" i="24"/>
  <c r="AZ66" i="55"/>
  <c r="AZ66" i="54"/>
  <c r="AZ66" i="46"/>
  <c r="AZ69" i="46"/>
  <c r="AZ69" i="24"/>
  <c r="AZ69" i="54"/>
  <c r="AZ69" i="55"/>
  <c r="AZ77" i="54"/>
  <c r="CB36" i="40"/>
  <c r="CB35" i="40"/>
  <c r="CB34" i="40"/>
  <c r="CB33" i="40"/>
  <c r="AZ77" i="55"/>
  <c r="CB55" i="40"/>
  <c r="CB39" i="40"/>
  <c r="CB38" i="40"/>
  <c r="CB37" i="40"/>
  <c r="CB40" i="40"/>
  <c r="AZ64" i="54"/>
  <c r="AZ65" i="54"/>
  <c r="AY79" i="54"/>
  <c r="AZ62" i="54"/>
  <c r="AZ62" i="55"/>
  <c r="AZ62" i="46"/>
  <c r="AZ64" i="46"/>
  <c r="AZ65" i="46"/>
  <c r="AZ63" i="54"/>
  <c r="AZ64" i="55"/>
  <c r="AZ65" i="55"/>
  <c r="AZ63" i="55"/>
  <c r="AZ63" i="46"/>
  <c r="AZ72" i="24"/>
  <c r="AZ72" i="54"/>
  <c r="AZ72" i="46"/>
  <c r="AZ72" i="55"/>
  <c r="AZ74" i="24"/>
  <c r="AZ74" i="55"/>
  <c r="AZ74" i="54"/>
  <c r="AZ74" i="46"/>
  <c r="AZ75" i="24"/>
  <c r="AZ75" i="55"/>
  <c r="AZ75" i="46"/>
  <c r="AZ75" i="54"/>
  <c r="AY79" i="55"/>
  <c r="AZ71" i="24"/>
  <c r="AZ71" i="55"/>
  <c r="AZ71" i="54"/>
  <c r="AZ71" i="46"/>
  <c r="AZ70" i="24"/>
  <c r="AZ70" i="46"/>
  <c r="AZ70" i="55"/>
  <c r="AZ70" i="54"/>
  <c r="AY79" i="46"/>
  <c r="AZ76" i="24"/>
  <c r="AZ76" i="46"/>
  <c r="AZ76" i="54"/>
  <c r="AZ76" i="55"/>
  <c r="AZ73" i="24"/>
  <c r="AZ73" i="46"/>
  <c r="AZ73" i="54"/>
  <c r="AZ73" i="55"/>
  <c r="CB30" i="40"/>
  <c r="CB29" i="40"/>
  <c r="CB28" i="40"/>
  <c r="CB24" i="40"/>
  <c r="CB27" i="40"/>
  <c r="CB23" i="40"/>
  <c r="CB26" i="40"/>
  <c r="CB19" i="40"/>
  <c r="CB41" i="40"/>
  <c r="CB52" i="40"/>
  <c r="CB51" i="40"/>
  <c r="CB42" i="40"/>
  <c r="CB50" i="40"/>
  <c r="CB49" i="40"/>
  <c r="CB46" i="40"/>
  <c r="CB45" i="40"/>
  <c r="CB44" i="40"/>
  <c r="CB43" i="40"/>
  <c r="CB47" i="40"/>
  <c r="CB54" i="40"/>
  <c r="CB11" i="40"/>
  <c r="CB14" i="40"/>
  <c r="CB12" i="40"/>
  <c r="CB13" i="40"/>
  <c r="CB32" i="40"/>
  <c r="CB31" i="40"/>
  <c r="CB20" i="40"/>
  <c r="CB21" i="40"/>
  <c r="CB22" i="40"/>
  <c r="CB53" i="40"/>
  <c r="CB25" i="40"/>
  <c r="G105" i="24"/>
  <c r="E105" i="24" s="1"/>
  <c r="CC10" i="40"/>
  <c r="CC48" i="40" s="1"/>
  <c r="D43" i="7" l="1"/>
  <c r="D41" i="7"/>
  <c r="G93" i="7"/>
  <c r="G92" i="7"/>
  <c r="G102" i="7"/>
  <c r="G100" i="7" s="1"/>
  <c r="U21" i="1" s="1"/>
  <c r="G98" i="7"/>
  <c r="G96" i="7" s="1"/>
  <c r="U19" i="1" s="1"/>
  <c r="F98" i="7"/>
  <c r="F96" i="7" s="1"/>
  <c r="O19" i="1" s="1"/>
  <c r="F93" i="7"/>
  <c r="F92" i="7"/>
  <c r="F102" i="7"/>
  <c r="F100" i="7" s="1"/>
  <c r="O21" i="1" s="1"/>
  <c r="E102" i="7"/>
  <c r="E100" i="7" s="1"/>
  <c r="I21" i="1" s="1"/>
  <c r="E92" i="7"/>
  <c r="E98" i="7"/>
  <c r="E96" i="7" s="1"/>
  <c r="I19" i="1" s="1"/>
  <c r="E93" i="7"/>
  <c r="D102" i="7"/>
  <c r="D100" i="7" s="1"/>
  <c r="C21" i="1" s="1"/>
  <c r="D98" i="7"/>
  <c r="D93" i="7"/>
  <c r="D92" i="7"/>
  <c r="C17" i="1" s="1"/>
  <c r="F45" i="7"/>
  <c r="G26" i="7"/>
  <c r="G45" i="7"/>
  <c r="D40" i="7"/>
  <c r="D26" i="7"/>
  <c r="E26" i="7"/>
  <c r="F26" i="7"/>
  <c r="E45" i="7"/>
  <c r="BA77" i="46"/>
  <c r="BA77" i="24"/>
  <c r="CC16" i="40"/>
  <c r="CC15" i="40"/>
  <c r="CC17" i="40"/>
  <c r="CC18" i="40"/>
  <c r="D45" i="7"/>
  <c r="E40" i="7"/>
  <c r="F40" i="7"/>
  <c r="G40" i="7"/>
  <c r="BA69" i="55"/>
  <c r="BA69" i="54"/>
  <c r="BA69" i="46"/>
  <c r="BA69" i="24"/>
  <c r="BA68" i="55"/>
  <c r="BA68" i="24"/>
  <c r="BA68" i="54"/>
  <c r="BA68" i="46"/>
  <c r="BA66" i="24"/>
  <c r="BA66" i="55"/>
  <c r="BA66" i="46"/>
  <c r="BA66" i="54"/>
  <c r="BA67" i="54"/>
  <c r="BA67" i="46"/>
  <c r="BA67" i="55"/>
  <c r="BA67" i="24"/>
  <c r="BA77" i="54"/>
  <c r="CC33" i="40"/>
  <c r="CC34" i="40"/>
  <c r="CC35" i="40"/>
  <c r="CC36" i="40"/>
  <c r="BA77" i="55"/>
  <c r="CC55" i="40"/>
  <c r="CC39" i="40"/>
  <c r="CC37" i="40"/>
  <c r="CC38" i="40"/>
  <c r="CC40" i="40"/>
  <c r="BA65" i="54"/>
  <c r="BA64" i="54"/>
  <c r="BA76" i="24"/>
  <c r="BA76" i="54"/>
  <c r="BA76" i="46"/>
  <c r="BA76" i="55"/>
  <c r="BA75" i="24"/>
  <c r="BA75" i="46"/>
  <c r="BA75" i="55"/>
  <c r="BA75" i="54"/>
  <c r="BA63" i="46"/>
  <c r="BA62" i="54"/>
  <c r="BA63" i="54"/>
  <c r="BA63" i="55"/>
  <c r="BA64" i="46"/>
  <c r="BA62" i="55"/>
  <c r="BA65" i="55"/>
  <c r="BA65" i="46"/>
  <c r="BA62" i="46"/>
  <c r="BA64" i="55"/>
  <c r="BA73" i="24"/>
  <c r="BA73" i="46"/>
  <c r="BA73" i="55"/>
  <c r="BA73" i="54"/>
  <c r="BA70" i="24"/>
  <c r="BA70" i="46"/>
  <c r="BA70" i="55"/>
  <c r="BA70" i="54"/>
  <c r="BA74" i="24"/>
  <c r="BA74" i="46"/>
  <c r="BA74" i="54"/>
  <c r="BA74" i="55"/>
  <c r="AZ79" i="46"/>
  <c r="BA72" i="24"/>
  <c r="BA72" i="46"/>
  <c r="BA72" i="54"/>
  <c r="BA72" i="55"/>
  <c r="BA71" i="24"/>
  <c r="BA71" i="55"/>
  <c r="BA71" i="46"/>
  <c r="BA71" i="54"/>
  <c r="AZ79" i="54"/>
  <c r="AZ79" i="55"/>
  <c r="CC23" i="40"/>
  <c r="CC27" i="40"/>
  <c r="CC19" i="40"/>
  <c r="CC29" i="40"/>
  <c r="CC28" i="40"/>
  <c r="CC30" i="40"/>
  <c r="CC24" i="40"/>
  <c r="CC26" i="40"/>
  <c r="CC41" i="40"/>
  <c r="CC42" i="40"/>
  <c r="CC50" i="40"/>
  <c r="CC46" i="40"/>
  <c r="CC45" i="40"/>
  <c r="CC44" i="40"/>
  <c r="CC47" i="40"/>
  <c r="CC43" i="40"/>
  <c r="CC52" i="40"/>
  <c r="CC51" i="40"/>
  <c r="CC49" i="40"/>
  <c r="CC54" i="40"/>
  <c r="CC11" i="40"/>
  <c r="CC32" i="40"/>
  <c r="CC12" i="40"/>
  <c r="CC13" i="40"/>
  <c r="CC14" i="40"/>
  <c r="CC31" i="40"/>
  <c r="CC22" i="40"/>
  <c r="CC21" i="40"/>
  <c r="CC20" i="40"/>
  <c r="CC53" i="40"/>
  <c r="CC25" i="40"/>
  <c r="CD10" i="40"/>
  <c r="CD48" i="40" s="1"/>
  <c r="L73" i="24"/>
  <c r="L71" i="24"/>
  <c r="F18" i="7"/>
  <c r="G15" i="7"/>
  <c r="E15" i="7"/>
  <c r="F15" i="7"/>
  <c r="F39" i="7" l="1"/>
  <c r="O23" i="1" s="1"/>
  <c r="G39" i="7"/>
  <c r="U23" i="1" s="1"/>
  <c r="E39" i="7"/>
  <c r="I23" i="1" s="1"/>
  <c r="D39" i="7"/>
  <c r="C23" i="1" s="1"/>
  <c r="BB77" i="46"/>
  <c r="BB77" i="24"/>
  <c r="CD17" i="40"/>
  <c r="CD15" i="40"/>
  <c r="CD16" i="40"/>
  <c r="CD18" i="40"/>
  <c r="I17" i="1"/>
  <c r="E90" i="7"/>
  <c r="I15" i="1" s="1"/>
  <c r="U17" i="1"/>
  <c r="G90" i="7"/>
  <c r="U15" i="1" s="1"/>
  <c r="O17" i="1"/>
  <c r="F90" i="7"/>
  <c r="O15" i="1" s="1"/>
  <c r="BB68" i="55"/>
  <c r="BB68" i="54"/>
  <c r="BB68" i="46"/>
  <c r="BB68" i="24"/>
  <c r="BB69" i="54"/>
  <c r="BB69" i="55"/>
  <c r="BB69" i="46"/>
  <c r="BB69" i="24"/>
  <c r="BB67" i="46"/>
  <c r="BB67" i="54"/>
  <c r="BB67" i="55"/>
  <c r="BB67" i="24"/>
  <c r="BB66" i="24"/>
  <c r="BB66" i="54"/>
  <c r="BB66" i="55"/>
  <c r="BB66" i="46"/>
  <c r="BB77" i="54"/>
  <c r="CD34" i="40"/>
  <c r="CD33" i="40"/>
  <c r="CD36" i="40"/>
  <c r="CD35" i="40"/>
  <c r="BB77" i="55"/>
  <c r="CD55" i="40"/>
  <c r="CD38" i="40"/>
  <c r="CD37" i="40"/>
  <c r="CD40" i="40"/>
  <c r="CD39" i="40"/>
  <c r="BB64" i="54"/>
  <c r="BB65" i="54"/>
  <c r="BB63" i="55"/>
  <c r="BB62" i="46"/>
  <c r="BB64" i="46"/>
  <c r="BB65" i="55"/>
  <c r="BB64" i="55"/>
  <c r="BB62" i="54"/>
  <c r="BB63" i="54"/>
  <c r="BB65" i="46"/>
  <c r="BB62" i="55"/>
  <c r="BB63" i="46"/>
  <c r="BA79" i="46"/>
  <c r="BB70" i="24"/>
  <c r="BB70" i="55"/>
  <c r="BB70" i="54"/>
  <c r="BB70" i="46"/>
  <c r="BB73" i="24"/>
  <c r="BB73" i="46"/>
  <c r="BB73" i="55"/>
  <c r="BB73" i="54"/>
  <c r="BB71" i="24"/>
  <c r="BB71" i="46"/>
  <c r="BB71" i="55"/>
  <c r="BB71" i="54"/>
  <c r="BB76" i="24"/>
  <c r="BB76" i="46"/>
  <c r="BB76" i="55"/>
  <c r="BB76" i="54"/>
  <c r="BB75" i="24"/>
  <c r="BB75" i="46"/>
  <c r="BB75" i="54"/>
  <c r="BB75" i="55"/>
  <c r="BB72" i="24"/>
  <c r="BB72" i="46"/>
  <c r="BB72" i="55"/>
  <c r="BB72" i="54"/>
  <c r="BB74" i="24"/>
  <c r="BB74" i="54"/>
  <c r="BB74" i="46"/>
  <c r="BB74" i="55"/>
  <c r="BA79" i="55"/>
  <c r="BA79" i="54"/>
  <c r="CD24" i="40"/>
  <c r="CD26" i="40"/>
  <c r="CD30" i="40"/>
  <c r="CD29" i="40"/>
  <c r="CD23" i="40"/>
  <c r="CD19" i="40"/>
  <c r="CD27" i="40"/>
  <c r="CD28" i="40"/>
  <c r="CD41" i="40"/>
  <c r="CD44" i="40"/>
  <c r="CD42" i="40"/>
  <c r="CD52" i="40"/>
  <c r="CD47" i="40"/>
  <c r="CD51" i="40"/>
  <c r="CD49" i="40"/>
  <c r="CD46" i="40"/>
  <c r="CD43" i="40"/>
  <c r="CD50" i="40"/>
  <c r="CD45" i="40"/>
  <c r="CD54" i="40"/>
  <c r="CD11" i="40"/>
  <c r="CD31" i="40"/>
  <c r="CD32" i="40"/>
  <c r="CD13" i="40"/>
  <c r="CD14" i="40"/>
  <c r="CD12" i="40"/>
  <c r="CD20" i="40"/>
  <c r="CD22" i="40"/>
  <c r="CD21" i="40"/>
  <c r="CD53" i="40"/>
  <c r="CD25" i="40"/>
  <c r="L72" i="24"/>
  <c r="L75" i="24"/>
  <c r="D96" i="7"/>
  <c r="C19" i="1" s="1"/>
  <c r="L74" i="24"/>
  <c r="D90" i="7"/>
  <c r="C15" i="1" s="1"/>
  <c r="G100" i="24"/>
  <c r="E100" i="24" s="1"/>
  <c r="L70" i="24"/>
  <c r="CE10" i="40"/>
  <c r="CE48" i="40" s="1"/>
  <c r="G102" i="24"/>
  <c r="E102" i="24" s="1"/>
  <c r="S64" i="24"/>
  <c r="BC77" i="46" l="1"/>
  <c r="BC77" i="24"/>
  <c r="CE17" i="40"/>
  <c r="CE15" i="40"/>
  <c r="CE16" i="40"/>
  <c r="CE18" i="40"/>
  <c r="BC68" i="54"/>
  <c r="BC68" i="55"/>
  <c r="BC68" i="24"/>
  <c r="BC68" i="46"/>
  <c r="BC67" i="54"/>
  <c r="BC67" i="46"/>
  <c r="BC67" i="55"/>
  <c r="BC67" i="24"/>
  <c r="BC69" i="24"/>
  <c r="BC69" i="55"/>
  <c r="BC69" i="54"/>
  <c r="BC69" i="46"/>
  <c r="BC66" i="24"/>
  <c r="BC66" i="54"/>
  <c r="BC66" i="55"/>
  <c r="BC66" i="46"/>
  <c r="BC77" i="54"/>
  <c r="CE35" i="40"/>
  <c r="CE36" i="40"/>
  <c r="CE33" i="40"/>
  <c r="CE34" i="40"/>
  <c r="BC77" i="55"/>
  <c r="CE55" i="40"/>
  <c r="CE39" i="40"/>
  <c r="CE40" i="40"/>
  <c r="CE37" i="40"/>
  <c r="CE38" i="40"/>
  <c r="BC64" i="54"/>
  <c r="BC65" i="54"/>
  <c r="BC72" i="24"/>
  <c r="BC72" i="46"/>
  <c r="BC72" i="55"/>
  <c r="BC72" i="54"/>
  <c r="BC73" i="24"/>
  <c r="BC73" i="54"/>
  <c r="BC73" i="46"/>
  <c r="BC73" i="55"/>
  <c r="BC76" i="24"/>
  <c r="BC76" i="46"/>
  <c r="BC76" i="55"/>
  <c r="BC76" i="54"/>
  <c r="BC74" i="24"/>
  <c r="BC74" i="55"/>
  <c r="BC74" i="46"/>
  <c r="BC74" i="54"/>
  <c r="BC75" i="24"/>
  <c r="BC75" i="46"/>
  <c r="BC75" i="55"/>
  <c r="BC75" i="54"/>
  <c r="BB79" i="54"/>
  <c r="BB79" i="46"/>
  <c r="BC71" i="24"/>
  <c r="BC71" i="46"/>
  <c r="BC71" i="55"/>
  <c r="BC71" i="54"/>
  <c r="BC70" i="24"/>
  <c r="BC70" i="46"/>
  <c r="BC70" i="55"/>
  <c r="BC70" i="54"/>
  <c r="BC63" i="55"/>
  <c r="BC65" i="46"/>
  <c r="BC62" i="55"/>
  <c r="BC63" i="46"/>
  <c r="BC62" i="54"/>
  <c r="BC64" i="46"/>
  <c r="BC63" i="54"/>
  <c r="BC62" i="46"/>
  <c r="BC64" i="55"/>
  <c r="BC65" i="55"/>
  <c r="BB79" i="55"/>
  <c r="AT62" i="24"/>
  <c r="AD62" i="24"/>
  <c r="AO62" i="24"/>
  <c r="U62" i="24"/>
  <c r="AM62" i="24"/>
  <c r="AZ62" i="24"/>
  <c r="T62" i="24"/>
  <c r="AA62" i="24"/>
  <c r="AV62" i="24"/>
  <c r="BC62" i="24"/>
  <c r="S62" i="24"/>
  <c r="BB62" i="24"/>
  <c r="BA62" i="24"/>
  <c r="AI62" i="24"/>
  <c r="AY62" i="24"/>
  <c r="AE62" i="24"/>
  <c r="AX62" i="24"/>
  <c r="AH62" i="24"/>
  <c r="AS62" i="24"/>
  <c r="Y62" i="24"/>
  <c r="AB62" i="24"/>
  <c r="AQ62" i="24"/>
  <c r="X62" i="24"/>
  <c r="AW62" i="24"/>
  <c r="AP62" i="24"/>
  <c r="Z62" i="24"/>
  <c r="AK62" i="24"/>
  <c r="W62" i="24"/>
  <c r="AR62" i="24"/>
  <c r="AN62" i="24"/>
  <c r="AU62" i="24"/>
  <c r="AG62" i="24"/>
  <c r="AL62" i="24"/>
  <c r="V62" i="24"/>
  <c r="AC62" i="24"/>
  <c r="AJ62" i="24"/>
  <c r="AF62" i="24"/>
  <c r="AY63" i="24"/>
  <c r="AA63" i="24"/>
  <c r="AN63" i="24"/>
  <c r="X63" i="24"/>
  <c r="AE63" i="24"/>
  <c r="AG63" i="24"/>
  <c r="Z63" i="24"/>
  <c r="AL63" i="24"/>
  <c r="S63" i="24"/>
  <c r="BA63" i="24"/>
  <c r="V63" i="24"/>
  <c r="AU63" i="24"/>
  <c r="AZ63" i="24"/>
  <c r="AJ63" i="24"/>
  <c r="T63" i="24"/>
  <c r="W63" i="24"/>
  <c r="Y63" i="24"/>
  <c r="AX63" i="24"/>
  <c r="AD63" i="24"/>
  <c r="AC63" i="24"/>
  <c r="AQ63" i="24"/>
  <c r="AF63" i="24"/>
  <c r="AP63" i="24"/>
  <c r="U63" i="24"/>
  <c r="BC63" i="24"/>
  <c r="AI63" i="24"/>
  <c r="AR63" i="24"/>
  <c r="AB63" i="24"/>
  <c r="AM63" i="24"/>
  <c r="AO63" i="24"/>
  <c r="AK63" i="24"/>
  <c r="AH63" i="24"/>
  <c r="AT63" i="24"/>
  <c r="AS63" i="24"/>
  <c r="AV63" i="24"/>
  <c r="AW63" i="24"/>
  <c r="BB63" i="24"/>
  <c r="AI65" i="24"/>
  <c r="BB65" i="24"/>
  <c r="AL65" i="24"/>
  <c r="V65" i="24"/>
  <c r="AN65" i="24"/>
  <c r="X65" i="24"/>
  <c r="AQ65" i="24"/>
  <c r="W65" i="24"/>
  <c r="U65" i="24"/>
  <c r="Y65" i="24"/>
  <c r="S65" i="24"/>
  <c r="BA65" i="24"/>
  <c r="AW65" i="24"/>
  <c r="AP65" i="24"/>
  <c r="AB65" i="24"/>
  <c r="AA65" i="24"/>
  <c r="AO65" i="24"/>
  <c r="AG65" i="24"/>
  <c r="AX65" i="24"/>
  <c r="AH65" i="24"/>
  <c r="AZ65" i="24"/>
  <c r="AJ65" i="24"/>
  <c r="T65" i="24"/>
  <c r="BC65" i="24"/>
  <c r="AM65" i="24"/>
  <c r="AS65" i="24"/>
  <c r="AV65" i="24"/>
  <c r="AF65" i="24"/>
  <c r="AY65" i="24"/>
  <c r="AE65" i="24"/>
  <c r="AC65" i="24"/>
  <c r="Z65" i="24"/>
  <c r="AR65" i="24"/>
  <c r="AU65" i="24"/>
  <c r="AK65" i="24"/>
  <c r="AT65" i="24"/>
  <c r="AD65" i="24"/>
  <c r="AW64" i="24"/>
  <c r="AG64" i="24"/>
  <c r="AZ64" i="24"/>
  <c r="AJ64" i="24"/>
  <c r="AX64" i="24"/>
  <c r="AH64" i="24"/>
  <c r="AM64" i="24"/>
  <c r="AQ64" i="24"/>
  <c r="AI64" i="24"/>
  <c r="Y64" i="24"/>
  <c r="AB64" i="24"/>
  <c r="AP64" i="24"/>
  <c r="AE64" i="24"/>
  <c r="AS64" i="24"/>
  <c r="AC64" i="24"/>
  <c r="AV64" i="24"/>
  <c r="AF64" i="24"/>
  <c r="AT64" i="24"/>
  <c r="AD64" i="24"/>
  <c r="W64" i="24"/>
  <c r="AA64" i="24"/>
  <c r="BA64" i="24"/>
  <c r="AK64" i="24"/>
  <c r="U64" i="24"/>
  <c r="AN64" i="24"/>
  <c r="X64" i="24"/>
  <c r="BB64" i="24"/>
  <c r="AL64" i="24"/>
  <c r="V64" i="24"/>
  <c r="BC64" i="24"/>
  <c r="AY64" i="24"/>
  <c r="AO64" i="24"/>
  <c r="AR64" i="24"/>
  <c r="Z64" i="24"/>
  <c r="T64" i="24"/>
  <c r="AU64" i="24"/>
  <c r="CE19" i="40"/>
  <c r="CE29" i="40"/>
  <c r="CE30" i="40"/>
  <c r="CE28" i="40"/>
  <c r="CE27" i="40"/>
  <c r="CE26" i="40"/>
  <c r="CE24" i="40"/>
  <c r="CE23" i="40"/>
  <c r="CE43" i="40"/>
  <c r="CE52" i="40"/>
  <c r="CE51" i="40"/>
  <c r="CE41" i="40"/>
  <c r="CE49" i="40"/>
  <c r="CE42" i="40"/>
  <c r="CE44" i="40"/>
  <c r="CE50" i="40"/>
  <c r="CE46" i="40"/>
  <c r="CE45" i="40"/>
  <c r="CE47" i="40"/>
  <c r="CE54" i="40"/>
  <c r="CE11" i="40"/>
  <c r="CE32" i="40"/>
  <c r="CE31" i="40"/>
  <c r="CE13" i="40"/>
  <c r="CE12" i="40"/>
  <c r="CE14" i="40"/>
  <c r="CE22" i="40"/>
  <c r="CE20" i="40"/>
  <c r="CE21" i="40"/>
  <c r="CE53" i="40"/>
  <c r="CE25" i="40"/>
  <c r="G104" i="24"/>
  <c r="E104" i="24" s="1"/>
  <c r="G101" i="24"/>
  <c r="E101" i="24" s="1"/>
  <c r="G103" i="24"/>
  <c r="E103" i="24" s="1"/>
  <c r="G99" i="24"/>
  <c r="E99" i="24" s="1"/>
  <c r="CF10" i="40"/>
  <c r="CF48" i="40" s="1"/>
  <c r="L63" i="24"/>
  <c r="G92" i="24" s="1"/>
  <c r="E92" i="24" s="1"/>
  <c r="L64" i="24"/>
  <c r="G93" i="24" s="1"/>
  <c r="E93" i="24" s="1"/>
  <c r="L62" i="24"/>
  <c r="L65" i="24"/>
  <c r="G94" i="24" s="1"/>
  <c r="E94" i="24" s="1"/>
  <c r="G18" i="7"/>
  <c r="AN79" i="24" l="1"/>
  <c r="BD77" i="46"/>
  <c r="BD77" i="24"/>
  <c r="AQ79" i="24"/>
  <c r="AI79" i="24"/>
  <c r="AZ79" i="24"/>
  <c r="AR79" i="24"/>
  <c r="AB79" i="24"/>
  <c r="AJ79" i="24"/>
  <c r="AM79" i="24"/>
  <c r="BB79" i="24"/>
  <c r="AC79" i="24"/>
  <c r="AK79" i="24"/>
  <c r="AS79" i="24"/>
  <c r="AO79" i="24"/>
  <c r="V79" i="24"/>
  <c r="Z79" i="24"/>
  <c r="AH79" i="24"/>
  <c r="BC79" i="24"/>
  <c r="AD79" i="24"/>
  <c r="AF79" i="24"/>
  <c r="BA79" i="24"/>
  <c r="W79" i="24"/>
  <c r="AL79" i="24"/>
  <c r="AV79" i="24"/>
  <c r="AG79" i="24"/>
  <c r="AW79" i="24"/>
  <c r="AE79" i="24"/>
  <c r="AA79" i="24"/>
  <c r="Y79" i="24"/>
  <c r="U79" i="24"/>
  <c r="AP79" i="24"/>
  <c r="AX79" i="24"/>
  <c r="AT79" i="24"/>
  <c r="AU79" i="24"/>
  <c r="X79" i="24"/>
  <c r="AY79" i="24"/>
  <c r="T79" i="24"/>
  <c r="S79" i="24"/>
  <c r="CF17" i="40"/>
  <c r="CF15" i="40"/>
  <c r="CF16" i="40"/>
  <c r="CF18" i="40"/>
  <c r="BD69" i="55"/>
  <c r="BD69" i="54"/>
  <c r="BD69" i="46"/>
  <c r="BD69" i="24"/>
  <c r="BD67" i="46"/>
  <c r="BD67" i="54"/>
  <c r="BD67" i="55"/>
  <c r="BD67" i="24"/>
  <c r="BD66" i="24"/>
  <c r="BD66" i="54"/>
  <c r="BD66" i="55"/>
  <c r="BD66" i="46"/>
  <c r="BD68" i="55"/>
  <c r="BD68" i="24"/>
  <c r="BD68" i="54"/>
  <c r="BD68" i="46"/>
  <c r="BD77" i="54"/>
  <c r="CF36" i="40"/>
  <c r="CF35" i="40"/>
  <c r="CF34" i="40"/>
  <c r="CF33" i="40"/>
  <c r="BD77" i="55"/>
  <c r="CF55" i="40"/>
  <c r="CF39" i="40"/>
  <c r="CF38" i="40"/>
  <c r="CF37" i="40"/>
  <c r="CF40" i="40"/>
  <c r="G91" i="24"/>
  <c r="E91" i="24" s="1"/>
  <c r="L79" i="24"/>
  <c r="BD65" i="24"/>
  <c r="BD64" i="54"/>
  <c r="BD65" i="54"/>
  <c r="BD74" i="24"/>
  <c r="BD74" i="54"/>
  <c r="BD74" i="46"/>
  <c r="BD74" i="55"/>
  <c r="BD72" i="24"/>
  <c r="BD72" i="54"/>
  <c r="BD72" i="46"/>
  <c r="BD72" i="55"/>
  <c r="BC79" i="54"/>
  <c r="BD76" i="24"/>
  <c r="BD76" i="46"/>
  <c r="BD76" i="54"/>
  <c r="BD76" i="55"/>
  <c r="BD70" i="24"/>
  <c r="BD70" i="46"/>
  <c r="BD70" i="55"/>
  <c r="BD70" i="54"/>
  <c r="BD75" i="24"/>
  <c r="BD75" i="46"/>
  <c r="BD75" i="55"/>
  <c r="BD75" i="54"/>
  <c r="BC79" i="46"/>
  <c r="BD73" i="24"/>
  <c r="BD73" i="46"/>
  <c r="BD73" i="55"/>
  <c r="BD73" i="54"/>
  <c r="BD62" i="24"/>
  <c r="BD64" i="55"/>
  <c r="BD62" i="46"/>
  <c r="BD64" i="46"/>
  <c r="BD65" i="46"/>
  <c r="BD63" i="54"/>
  <c r="BD63" i="55"/>
  <c r="BD62" i="54"/>
  <c r="BD63" i="46"/>
  <c r="BD62" i="55"/>
  <c r="BD65" i="55"/>
  <c r="BD71" i="24"/>
  <c r="BD71" i="46"/>
  <c r="BD71" i="55"/>
  <c r="BD71" i="54"/>
  <c r="BC79" i="55"/>
  <c r="BD63" i="24"/>
  <c r="BD64" i="24"/>
  <c r="D17" i="23"/>
  <c r="D20" i="23" s="1"/>
  <c r="CF24" i="40"/>
  <c r="CF29" i="40"/>
  <c r="CF28" i="40"/>
  <c r="CF30" i="40"/>
  <c r="CF27" i="40"/>
  <c r="CF23" i="40"/>
  <c r="CF26" i="40"/>
  <c r="CF19" i="40"/>
  <c r="CF43" i="40"/>
  <c r="CF41" i="40"/>
  <c r="CF44" i="40"/>
  <c r="CF46" i="40"/>
  <c r="CF45" i="40"/>
  <c r="CF42" i="40"/>
  <c r="CF51" i="40"/>
  <c r="CF49" i="40"/>
  <c r="CF52" i="40"/>
  <c r="CF47" i="40"/>
  <c r="CF50" i="40"/>
  <c r="CF54" i="40"/>
  <c r="CF11" i="40"/>
  <c r="CF14" i="40"/>
  <c r="CF12" i="40"/>
  <c r="CF13" i="40"/>
  <c r="CF32" i="40"/>
  <c r="CF31" i="40"/>
  <c r="CF20" i="40"/>
  <c r="CF22" i="40"/>
  <c r="CF21" i="40"/>
  <c r="CF53" i="40"/>
  <c r="CF25" i="40"/>
  <c r="CG10" i="40"/>
  <c r="CG48" i="40" s="1"/>
  <c r="L109" i="24"/>
  <c r="C29" i="23" s="1"/>
  <c r="BE77" i="46" l="1"/>
  <c r="BE77" i="24"/>
  <c r="BD79" i="24"/>
  <c r="CG16" i="40"/>
  <c r="CG17" i="40"/>
  <c r="CG15" i="40"/>
  <c r="CG18" i="40"/>
  <c r="E18" i="7"/>
  <c r="BE69" i="46"/>
  <c r="BE69" i="55"/>
  <c r="BE69" i="54"/>
  <c r="BE69" i="24"/>
  <c r="BE68" i="54"/>
  <c r="BE68" i="46"/>
  <c r="BE68" i="24"/>
  <c r="BE68" i="55"/>
  <c r="BE67" i="46"/>
  <c r="BE67" i="54"/>
  <c r="BE67" i="55"/>
  <c r="BE67" i="24"/>
  <c r="BE66" i="24"/>
  <c r="BE66" i="46"/>
  <c r="BE66" i="55"/>
  <c r="BE66" i="54"/>
  <c r="BE77" i="54"/>
  <c r="CG33" i="40"/>
  <c r="CG34" i="40"/>
  <c r="CG35" i="40"/>
  <c r="CG36" i="40"/>
  <c r="BE77" i="55"/>
  <c r="CG55" i="40"/>
  <c r="CG39" i="40"/>
  <c r="CG37" i="40"/>
  <c r="CG38" i="40"/>
  <c r="CG40" i="40"/>
  <c r="G108" i="24"/>
  <c r="C16" i="23" s="1"/>
  <c r="BE64" i="54"/>
  <c r="BE65" i="54"/>
  <c r="BD79" i="55"/>
  <c r="BE74" i="24"/>
  <c r="BE74" i="55"/>
  <c r="BE74" i="54"/>
  <c r="BE74" i="46"/>
  <c r="BE71" i="24"/>
  <c r="BE71" i="46"/>
  <c r="BE71" i="55"/>
  <c r="BE71" i="54"/>
  <c r="BE75" i="24"/>
  <c r="BE75" i="55"/>
  <c r="BE75" i="46"/>
  <c r="BE75" i="54"/>
  <c r="BE64" i="46"/>
  <c r="BE62" i="54"/>
  <c r="BE65" i="46"/>
  <c r="BE65" i="55"/>
  <c r="BE62" i="46"/>
  <c r="BE62" i="55"/>
  <c r="BE63" i="46"/>
  <c r="BE64" i="55"/>
  <c r="BE63" i="55"/>
  <c r="BE63" i="54"/>
  <c r="BE72" i="24"/>
  <c r="BE72" i="54"/>
  <c r="BE72" i="46"/>
  <c r="BE72" i="55"/>
  <c r="BD79" i="54"/>
  <c r="BE73" i="24"/>
  <c r="BE73" i="54"/>
  <c r="BE73" i="46"/>
  <c r="BE73" i="55"/>
  <c r="BE76" i="24"/>
  <c r="BE76" i="55"/>
  <c r="BE76" i="54"/>
  <c r="BE76" i="46"/>
  <c r="BE70" i="24"/>
  <c r="BE70" i="46"/>
  <c r="BE70" i="55"/>
  <c r="BE70" i="54"/>
  <c r="BD79" i="46"/>
  <c r="BE63" i="24"/>
  <c r="BE62" i="24"/>
  <c r="BE64" i="24"/>
  <c r="BE65" i="24"/>
  <c r="CG19" i="40"/>
  <c r="CG30" i="40"/>
  <c r="CG26" i="40"/>
  <c r="CG29" i="40"/>
  <c r="CG28" i="40"/>
  <c r="CG24" i="40"/>
  <c r="CG27" i="40"/>
  <c r="CG23" i="40"/>
  <c r="CG43" i="40"/>
  <c r="CG50" i="40"/>
  <c r="CG41" i="40"/>
  <c r="CG44" i="40"/>
  <c r="CG52" i="40"/>
  <c r="CG51" i="40"/>
  <c r="CG47" i="40"/>
  <c r="CG49" i="40"/>
  <c r="CG42" i="40"/>
  <c r="CG46" i="40"/>
  <c r="CG45" i="40"/>
  <c r="CG54" i="40"/>
  <c r="CG11" i="40"/>
  <c r="CG31" i="40"/>
  <c r="CG12" i="40"/>
  <c r="CG32" i="40"/>
  <c r="CG14" i="40"/>
  <c r="CG13" i="40"/>
  <c r="CG20" i="40"/>
  <c r="CG21" i="40"/>
  <c r="CG22" i="40"/>
  <c r="CG53" i="40"/>
  <c r="CG25" i="40"/>
  <c r="CH10" i="40"/>
  <c r="CH48" i="40" s="1"/>
  <c r="G16" i="7"/>
  <c r="E16" i="7"/>
  <c r="D16" i="7"/>
  <c r="F16" i="7"/>
  <c r="BF77" i="46" l="1"/>
  <c r="BF77" i="24"/>
  <c r="BE79" i="24"/>
  <c r="CH17" i="40"/>
  <c r="CH15" i="40"/>
  <c r="CH16" i="40"/>
  <c r="CH18" i="40"/>
  <c r="C17" i="23"/>
  <c r="BF69" i="55"/>
  <c r="BF69" i="46"/>
  <c r="BF69" i="54"/>
  <c r="BF69" i="24"/>
  <c r="BF68" i="55"/>
  <c r="BF68" i="46"/>
  <c r="BF68" i="24"/>
  <c r="BF68" i="54"/>
  <c r="BF66" i="24"/>
  <c r="BF66" i="55"/>
  <c r="BF66" i="54"/>
  <c r="BF66" i="46"/>
  <c r="BF67" i="46"/>
  <c r="BF67" i="54"/>
  <c r="BF67" i="55"/>
  <c r="BF67" i="24"/>
  <c r="BF77" i="54"/>
  <c r="CH34" i="40"/>
  <c r="CH33" i="40"/>
  <c r="CH36" i="40"/>
  <c r="CH35" i="40"/>
  <c r="BF77" i="55"/>
  <c r="CH55" i="40"/>
  <c r="CH38" i="40"/>
  <c r="CH37" i="40"/>
  <c r="CH40" i="40"/>
  <c r="CH39" i="40"/>
  <c r="D18" i="7"/>
  <c r="BF64" i="54"/>
  <c r="BF65" i="54"/>
  <c r="BF71" i="24"/>
  <c r="BF71" i="46"/>
  <c r="BF71" i="54"/>
  <c r="BF71" i="55"/>
  <c r="BF62" i="54"/>
  <c r="BF65" i="55"/>
  <c r="BF63" i="55"/>
  <c r="BF64" i="46"/>
  <c r="BF63" i="54"/>
  <c r="BF62" i="55"/>
  <c r="BF64" i="55"/>
  <c r="BF65" i="46"/>
  <c r="BF62" i="46"/>
  <c r="BF63" i="46"/>
  <c r="BF74" i="24"/>
  <c r="BF74" i="54"/>
  <c r="BF74" i="46"/>
  <c r="BF74" i="55"/>
  <c r="BF73" i="24"/>
  <c r="BF73" i="54"/>
  <c r="BF73" i="55"/>
  <c r="BF73" i="46"/>
  <c r="BE79" i="55"/>
  <c r="BE79" i="54"/>
  <c r="BF76" i="24"/>
  <c r="BF76" i="54"/>
  <c r="BF76" i="46"/>
  <c r="BF76" i="55"/>
  <c r="BF75" i="24"/>
  <c r="BF75" i="46"/>
  <c r="BF75" i="54"/>
  <c r="BF75" i="55"/>
  <c r="BF70" i="24"/>
  <c r="BF70" i="46"/>
  <c r="BF70" i="54"/>
  <c r="BF70" i="55"/>
  <c r="BF72" i="24"/>
  <c r="BF72" i="46"/>
  <c r="BF72" i="55"/>
  <c r="BF72" i="54"/>
  <c r="BE79" i="46"/>
  <c r="BF62" i="24"/>
  <c r="BF63" i="24"/>
  <c r="BF65" i="24"/>
  <c r="BF64" i="24"/>
  <c r="CH28" i="40"/>
  <c r="CH24" i="40"/>
  <c r="CH30" i="40"/>
  <c r="CH23" i="40"/>
  <c r="CH29" i="40"/>
  <c r="CH27" i="40"/>
  <c r="CH26" i="40"/>
  <c r="CH19" i="40"/>
  <c r="CH42" i="40"/>
  <c r="CH52" i="40"/>
  <c r="CH44" i="40"/>
  <c r="CH49" i="40"/>
  <c r="CH43" i="40"/>
  <c r="CH51" i="40"/>
  <c r="CH50" i="40"/>
  <c r="CH47" i="40"/>
  <c r="CH45" i="40"/>
  <c r="CH46" i="40"/>
  <c r="CH41" i="40"/>
  <c r="CH54" i="40"/>
  <c r="CH11" i="40"/>
  <c r="CH31" i="40"/>
  <c r="CH32" i="40"/>
  <c r="CH14" i="40"/>
  <c r="CH13" i="40"/>
  <c r="CH12" i="40"/>
  <c r="CH22" i="40"/>
  <c r="CH21" i="40"/>
  <c r="CH20" i="40"/>
  <c r="CH53" i="40"/>
  <c r="CH25" i="40"/>
  <c r="CI10" i="40"/>
  <c r="CI48" i="40" s="1"/>
  <c r="BG77" i="46" l="1"/>
  <c r="BG77" i="24"/>
  <c r="BF79" i="24"/>
  <c r="CI16" i="40"/>
  <c r="CI15" i="40"/>
  <c r="CI17" i="40"/>
  <c r="CI18" i="40"/>
  <c r="BG68" i="55"/>
  <c r="BG68" i="46"/>
  <c r="BG68" i="54"/>
  <c r="BG68" i="24"/>
  <c r="BG66" i="24"/>
  <c r="BG66" i="55"/>
  <c r="BG66" i="54"/>
  <c r="BG66" i="46"/>
  <c r="BG67" i="46"/>
  <c r="BG67" i="54"/>
  <c r="BG67" i="55"/>
  <c r="BG67" i="24"/>
  <c r="BG69" i="55"/>
  <c r="BG69" i="54"/>
  <c r="BG69" i="46"/>
  <c r="BG69" i="24"/>
  <c r="BG77" i="54"/>
  <c r="CI35" i="40"/>
  <c r="CI36" i="40"/>
  <c r="CI33" i="40"/>
  <c r="CI34" i="40"/>
  <c r="BG77" i="55"/>
  <c r="CI55" i="40"/>
  <c r="CI39" i="40"/>
  <c r="CI40" i="40"/>
  <c r="CI37" i="40"/>
  <c r="CI38" i="40"/>
  <c r="BG64" i="54"/>
  <c r="BG65" i="54"/>
  <c r="BG72" i="24"/>
  <c r="BG72" i="54"/>
  <c r="BG72" i="55"/>
  <c r="BG72" i="46"/>
  <c r="BG76" i="24"/>
  <c r="BG76" i="54"/>
  <c r="BG76" i="55"/>
  <c r="BG76" i="46"/>
  <c r="BG74" i="24"/>
  <c r="BG74" i="55"/>
  <c r="BG74" i="54"/>
  <c r="BG74" i="46"/>
  <c r="BG65" i="55"/>
  <c r="BG64" i="46"/>
  <c r="BG62" i="46"/>
  <c r="BG65" i="46"/>
  <c r="BG64" i="55"/>
  <c r="BG63" i="46"/>
  <c r="BG63" i="55"/>
  <c r="BG62" i="55"/>
  <c r="BG62" i="54"/>
  <c r="BG63" i="54"/>
  <c r="BG71" i="24"/>
  <c r="BG71" i="55"/>
  <c r="BG71" i="54"/>
  <c r="BG71" i="46"/>
  <c r="BG75" i="24"/>
  <c r="BG75" i="55"/>
  <c r="BG75" i="46"/>
  <c r="BG75" i="54"/>
  <c r="BF79" i="55"/>
  <c r="BG73" i="24"/>
  <c r="BG73" i="54"/>
  <c r="BG73" i="55"/>
  <c r="BG73" i="46"/>
  <c r="BG70" i="24"/>
  <c r="BG70" i="46"/>
  <c r="BG70" i="55"/>
  <c r="BG70" i="54"/>
  <c r="BF79" i="46"/>
  <c r="BF79" i="54"/>
  <c r="BG63" i="24"/>
  <c r="BG62" i="24"/>
  <c r="BG65" i="24"/>
  <c r="BG64" i="24"/>
  <c r="CI19" i="40"/>
  <c r="CI30" i="40"/>
  <c r="CI28" i="40"/>
  <c r="CI29" i="40"/>
  <c r="CI27" i="40"/>
  <c r="CI26" i="40"/>
  <c r="CI24" i="40"/>
  <c r="CI23" i="40"/>
  <c r="CI42" i="40"/>
  <c r="CI43" i="40"/>
  <c r="CI45" i="40"/>
  <c r="CI41" i="40"/>
  <c r="CI50" i="40"/>
  <c r="CI52" i="40"/>
  <c r="CI51" i="40"/>
  <c r="CI49" i="40"/>
  <c r="CI46" i="40"/>
  <c r="CI47" i="40"/>
  <c r="CI44" i="40"/>
  <c r="CI54" i="40"/>
  <c r="CI11" i="40"/>
  <c r="CI14" i="40"/>
  <c r="CI12" i="40"/>
  <c r="CI31" i="40"/>
  <c r="CI32" i="40"/>
  <c r="CI13" i="40"/>
  <c r="CI22" i="40"/>
  <c r="CI21" i="40"/>
  <c r="CI20" i="40"/>
  <c r="CI53" i="40"/>
  <c r="CI25" i="40"/>
  <c r="CJ10" i="40"/>
  <c r="CJ48" i="40" s="1"/>
  <c r="BH77" i="46" l="1"/>
  <c r="BH77" i="24"/>
  <c r="BG79" i="24"/>
  <c r="CJ16" i="40"/>
  <c r="CJ17" i="40"/>
  <c r="CJ15" i="40"/>
  <c r="CJ18" i="40"/>
  <c r="BH69" i="55"/>
  <c r="BH69" i="24"/>
  <c r="BH69" i="54"/>
  <c r="BH69" i="46"/>
  <c r="BH68" i="54"/>
  <c r="BH68" i="46"/>
  <c r="BH68" i="24"/>
  <c r="BH68" i="55"/>
  <c r="BH66" i="24"/>
  <c r="BH66" i="55"/>
  <c r="BH66" i="46"/>
  <c r="BH66" i="54"/>
  <c r="BH67" i="46"/>
  <c r="BH67" i="54"/>
  <c r="BH67" i="55"/>
  <c r="BH67" i="24"/>
  <c r="BH77" i="54"/>
  <c r="CJ36" i="40"/>
  <c r="CJ35" i="40"/>
  <c r="CJ34" i="40"/>
  <c r="CJ33" i="40"/>
  <c r="BH77" i="55"/>
  <c r="CJ55" i="40"/>
  <c r="CJ39" i="40"/>
  <c r="CJ38" i="40"/>
  <c r="CJ37" i="40"/>
  <c r="CJ40" i="40"/>
  <c r="BH64" i="54"/>
  <c r="BH65" i="54"/>
  <c r="BH71" i="24"/>
  <c r="BH71" i="55"/>
  <c r="BH71" i="54"/>
  <c r="BH71" i="46"/>
  <c r="BG79" i="55"/>
  <c r="BH73" i="24"/>
  <c r="BH73" i="54"/>
  <c r="BH73" i="46"/>
  <c r="BH73" i="55"/>
  <c r="BG79" i="46"/>
  <c r="BH75" i="24"/>
  <c r="BH75" i="46"/>
  <c r="BH75" i="55"/>
  <c r="BH75" i="54"/>
  <c r="BH64" i="55"/>
  <c r="BH63" i="55"/>
  <c r="BH65" i="46"/>
  <c r="BH63" i="54"/>
  <c r="BH63" i="46"/>
  <c r="BH65" i="55"/>
  <c r="BH64" i="46"/>
  <c r="BH62" i="54"/>
  <c r="BH62" i="46"/>
  <c r="BH62" i="55"/>
  <c r="BH74" i="24"/>
  <c r="BH74" i="55"/>
  <c r="BH74" i="54"/>
  <c r="BH74" i="46"/>
  <c r="BH76" i="24"/>
  <c r="BH76" i="46"/>
  <c r="BH76" i="54"/>
  <c r="BH76" i="55"/>
  <c r="BH72" i="24"/>
  <c r="BH72" i="46"/>
  <c r="BH72" i="55"/>
  <c r="BH72" i="54"/>
  <c r="BH70" i="24"/>
  <c r="BH70" i="46"/>
  <c r="BH70" i="55"/>
  <c r="BH70" i="54"/>
  <c r="BG79" i="54"/>
  <c r="BH63" i="24"/>
  <c r="BH62" i="24"/>
  <c r="BH65" i="24"/>
  <c r="BH64" i="24"/>
  <c r="CJ24" i="40"/>
  <c r="CJ29" i="40"/>
  <c r="CJ28" i="40"/>
  <c r="CJ26" i="40"/>
  <c r="CJ19" i="40"/>
  <c r="CJ30" i="40"/>
  <c r="CJ27" i="40"/>
  <c r="CJ23" i="40"/>
  <c r="CJ42" i="40"/>
  <c r="CJ41" i="40"/>
  <c r="CJ44" i="40"/>
  <c r="CJ52" i="40"/>
  <c r="CJ51" i="40"/>
  <c r="CJ50" i="40"/>
  <c r="CJ47" i="40"/>
  <c r="CJ45" i="40"/>
  <c r="CJ43" i="40"/>
  <c r="CJ49" i="40"/>
  <c r="CJ46" i="40"/>
  <c r="CJ54" i="40"/>
  <c r="CJ11" i="40"/>
  <c r="CJ12" i="40"/>
  <c r="CJ14" i="40"/>
  <c r="CJ31" i="40"/>
  <c r="CJ32" i="40"/>
  <c r="CJ13" i="40"/>
  <c r="CJ21" i="40"/>
  <c r="CJ22" i="40"/>
  <c r="CJ20" i="40"/>
  <c r="CJ53" i="40"/>
  <c r="CJ25" i="40"/>
  <c r="CK10" i="40"/>
  <c r="CK48" i="40" s="1"/>
  <c r="BI77" i="46" l="1"/>
  <c r="BI77" i="24"/>
  <c r="BH79" i="24"/>
  <c r="CK17" i="40"/>
  <c r="CK15" i="40"/>
  <c r="CK16" i="40"/>
  <c r="CK18" i="40"/>
  <c r="BI69" i="55"/>
  <c r="BI69" i="54"/>
  <c r="BI69" i="46"/>
  <c r="BI69" i="24"/>
  <c r="BI67" i="46"/>
  <c r="BI67" i="54"/>
  <c r="BI67" i="55"/>
  <c r="BI67" i="24"/>
  <c r="BI66" i="24"/>
  <c r="BI66" i="55"/>
  <c r="BI66" i="54"/>
  <c r="BI66" i="46"/>
  <c r="BI68" i="55"/>
  <c r="BI68" i="24"/>
  <c r="BI68" i="54"/>
  <c r="BI68" i="46"/>
  <c r="BI77" i="54"/>
  <c r="CK33" i="40"/>
  <c r="CK34" i="40"/>
  <c r="CK35" i="40"/>
  <c r="CK36" i="40"/>
  <c r="BI77" i="55"/>
  <c r="CK55" i="40"/>
  <c r="CK39" i="40"/>
  <c r="CK37" i="40"/>
  <c r="CK38" i="40"/>
  <c r="CK40" i="40"/>
  <c r="BI64" i="54"/>
  <c r="BI65" i="54"/>
  <c r="BI71" i="24"/>
  <c r="BI71" i="46"/>
  <c r="BI71" i="55"/>
  <c r="BI71" i="54"/>
  <c r="BH79" i="55"/>
  <c r="BI76" i="24"/>
  <c r="BI76" i="46"/>
  <c r="BI76" i="54"/>
  <c r="BI76" i="55"/>
  <c r="BI73" i="24"/>
  <c r="BI73" i="46"/>
  <c r="BI73" i="54"/>
  <c r="BI73" i="55"/>
  <c r="BH79" i="46"/>
  <c r="BI65" i="55"/>
  <c r="BI63" i="55"/>
  <c r="BI63" i="46"/>
  <c r="BI62" i="46"/>
  <c r="BI65" i="46"/>
  <c r="BI64" i="55"/>
  <c r="BI64" i="46"/>
  <c r="BI63" i="54"/>
  <c r="BI62" i="55"/>
  <c r="BI62" i="54"/>
  <c r="BI74" i="24"/>
  <c r="BI74" i="54"/>
  <c r="BI74" i="46"/>
  <c r="BI74" i="55"/>
  <c r="BH79" i="54"/>
  <c r="BI70" i="24"/>
  <c r="BI70" i="46"/>
  <c r="BI70" i="55"/>
  <c r="BI70" i="54"/>
  <c r="BI72" i="24"/>
  <c r="BI72" i="46"/>
  <c r="BI72" i="54"/>
  <c r="BI72" i="55"/>
  <c r="BI75" i="24"/>
  <c r="BI75" i="46"/>
  <c r="BI75" i="55"/>
  <c r="BI75" i="54"/>
  <c r="BI62" i="24"/>
  <c r="BI63" i="24"/>
  <c r="BI65" i="24"/>
  <c r="BI64" i="24"/>
  <c r="CK19" i="40"/>
  <c r="CK29" i="40"/>
  <c r="CK23" i="40"/>
  <c r="CK27" i="40"/>
  <c r="CK30" i="40"/>
  <c r="CK28" i="40"/>
  <c r="CK26" i="40"/>
  <c r="CK24" i="40"/>
  <c r="CK42" i="40"/>
  <c r="CK52" i="40"/>
  <c r="CK47" i="40"/>
  <c r="CK49" i="40"/>
  <c r="CK44" i="40"/>
  <c r="CK51" i="40"/>
  <c r="CK43" i="40"/>
  <c r="CK41" i="40"/>
  <c r="CK46" i="40"/>
  <c r="CK45" i="40"/>
  <c r="CK50" i="40"/>
  <c r="CK54" i="40"/>
  <c r="CK11" i="40"/>
  <c r="CK32" i="40"/>
  <c r="CK12" i="40"/>
  <c r="CK13" i="40"/>
  <c r="CK14" i="40"/>
  <c r="CK31" i="40"/>
  <c r="CK22" i="40"/>
  <c r="CK21" i="40"/>
  <c r="CK20" i="40"/>
  <c r="CK53" i="40"/>
  <c r="CK25" i="40"/>
  <c r="CL10" i="40"/>
  <c r="CL48" i="40" s="1"/>
  <c r="BJ77" i="46" l="1"/>
  <c r="BJ77" i="24"/>
  <c r="BI79" i="24"/>
  <c r="CL15" i="40"/>
  <c r="CL16" i="40"/>
  <c r="CL17" i="40"/>
  <c r="CL18" i="40"/>
  <c r="BJ66" i="24"/>
  <c r="BJ66" i="46"/>
  <c r="BJ66" i="55"/>
  <c r="BJ66" i="54"/>
  <c r="BJ68" i="55"/>
  <c r="BJ68" i="54"/>
  <c r="BJ68" i="46"/>
  <c r="BJ68" i="24"/>
  <c r="BJ69" i="54"/>
  <c r="BJ69" i="46"/>
  <c r="BJ69" i="55"/>
  <c r="BJ69" i="24"/>
  <c r="BJ67" i="54"/>
  <c r="BJ67" i="46"/>
  <c r="BJ67" i="55"/>
  <c r="BJ67" i="24"/>
  <c r="BJ77" i="54"/>
  <c r="CL34" i="40"/>
  <c r="CL33" i="40"/>
  <c r="CL36" i="40"/>
  <c r="CL35" i="40"/>
  <c r="BJ77" i="55"/>
  <c r="CL55" i="40"/>
  <c r="CL38" i="40"/>
  <c r="CL37" i="40"/>
  <c r="CL40" i="40"/>
  <c r="CL39" i="40"/>
  <c r="BJ64" i="54"/>
  <c r="BJ65" i="54"/>
  <c r="BI79" i="54"/>
  <c r="BJ76" i="24"/>
  <c r="BJ76" i="54"/>
  <c r="BJ76" i="46"/>
  <c r="BJ76" i="55"/>
  <c r="BJ63" i="55"/>
  <c r="BJ64" i="55"/>
  <c r="BJ64" i="46"/>
  <c r="BJ62" i="46"/>
  <c r="BJ63" i="46"/>
  <c r="BJ65" i="55"/>
  <c r="BJ62" i="54"/>
  <c r="BJ63" i="54"/>
  <c r="BJ65" i="46"/>
  <c r="BJ62" i="55"/>
  <c r="BJ75" i="24"/>
  <c r="BJ75" i="55"/>
  <c r="BJ75" i="46"/>
  <c r="BJ75" i="54"/>
  <c r="BI79" i="46"/>
  <c r="BJ74" i="24"/>
  <c r="BJ74" i="54"/>
  <c r="BJ74" i="46"/>
  <c r="BJ74" i="55"/>
  <c r="BJ73" i="24"/>
  <c r="BJ73" i="54"/>
  <c r="BJ73" i="46"/>
  <c r="BJ73" i="55"/>
  <c r="BJ70" i="24"/>
  <c r="BJ70" i="55"/>
  <c r="BJ70" i="46"/>
  <c r="BJ70" i="54"/>
  <c r="BJ72" i="24"/>
  <c r="BJ72" i="46"/>
  <c r="BJ72" i="55"/>
  <c r="BJ72" i="54"/>
  <c r="BI79" i="55"/>
  <c r="BJ71" i="24"/>
  <c r="BJ71" i="55"/>
  <c r="BJ71" i="46"/>
  <c r="BJ71" i="54"/>
  <c r="BJ62" i="24"/>
  <c r="BJ63" i="24"/>
  <c r="BJ64" i="24"/>
  <c r="BJ65" i="24"/>
  <c r="CL30" i="40"/>
  <c r="CL29" i="40"/>
  <c r="CL27" i="40"/>
  <c r="CL28" i="40"/>
  <c r="CL26" i="40"/>
  <c r="CL24" i="40"/>
  <c r="CL23" i="40"/>
  <c r="CL19" i="40"/>
  <c r="CL41" i="40"/>
  <c r="CL51" i="40"/>
  <c r="CL50" i="40"/>
  <c r="CL49" i="40"/>
  <c r="CL45" i="40"/>
  <c r="CL43" i="40"/>
  <c r="CL44" i="40"/>
  <c r="CL47" i="40"/>
  <c r="CL52" i="40"/>
  <c r="CL42" i="40"/>
  <c r="CL46" i="40"/>
  <c r="CL54" i="40"/>
  <c r="CL11" i="40"/>
  <c r="CL12" i="40"/>
  <c r="CL31" i="40"/>
  <c r="CL32" i="40"/>
  <c r="CL14" i="40"/>
  <c r="CL13" i="40"/>
  <c r="CL22" i="40"/>
  <c r="CL20" i="40"/>
  <c r="CL21" i="40"/>
  <c r="CL53" i="40"/>
  <c r="CL25" i="40"/>
  <c r="CM10" i="40"/>
  <c r="CM48" i="40" s="1"/>
  <c r="BK77" i="46" l="1"/>
  <c r="BK77" i="24"/>
  <c r="BJ79" i="24"/>
  <c r="CM17" i="40"/>
  <c r="CM16" i="40"/>
  <c r="CM15" i="40"/>
  <c r="CM18" i="40"/>
  <c r="BK68" i="54"/>
  <c r="BK68" i="55"/>
  <c r="BK68" i="46"/>
  <c r="BK68" i="24"/>
  <c r="BK67" i="46"/>
  <c r="BK67" i="54"/>
  <c r="BK67" i="55"/>
  <c r="BK67" i="24"/>
  <c r="BK69" i="46"/>
  <c r="BK69" i="55"/>
  <c r="BK69" i="54"/>
  <c r="BK69" i="24"/>
  <c r="BK66" i="24"/>
  <c r="BK66" i="46"/>
  <c r="BK66" i="55"/>
  <c r="BK66" i="54"/>
  <c r="BK77" i="54"/>
  <c r="CM35" i="40"/>
  <c r="CM36" i="40"/>
  <c r="CM33" i="40"/>
  <c r="CM34" i="40"/>
  <c r="BK77" i="55"/>
  <c r="CM55" i="40"/>
  <c r="CM39" i="40"/>
  <c r="CM40" i="40"/>
  <c r="CM37" i="40"/>
  <c r="CM38" i="40"/>
  <c r="BK64" i="54"/>
  <c r="BK65" i="54"/>
  <c r="BK72" i="24"/>
  <c r="BK72" i="46"/>
  <c r="BK72" i="54"/>
  <c r="BK72" i="55"/>
  <c r="BK76" i="24"/>
  <c r="BK76" i="55"/>
  <c r="BK76" i="46"/>
  <c r="BK76" i="54"/>
  <c r="BK74" i="24"/>
  <c r="BK74" i="55"/>
  <c r="BK74" i="46"/>
  <c r="BK74" i="54"/>
  <c r="BK65" i="46"/>
  <c r="BK65" i="55"/>
  <c r="BK63" i="46"/>
  <c r="BK62" i="54"/>
  <c r="BK63" i="55"/>
  <c r="BK64" i="55"/>
  <c r="BK62" i="46"/>
  <c r="BK64" i="46"/>
  <c r="BK63" i="54"/>
  <c r="BK62" i="55"/>
  <c r="BK75" i="24"/>
  <c r="BK75" i="46"/>
  <c r="BK75" i="55"/>
  <c r="BK75" i="54"/>
  <c r="BK71" i="24"/>
  <c r="BK71" i="46"/>
  <c r="BK71" i="55"/>
  <c r="BK71" i="54"/>
  <c r="BK73" i="24"/>
  <c r="BK73" i="54"/>
  <c r="BK73" i="46"/>
  <c r="BK73" i="55"/>
  <c r="BJ79" i="54"/>
  <c r="BJ79" i="55"/>
  <c r="BK70" i="24"/>
  <c r="BK70" i="46"/>
  <c r="BK70" i="54"/>
  <c r="BK70" i="55"/>
  <c r="BJ79" i="46"/>
  <c r="BK62" i="24"/>
  <c r="BK63" i="24"/>
  <c r="BK65" i="24"/>
  <c r="BK64" i="24"/>
  <c r="CM29" i="40"/>
  <c r="CM19" i="40"/>
  <c r="CM30" i="40"/>
  <c r="CM28" i="40"/>
  <c r="CM27" i="40"/>
  <c r="CM26" i="40"/>
  <c r="CM24" i="40"/>
  <c r="CM23" i="40"/>
  <c r="CM41" i="40"/>
  <c r="CM50" i="40"/>
  <c r="CM46" i="40"/>
  <c r="CM43" i="40"/>
  <c r="CM52" i="40"/>
  <c r="CM51" i="40"/>
  <c r="CM49" i="40"/>
  <c r="CM47" i="40"/>
  <c r="CM42" i="40"/>
  <c r="CM44" i="40"/>
  <c r="CM45" i="40"/>
  <c r="CM54" i="40"/>
  <c r="CM11" i="40"/>
  <c r="CM14" i="40"/>
  <c r="CM31" i="40"/>
  <c r="CM12" i="40"/>
  <c r="CM13" i="40"/>
  <c r="CM32" i="40"/>
  <c r="CM22" i="40"/>
  <c r="CM20" i="40"/>
  <c r="CM21" i="40"/>
  <c r="CM53" i="40"/>
  <c r="CM25" i="40"/>
  <c r="CN10" i="40"/>
  <c r="CN48" i="40" s="1"/>
  <c r="BL77" i="46" l="1"/>
  <c r="BL77" i="24"/>
  <c r="BK79" i="24"/>
  <c r="CN17" i="40"/>
  <c r="CN16" i="40"/>
  <c r="CN15" i="40"/>
  <c r="CN18" i="40"/>
  <c r="BL68" i="55"/>
  <c r="BL68" i="24"/>
  <c r="BL68" i="46"/>
  <c r="BL68" i="54"/>
  <c r="BL67" i="54"/>
  <c r="BL67" i="46"/>
  <c r="BL67" i="55"/>
  <c r="BL67" i="24"/>
  <c r="BL66" i="24"/>
  <c r="BL66" i="46"/>
  <c r="BL66" i="55"/>
  <c r="BL66" i="54"/>
  <c r="BL69" i="55"/>
  <c r="BL69" i="54"/>
  <c r="BL69" i="46"/>
  <c r="BL69" i="24"/>
  <c r="BL77" i="54"/>
  <c r="CN36" i="40"/>
  <c r="CN35" i="40"/>
  <c r="CN34" i="40"/>
  <c r="CN33" i="40"/>
  <c r="BL77" i="55"/>
  <c r="CN55" i="40"/>
  <c r="CN39" i="40"/>
  <c r="CN38" i="40"/>
  <c r="CN37" i="40"/>
  <c r="CN40" i="40"/>
  <c r="BL65" i="54"/>
  <c r="BL64" i="54"/>
  <c r="BL70" i="24"/>
  <c r="BL70" i="46"/>
  <c r="BL70" i="54"/>
  <c r="BL70" i="55"/>
  <c r="BL71" i="24"/>
  <c r="BL71" i="55"/>
  <c r="BL71" i="46"/>
  <c r="BL71" i="54"/>
  <c r="BK79" i="46"/>
  <c r="BL63" i="46"/>
  <c r="BL65" i="55"/>
  <c r="BL64" i="55"/>
  <c r="BL64" i="46"/>
  <c r="BL62" i="46"/>
  <c r="BL65" i="46"/>
  <c r="BL62" i="54"/>
  <c r="BL63" i="54"/>
  <c r="BL62" i="55"/>
  <c r="BL63" i="55"/>
  <c r="BL75" i="24"/>
  <c r="BL75" i="55"/>
  <c r="BL75" i="54"/>
  <c r="BL75" i="46"/>
  <c r="BL74" i="24"/>
  <c r="BL74" i="55"/>
  <c r="BL74" i="54"/>
  <c r="BL74" i="46"/>
  <c r="BK79" i="55"/>
  <c r="BK79" i="54"/>
  <c r="BL76" i="24"/>
  <c r="BL76" i="54"/>
  <c r="BL76" i="55"/>
  <c r="BL76" i="46"/>
  <c r="BL73" i="24"/>
  <c r="BL73" i="54"/>
  <c r="BL73" i="46"/>
  <c r="BL73" i="55"/>
  <c r="BL72" i="24"/>
  <c r="BL72" i="46"/>
  <c r="BL72" i="55"/>
  <c r="BL72" i="54"/>
  <c r="BL62" i="24"/>
  <c r="BL63" i="24"/>
  <c r="BL65" i="24"/>
  <c r="BL64" i="24"/>
  <c r="CN24" i="40"/>
  <c r="CN30" i="40"/>
  <c r="CN27" i="40"/>
  <c r="CN26" i="40"/>
  <c r="CN23" i="40"/>
  <c r="CN29" i="40"/>
  <c r="CN28" i="40"/>
  <c r="CN19" i="40"/>
  <c r="CN41" i="40"/>
  <c r="CN44" i="40"/>
  <c r="CN42" i="40"/>
  <c r="CN52" i="40"/>
  <c r="CN51" i="40"/>
  <c r="CN50" i="40"/>
  <c r="CN47" i="40"/>
  <c r="CN49" i="40"/>
  <c r="CN43" i="40"/>
  <c r="CN46" i="40"/>
  <c r="CN45" i="40"/>
  <c r="CN54" i="40"/>
  <c r="CN11" i="40"/>
  <c r="CN14" i="40"/>
  <c r="CN32" i="40"/>
  <c r="CN13" i="40"/>
  <c r="CN12" i="40"/>
  <c r="CN31" i="40"/>
  <c r="CN20" i="40"/>
  <c r="CN22" i="40"/>
  <c r="CN21" i="40"/>
  <c r="CN53" i="40"/>
  <c r="CN25" i="40"/>
  <c r="CO10" i="40"/>
  <c r="CO48" i="40" s="1"/>
  <c r="BM77" i="46" l="1"/>
  <c r="BM77" i="24"/>
  <c r="BL79" i="24"/>
  <c r="CO17" i="40"/>
  <c r="CO16" i="40"/>
  <c r="CO15" i="40"/>
  <c r="CO18" i="40"/>
  <c r="BM69" i="55"/>
  <c r="BM69" i="46"/>
  <c r="BM69" i="54"/>
  <c r="BM69" i="24"/>
  <c r="BM66" i="24"/>
  <c r="BM66" i="54"/>
  <c r="BM66" i="55"/>
  <c r="BM66" i="46"/>
  <c r="BM68" i="54"/>
  <c r="BM68" i="46"/>
  <c r="BM68" i="24"/>
  <c r="BM68" i="55"/>
  <c r="BM67" i="54"/>
  <c r="BM67" i="46"/>
  <c r="BM67" i="55"/>
  <c r="BM67" i="24"/>
  <c r="BM77" i="54"/>
  <c r="CO33" i="40"/>
  <c r="CO34" i="40"/>
  <c r="CO35" i="40"/>
  <c r="CO36" i="40"/>
  <c r="BM77" i="55"/>
  <c r="CO55" i="40"/>
  <c r="CO39" i="40"/>
  <c r="CO37" i="40"/>
  <c r="CO38" i="40"/>
  <c r="CO40" i="40"/>
  <c r="BM64" i="54"/>
  <c r="BM65" i="54"/>
  <c r="BM71" i="24"/>
  <c r="BM71" i="55"/>
  <c r="BM71" i="54"/>
  <c r="BM71" i="46"/>
  <c r="BM65" i="55"/>
  <c r="BM64" i="55"/>
  <c r="BM63" i="55"/>
  <c r="BM65" i="46"/>
  <c r="BM63" i="46"/>
  <c r="BM63" i="54"/>
  <c r="BM64" i="46"/>
  <c r="BM62" i="55"/>
  <c r="BM62" i="54"/>
  <c r="BM62" i="46"/>
  <c r="BM74" i="24"/>
  <c r="BM74" i="46"/>
  <c r="BM74" i="55"/>
  <c r="BM74" i="54"/>
  <c r="BL79" i="55"/>
  <c r="BL79" i="46"/>
  <c r="BM70" i="24"/>
  <c r="BM70" i="55"/>
  <c r="BM70" i="54"/>
  <c r="BM70" i="46"/>
  <c r="BM76" i="24"/>
  <c r="BM76" i="55"/>
  <c r="BM76" i="54"/>
  <c r="BM76" i="46"/>
  <c r="BM72" i="24"/>
  <c r="BM72" i="54"/>
  <c r="BM72" i="46"/>
  <c r="BM72" i="55"/>
  <c r="BM73" i="24"/>
  <c r="BM73" i="46"/>
  <c r="BM73" i="54"/>
  <c r="BM73" i="55"/>
  <c r="BM75" i="24"/>
  <c r="BM75" i="46"/>
  <c r="BM75" i="54"/>
  <c r="BM75" i="55"/>
  <c r="BL79" i="54"/>
  <c r="BM63" i="24"/>
  <c r="BM62" i="24"/>
  <c r="BM64" i="24"/>
  <c r="BM65" i="24"/>
  <c r="CO24" i="40"/>
  <c r="CO19" i="40"/>
  <c r="CO23" i="40"/>
  <c r="CO30" i="40"/>
  <c r="CO28" i="40"/>
  <c r="CO29" i="40"/>
  <c r="CO27" i="40"/>
  <c r="CO26" i="40"/>
  <c r="CO52" i="40"/>
  <c r="CO42" i="40"/>
  <c r="CO51" i="40"/>
  <c r="CO49" i="40"/>
  <c r="CO50" i="40"/>
  <c r="CO41" i="40"/>
  <c r="CO44" i="40"/>
  <c r="CO46" i="40"/>
  <c r="CO43" i="40"/>
  <c r="CO45" i="40"/>
  <c r="CO47" i="40"/>
  <c r="CO54" i="40"/>
  <c r="CO11" i="40"/>
  <c r="CO12" i="40"/>
  <c r="CO31" i="40"/>
  <c r="CO32" i="40"/>
  <c r="CO13" i="40"/>
  <c r="CO14" i="40"/>
  <c r="CO21" i="40"/>
  <c r="CO20" i="40"/>
  <c r="CO22" i="40"/>
  <c r="CO53" i="40"/>
  <c r="CO25" i="40"/>
  <c r="CP10" i="40"/>
  <c r="CP48" i="40" s="1"/>
  <c r="BN77" i="46" l="1"/>
  <c r="BN77" i="24"/>
  <c r="BM79" i="24"/>
  <c r="CP16" i="40"/>
  <c r="CP15" i="40"/>
  <c r="CP17" i="40"/>
  <c r="CP18" i="40"/>
  <c r="BN68" i="55"/>
  <c r="BN68" i="54"/>
  <c r="BN68" i="24"/>
  <c r="BN68" i="46"/>
  <c r="BN66" i="24"/>
  <c r="BN66" i="55"/>
  <c r="BN66" i="46"/>
  <c r="BN66" i="54"/>
  <c r="BN67" i="54"/>
  <c r="BN67" i="46"/>
  <c r="BN67" i="55"/>
  <c r="BN67" i="24"/>
  <c r="BN69" i="55"/>
  <c r="BN69" i="46"/>
  <c r="BN69" i="54"/>
  <c r="BN69" i="24"/>
  <c r="BN77" i="54"/>
  <c r="CP34" i="40"/>
  <c r="CP33" i="40"/>
  <c r="CP36" i="40"/>
  <c r="CP35" i="40"/>
  <c r="BN77" i="55"/>
  <c r="CP55" i="40"/>
  <c r="CP38" i="40"/>
  <c r="CP37" i="40"/>
  <c r="CP40" i="40"/>
  <c r="CP39" i="40"/>
  <c r="BN64" i="54"/>
  <c r="BN65" i="54"/>
  <c r="BM79" i="55"/>
  <c r="BN76" i="24"/>
  <c r="BN76" i="54"/>
  <c r="BN76" i="55"/>
  <c r="BN76" i="46"/>
  <c r="BN75" i="24"/>
  <c r="BN75" i="46"/>
  <c r="BN75" i="55"/>
  <c r="BN75" i="54"/>
  <c r="BN62" i="46"/>
  <c r="BN63" i="46"/>
  <c r="BN62" i="54"/>
  <c r="BN63" i="55"/>
  <c r="BN64" i="46"/>
  <c r="BN63" i="54"/>
  <c r="BN62" i="55"/>
  <c r="BN65" i="55"/>
  <c r="BN65" i="46"/>
  <c r="BN64" i="55"/>
  <c r="BN70" i="24"/>
  <c r="BN70" i="46"/>
  <c r="BN70" i="55"/>
  <c r="BN70" i="54"/>
  <c r="BM79" i="46"/>
  <c r="BN71" i="24"/>
  <c r="BN71" i="55"/>
  <c r="BN71" i="54"/>
  <c r="BN71" i="46"/>
  <c r="BN73" i="24"/>
  <c r="BN73" i="54"/>
  <c r="BN73" i="55"/>
  <c r="BN73" i="46"/>
  <c r="BN72" i="24"/>
  <c r="BN72" i="46"/>
  <c r="BN72" i="54"/>
  <c r="BN72" i="55"/>
  <c r="BN74" i="24"/>
  <c r="BN74" i="46"/>
  <c r="BN74" i="55"/>
  <c r="BN74" i="54"/>
  <c r="BM79" i="54"/>
  <c r="BN63" i="24"/>
  <c r="BN62" i="24"/>
  <c r="BN65" i="24"/>
  <c r="BN64" i="24"/>
  <c r="CP19" i="40"/>
  <c r="CP29" i="40"/>
  <c r="CP24" i="40"/>
  <c r="CP28" i="40"/>
  <c r="CP30" i="40"/>
  <c r="CP26" i="40"/>
  <c r="CP23" i="40"/>
  <c r="CP27" i="40"/>
  <c r="CP51" i="40"/>
  <c r="CP50" i="40"/>
  <c r="CP49" i="40"/>
  <c r="CP41" i="40"/>
  <c r="CP44" i="40"/>
  <c r="CP46" i="40"/>
  <c r="CP42" i="40"/>
  <c r="CP52" i="40"/>
  <c r="CP45" i="40"/>
  <c r="CP43" i="40"/>
  <c r="CP47" i="40"/>
  <c r="CP54" i="40"/>
  <c r="CP11" i="40"/>
  <c r="CP13" i="40"/>
  <c r="CP31" i="40"/>
  <c r="CP32" i="40"/>
  <c r="CP14" i="40"/>
  <c r="CP12" i="40"/>
  <c r="CP21" i="40"/>
  <c r="CP20" i="40"/>
  <c r="CP22" i="40"/>
  <c r="CP53" i="40"/>
  <c r="CP25" i="40"/>
  <c r="CQ10" i="40"/>
  <c r="CQ48" i="40" s="1"/>
  <c r="BO77" i="46" l="1"/>
  <c r="BO77" i="24"/>
  <c r="BN79" i="24"/>
  <c r="CQ17" i="40"/>
  <c r="CQ16" i="40"/>
  <c r="CQ15" i="40"/>
  <c r="CQ18" i="40"/>
  <c r="BO68" i="55"/>
  <c r="BO68" i="46"/>
  <c r="BO68" i="54"/>
  <c r="BO68" i="24"/>
  <c r="BO67" i="54"/>
  <c r="BO67" i="46"/>
  <c r="BO67" i="55"/>
  <c r="BO67" i="24"/>
  <c r="BO69" i="55"/>
  <c r="BO69" i="54"/>
  <c r="BO69" i="46"/>
  <c r="BO69" i="24"/>
  <c r="BO66" i="24"/>
  <c r="BO66" i="55"/>
  <c r="BO66" i="46"/>
  <c r="BO66" i="54"/>
  <c r="BO77" i="54"/>
  <c r="CQ34" i="40"/>
  <c r="CQ36" i="40"/>
  <c r="CQ35" i="40"/>
  <c r="CQ33" i="40"/>
  <c r="BO77" i="55"/>
  <c r="CQ55" i="40"/>
  <c r="CQ39" i="40"/>
  <c r="CQ38" i="40"/>
  <c r="CQ40" i="40"/>
  <c r="CQ37" i="40"/>
  <c r="BO64" i="54"/>
  <c r="BO65" i="54"/>
  <c r="BN79" i="54"/>
  <c r="BO76" i="24"/>
  <c r="BO76" i="54"/>
  <c r="BO76" i="55"/>
  <c r="BO76" i="46"/>
  <c r="BO62" i="54"/>
  <c r="BO64" i="46"/>
  <c r="BO65" i="55"/>
  <c r="BO63" i="46"/>
  <c r="BO64" i="55"/>
  <c r="BO63" i="55"/>
  <c r="BO62" i="55"/>
  <c r="BO62" i="46"/>
  <c r="BO63" i="54"/>
  <c r="BO65" i="46"/>
  <c r="BO70" i="24"/>
  <c r="BO70" i="46"/>
  <c r="BO70" i="55"/>
  <c r="BO70" i="54"/>
  <c r="BO71" i="24"/>
  <c r="BO71" i="54"/>
  <c r="BO71" i="46"/>
  <c r="BO71" i="55"/>
  <c r="BO74" i="24"/>
  <c r="BO74" i="55"/>
  <c r="BO74" i="54"/>
  <c r="BO74" i="46"/>
  <c r="BN79" i="46"/>
  <c r="BO72" i="24"/>
  <c r="BO72" i="46"/>
  <c r="BO72" i="54"/>
  <c r="BO72" i="55"/>
  <c r="BN79" i="55"/>
  <c r="BO73" i="24"/>
  <c r="BO73" i="54"/>
  <c r="BO73" i="46"/>
  <c r="BO73" i="55"/>
  <c r="BO75" i="24"/>
  <c r="BO75" i="46"/>
  <c r="BO75" i="54"/>
  <c r="BO75" i="55"/>
  <c r="BO62" i="24"/>
  <c r="BO63" i="24"/>
  <c r="BO65" i="24"/>
  <c r="BO64" i="24"/>
  <c r="CQ26" i="40"/>
  <c r="CQ30" i="40"/>
  <c r="CQ19" i="40"/>
  <c r="CQ27" i="40"/>
  <c r="CQ29" i="40"/>
  <c r="CQ23" i="40"/>
  <c r="CQ28" i="40"/>
  <c r="CQ24" i="40"/>
  <c r="CQ42" i="40"/>
  <c r="CQ50" i="40"/>
  <c r="CQ43" i="40"/>
  <c r="CQ52" i="40"/>
  <c r="CQ51" i="40"/>
  <c r="CQ47" i="40"/>
  <c r="CQ44" i="40"/>
  <c r="CQ41" i="40"/>
  <c r="CQ46" i="40"/>
  <c r="CQ49" i="40"/>
  <c r="CQ45" i="40"/>
  <c r="CQ54" i="40"/>
  <c r="CQ11" i="40"/>
  <c r="CQ14" i="40"/>
  <c r="CQ12" i="40"/>
  <c r="CQ32" i="40"/>
  <c r="CQ13" i="40"/>
  <c r="CQ31" i="40"/>
  <c r="CQ20" i="40"/>
  <c r="CQ22" i="40"/>
  <c r="CQ21" i="40"/>
  <c r="CQ53" i="40"/>
  <c r="CQ25" i="40"/>
  <c r="CR10" i="40"/>
  <c r="CR48" i="40" s="1"/>
  <c r="BP77" i="46" l="1"/>
  <c r="BP77" i="24"/>
  <c r="BO79" i="24"/>
  <c r="CR15" i="40"/>
  <c r="CR17" i="40"/>
  <c r="CR16" i="40"/>
  <c r="CR18" i="40"/>
  <c r="BP67" i="46"/>
  <c r="BP67" i="54"/>
  <c r="BP67" i="55"/>
  <c r="BP67" i="24"/>
  <c r="BP68" i="54"/>
  <c r="BP68" i="46"/>
  <c r="BP68" i="24"/>
  <c r="BP68" i="55"/>
  <c r="BP69" i="54"/>
  <c r="BP69" i="24"/>
  <c r="BP69" i="55"/>
  <c r="BP69" i="46"/>
  <c r="BP66" i="24"/>
  <c r="BP66" i="54"/>
  <c r="BP66" i="55"/>
  <c r="BP66" i="46"/>
  <c r="BP77" i="54"/>
  <c r="CR36" i="40"/>
  <c r="CR33" i="40"/>
  <c r="CR35" i="40"/>
  <c r="CR34" i="40"/>
  <c r="BP77" i="55"/>
  <c r="CR55" i="40"/>
  <c r="CR40" i="40"/>
  <c r="CR37" i="40"/>
  <c r="CR39" i="40"/>
  <c r="CR38" i="40"/>
  <c r="BP65" i="54"/>
  <c r="BP64" i="54"/>
  <c r="BP70" i="24"/>
  <c r="BP70" i="46"/>
  <c r="BP70" i="55"/>
  <c r="BP70" i="54"/>
  <c r="BP62" i="55"/>
  <c r="BP63" i="54"/>
  <c r="BP65" i="55"/>
  <c r="BP65" i="46"/>
  <c r="BP62" i="54"/>
  <c r="BP63" i="55"/>
  <c r="BP62" i="46"/>
  <c r="BP64" i="55"/>
  <c r="BP64" i="46"/>
  <c r="BP63" i="46"/>
  <c r="BP71" i="24"/>
  <c r="BP71" i="55"/>
  <c r="BP71" i="46"/>
  <c r="BP71" i="54"/>
  <c r="BP72" i="24"/>
  <c r="BP72" i="46"/>
  <c r="BP72" i="55"/>
  <c r="BP72" i="54"/>
  <c r="BP74" i="24"/>
  <c r="BP74" i="55"/>
  <c r="BP74" i="46"/>
  <c r="BP74" i="54"/>
  <c r="BO79" i="54"/>
  <c r="BO79" i="55"/>
  <c r="BP76" i="24"/>
  <c r="BP76" i="46"/>
  <c r="BP76" i="54"/>
  <c r="BP76" i="55"/>
  <c r="BP73" i="24"/>
  <c r="BP73" i="46"/>
  <c r="BP73" i="55"/>
  <c r="BP73" i="54"/>
  <c r="BP75" i="24"/>
  <c r="BP75" i="55"/>
  <c r="BP75" i="54"/>
  <c r="BP75" i="46"/>
  <c r="BO79" i="46"/>
  <c r="BP63" i="24"/>
  <c r="BP62" i="24"/>
  <c r="BP65" i="24"/>
  <c r="BP64" i="24"/>
  <c r="CR24" i="40"/>
  <c r="CR30" i="40"/>
  <c r="CR29" i="40"/>
  <c r="CR28" i="40"/>
  <c r="CR27" i="40"/>
  <c r="CR23" i="40"/>
  <c r="CR26" i="40"/>
  <c r="CR19" i="40"/>
  <c r="CR44" i="40"/>
  <c r="CR52" i="40"/>
  <c r="CR51" i="40"/>
  <c r="CR41" i="40"/>
  <c r="CR43" i="40"/>
  <c r="CR49" i="40"/>
  <c r="CR42" i="40"/>
  <c r="CR50" i="40"/>
  <c r="CR46" i="40"/>
  <c r="CR45" i="40"/>
  <c r="CR47" i="40"/>
  <c r="CR54" i="40"/>
  <c r="CR11" i="40"/>
  <c r="CR12" i="40"/>
  <c r="CR13" i="40"/>
  <c r="CR31" i="40"/>
  <c r="CR14" i="40"/>
  <c r="CR32" i="40"/>
  <c r="CR22" i="40"/>
  <c r="CR20" i="40"/>
  <c r="CR21" i="40"/>
  <c r="CR53" i="40"/>
  <c r="CR25" i="40"/>
  <c r="BQ77" i="46" l="1"/>
  <c r="P106" i="46" s="1"/>
  <c r="L106" i="46" s="1"/>
  <c r="BQ77" i="24"/>
  <c r="BP79" i="24"/>
  <c r="BQ66" i="24"/>
  <c r="P95" i="24" s="1"/>
  <c r="L95" i="24" s="1"/>
  <c r="BQ66" i="55"/>
  <c r="P95" i="55" s="1"/>
  <c r="L95" i="55" s="1"/>
  <c r="BQ66" i="46"/>
  <c r="P95" i="46" s="1"/>
  <c r="L95" i="46" s="1"/>
  <c r="BQ66" i="54"/>
  <c r="P95" i="54" s="1"/>
  <c r="L95" i="54" s="1"/>
  <c r="BQ69" i="55"/>
  <c r="P98" i="55" s="1"/>
  <c r="L98" i="55" s="1"/>
  <c r="BQ69" i="54"/>
  <c r="P98" i="54" s="1"/>
  <c r="L98" i="54" s="1"/>
  <c r="BQ69" i="46"/>
  <c r="P98" i="46" s="1"/>
  <c r="L98" i="46" s="1"/>
  <c r="BQ69" i="24"/>
  <c r="P98" i="24" s="1"/>
  <c r="L98" i="24" s="1"/>
  <c r="BQ68" i="55"/>
  <c r="P97" i="55" s="1"/>
  <c r="L97" i="55" s="1"/>
  <c r="BQ68" i="24"/>
  <c r="P97" i="24" s="1"/>
  <c r="L97" i="24" s="1"/>
  <c r="BQ68" i="54"/>
  <c r="P97" i="54" s="1"/>
  <c r="L97" i="54" s="1"/>
  <c r="BQ68" i="46"/>
  <c r="P97" i="46" s="1"/>
  <c r="L97" i="46" s="1"/>
  <c r="BQ67" i="54"/>
  <c r="P96" i="54" s="1"/>
  <c r="L96" i="54" s="1"/>
  <c r="BQ67" i="46"/>
  <c r="P96" i="46" s="1"/>
  <c r="L96" i="46" s="1"/>
  <c r="BQ67" i="55"/>
  <c r="P96" i="55" s="1"/>
  <c r="L96" i="55" s="1"/>
  <c r="BQ67" i="24"/>
  <c r="P96" i="24" s="1"/>
  <c r="L96" i="24" s="1"/>
  <c r="P107" i="24"/>
  <c r="L107" i="24" s="1"/>
  <c r="BQ77" i="54"/>
  <c r="P106" i="54" s="1"/>
  <c r="L106" i="54" s="1"/>
  <c r="BQ77" i="55"/>
  <c r="P106" i="55" s="1"/>
  <c r="L106" i="55" s="1"/>
  <c r="BQ64" i="54"/>
  <c r="P93" i="54" s="1"/>
  <c r="L93" i="54" s="1"/>
  <c r="BQ65" i="54"/>
  <c r="P94" i="54" s="1"/>
  <c r="L94" i="54" s="1"/>
  <c r="BQ76" i="24"/>
  <c r="P105" i="24" s="1"/>
  <c r="L105" i="24" s="1"/>
  <c r="BQ76" i="46"/>
  <c r="P105" i="46" s="1"/>
  <c r="L105" i="46" s="1"/>
  <c r="BQ76" i="55"/>
  <c r="P105" i="55" s="1"/>
  <c r="L105" i="55" s="1"/>
  <c r="BQ76" i="54"/>
  <c r="P105" i="54" s="1"/>
  <c r="L105" i="54" s="1"/>
  <c r="BQ63" i="54"/>
  <c r="P92" i="54" s="1"/>
  <c r="L92" i="54" s="1"/>
  <c r="BQ64" i="55"/>
  <c r="P93" i="55" s="1"/>
  <c r="L93" i="55" s="1"/>
  <c r="BQ62" i="55"/>
  <c r="P91" i="55" s="1"/>
  <c r="L91" i="55" s="1"/>
  <c r="BQ65" i="46"/>
  <c r="P94" i="46" s="1"/>
  <c r="L94" i="46" s="1"/>
  <c r="BQ62" i="46"/>
  <c r="P91" i="46" s="1"/>
  <c r="L91" i="46" s="1"/>
  <c r="BQ63" i="46"/>
  <c r="P92" i="46" s="1"/>
  <c r="L92" i="46" s="1"/>
  <c r="BQ64" i="46"/>
  <c r="P93" i="46" s="1"/>
  <c r="L93" i="46" s="1"/>
  <c r="BQ62" i="54"/>
  <c r="P91" i="54" s="1"/>
  <c r="L91" i="54" s="1"/>
  <c r="BQ65" i="55"/>
  <c r="P94" i="55" s="1"/>
  <c r="L94" i="55" s="1"/>
  <c r="BQ63" i="55"/>
  <c r="P92" i="55" s="1"/>
  <c r="L92" i="55" s="1"/>
  <c r="BQ73" i="24"/>
  <c r="P102" i="24" s="1"/>
  <c r="L102" i="24" s="1"/>
  <c r="BQ73" i="54"/>
  <c r="P102" i="54" s="1"/>
  <c r="L102" i="54" s="1"/>
  <c r="BQ73" i="46"/>
  <c r="P102" i="46" s="1"/>
  <c r="L102" i="46" s="1"/>
  <c r="BQ73" i="55"/>
  <c r="P102" i="55" s="1"/>
  <c r="L102" i="55" s="1"/>
  <c r="BQ72" i="24"/>
  <c r="P101" i="24" s="1"/>
  <c r="L101" i="24" s="1"/>
  <c r="BQ72" i="46"/>
  <c r="P101" i="46" s="1"/>
  <c r="L101" i="46" s="1"/>
  <c r="BQ72" i="55"/>
  <c r="P101" i="55" s="1"/>
  <c r="L101" i="55" s="1"/>
  <c r="BQ72" i="54"/>
  <c r="P101" i="54" s="1"/>
  <c r="L101" i="54" s="1"/>
  <c r="BQ74" i="24"/>
  <c r="P103" i="24" s="1"/>
  <c r="L103" i="24" s="1"/>
  <c r="BQ74" i="46"/>
  <c r="P103" i="46" s="1"/>
  <c r="L103" i="46" s="1"/>
  <c r="BQ74" i="54"/>
  <c r="P103" i="54" s="1"/>
  <c r="L103" i="54" s="1"/>
  <c r="BQ74" i="55"/>
  <c r="P103" i="55" s="1"/>
  <c r="L103" i="55" s="1"/>
  <c r="BQ70" i="24"/>
  <c r="P99" i="24" s="1"/>
  <c r="L99" i="24" s="1"/>
  <c r="BQ70" i="46"/>
  <c r="P99" i="46" s="1"/>
  <c r="L99" i="46" s="1"/>
  <c r="BQ70" i="55"/>
  <c r="P99" i="55" s="1"/>
  <c r="L99" i="55" s="1"/>
  <c r="BQ70" i="54"/>
  <c r="P99" i="54" s="1"/>
  <c r="L99" i="54" s="1"/>
  <c r="BQ75" i="24"/>
  <c r="P104" i="24" s="1"/>
  <c r="L104" i="24" s="1"/>
  <c r="BQ75" i="55"/>
  <c r="P104" i="55" s="1"/>
  <c r="L104" i="55" s="1"/>
  <c r="BQ75" i="54"/>
  <c r="P104" i="54" s="1"/>
  <c r="L104" i="54" s="1"/>
  <c r="BQ75" i="46"/>
  <c r="P104" i="46" s="1"/>
  <c r="L104" i="46" s="1"/>
  <c r="BP79" i="46"/>
  <c r="BQ71" i="24"/>
  <c r="P100" i="24" s="1"/>
  <c r="L100" i="24" s="1"/>
  <c r="BQ71" i="46"/>
  <c r="P100" i="46" s="1"/>
  <c r="L100" i="46" s="1"/>
  <c r="BQ71" i="55"/>
  <c r="P100" i="55" s="1"/>
  <c r="L100" i="55" s="1"/>
  <c r="BQ71" i="54"/>
  <c r="P100" i="54" s="1"/>
  <c r="L100" i="54" s="1"/>
  <c r="BP79" i="54"/>
  <c r="BP79" i="55"/>
  <c r="BQ63" i="24"/>
  <c r="P92" i="24" s="1"/>
  <c r="L92" i="24" s="1"/>
  <c r="BQ62" i="24"/>
  <c r="BQ65" i="24"/>
  <c r="P94" i="24" s="1"/>
  <c r="L94" i="24" s="1"/>
  <c r="BQ64" i="24"/>
  <c r="P93" i="24" s="1"/>
  <c r="L93" i="24" s="1"/>
  <c r="L108" i="55" l="1"/>
  <c r="F26" i="23" s="1"/>
  <c r="L108" i="54"/>
  <c r="E26" i="23" s="1"/>
  <c r="L108" i="46"/>
  <c r="D26" i="23" s="1"/>
  <c r="BQ79" i="24"/>
  <c r="P91" i="24"/>
  <c r="L91" i="24" s="1"/>
  <c r="L108" i="24" s="1"/>
  <c r="C26" i="23" s="1"/>
  <c r="BQ79" i="54"/>
  <c r="BQ79" i="55"/>
  <c r="BQ79" i="46"/>
  <c r="V139" i="24"/>
  <c r="V140" i="24"/>
  <c r="V141" i="24"/>
  <c r="V129" i="24"/>
  <c r="V131" i="24"/>
  <c r="V132" i="24"/>
  <c r="T135" i="24"/>
  <c r="T136" i="24" s="1"/>
  <c r="L110" i="54" l="1"/>
  <c r="U117" i="54" s="1"/>
  <c r="E27" i="23"/>
  <c r="E30" i="23" s="1"/>
  <c r="F17" i="7"/>
  <c r="F14" i="7" s="1"/>
  <c r="O13" i="1" s="1"/>
  <c r="L110" i="55"/>
  <c r="L110" i="46"/>
  <c r="L119" i="46" s="1"/>
  <c r="G118" i="46" s="1"/>
  <c r="C118" i="24"/>
  <c r="T130" i="24"/>
  <c r="V130" i="24" s="1"/>
  <c r="G117" i="46" l="1"/>
  <c r="L117" i="46" s="1"/>
  <c r="E17" i="7"/>
  <c r="E14" i="7" s="1"/>
  <c r="I13" i="1" s="1"/>
  <c r="R116" i="54"/>
  <c r="R118" i="54" s="1"/>
  <c r="Q117" i="54"/>
  <c r="Q118" i="54" s="1"/>
  <c r="L119" i="54"/>
  <c r="V116" i="54"/>
  <c r="S116" i="54"/>
  <c r="S117" i="54" s="1"/>
  <c r="T118" i="54"/>
  <c r="Q117" i="55"/>
  <c r="Q118" i="55" s="1"/>
  <c r="T118" i="55"/>
  <c r="L119" i="55"/>
  <c r="R116" i="55"/>
  <c r="R118" i="55" s="1"/>
  <c r="V116" i="55"/>
  <c r="S116" i="55"/>
  <c r="S117" i="55" s="1"/>
  <c r="U117" i="55"/>
  <c r="F27" i="23"/>
  <c r="F30" i="23" s="1"/>
  <c r="G17" i="7"/>
  <c r="G14" i="7" s="1"/>
  <c r="U13" i="1" s="1"/>
  <c r="D27" i="23"/>
  <c r="D30" i="23" s="1"/>
  <c r="S116" i="46"/>
  <c r="S117" i="46" s="1"/>
  <c r="Q117" i="46"/>
  <c r="Q118" i="46" s="1"/>
  <c r="T118" i="46"/>
  <c r="V116" i="46"/>
  <c r="R116" i="46"/>
  <c r="R118" i="46" s="1"/>
  <c r="U117" i="46"/>
  <c r="C27" i="23"/>
  <c r="D17" i="7"/>
  <c r="S118" i="24"/>
  <c r="C119" i="24"/>
  <c r="V118" i="24"/>
  <c r="U118" i="24"/>
  <c r="G118" i="55" l="1"/>
  <c r="L118" i="55" s="1"/>
  <c r="G118" i="54"/>
  <c r="L118" i="54" s="1"/>
  <c r="G116" i="46"/>
  <c r="L116" i="46" s="1"/>
  <c r="D48" i="23" s="1"/>
  <c r="G116" i="55"/>
  <c r="L116" i="55" s="1"/>
  <c r="F48" i="23" s="1"/>
  <c r="G117" i="55"/>
  <c r="L117" i="55" s="1"/>
  <c r="G116" i="54"/>
  <c r="L116" i="54" s="1"/>
  <c r="E48" i="23" s="1"/>
  <c r="G117" i="54"/>
  <c r="L117" i="54" s="1"/>
  <c r="D49" i="23"/>
  <c r="E23" i="7" s="1"/>
  <c r="I27" i="1" s="1"/>
  <c r="L118" i="46"/>
  <c r="D50" i="23" s="1"/>
  <c r="F20" i="7"/>
  <c r="G119" i="54"/>
  <c r="G119" i="55"/>
  <c r="G20" i="7"/>
  <c r="E20" i="7"/>
  <c r="G119" i="46"/>
  <c r="F49" i="23" l="1"/>
  <c r="G23" i="7" s="1"/>
  <c r="U27" i="1" s="1"/>
  <c r="F50" i="23"/>
  <c r="G24" i="7" s="1"/>
  <c r="U29" i="1" s="1"/>
  <c r="E50" i="23"/>
  <c r="F24" i="7" s="1"/>
  <c r="O29" i="1" s="1"/>
  <c r="E49" i="23"/>
  <c r="F23" i="7" s="1"/>
  <c r="O27" i="1" s="1"/>
  <c r="E24" i="7"/>
  <c r="I29" i="1" s="1"/>
  <c r="G22" i="7"/>
  <c r="U25" i="1" s="1"/>
  <c r="E22" i="7"/>
  <c r="I25" i="1" s="1"/>
  <c r="F22" i="7"/>
  <c r="O25" i="1" s="1"/>
  <c r="H39" i="24"/>
  <c r="H54" i="24" s="1"/>
  <c r="J54" i="24" l="1"/>
  <c r="G88" i="24" s="1"/>
  <c r="C18" i="23" l="1"/>
  <c r="C20" i="23" s="1"/>
  <c r="G110" i="24"/>
  <c r="L88" i="24"/>
  <c r="C28" i="23" s="1"/>
  <c r="D15" i="7" s="1"/>
  <c r="D14" i="7" s="1"/>
  <c r="C13" i="1" s="1"/>
  <c r="C30" i="23" l="1"/>
  <c r="L110" i="24"/>
  <c r="R116" i="24" s="1"/>
  <c r="R118" i="24" s="1"/>
  <c r="L119" i="24" l="1"/>
  <c r="D20" i="7" s="1"/>
  <c r="T118" i="24"/>
  <c r="S116" i="24"/>
  <c r="S117" i="24" s="1"/>
  <c r="V116" i="24"/>
  <c r="U117" i="24"/>
  <c r="Q117" i="24"/>
  <c r="Q118" i="24" s="1"/>
  <c r="G117" i="24" l="1"/>
  <c r="L117" i="24" s="1"/>
  <c r="C49" i="23" s="1"/>
  <c r="D23" i="7" s="1"/>
  <c r="C27" i="1" s="1"/>
  <c r="G118" i="24"/>
  <c r="L118" i="24" s="1"/>
  <c r="C50" i="23" s="1"/>
  <c r="D24" i="7" s="1"/>
  <c r="C29" i="1" s="1"/>
  <c r="G116" i="24"/>
  <c r="L116" i="24" s="1"/>
  <c r="C48" i="23" s="1"/>
  <c r="G119" i="24"/>
  <c r="D22" i="7" l="1"/>
  <c r="C25" i="1" s="1"/>
</calcChain>
</file>

<file path=xl/comments1.xml><?xml version="1.0" encoding="utf-8"?>
<comments xmlns="http://schemas.openxmlformats.org/spreadsheetml/2006/main">
  <authors>
    <author>Thomas Kessler</author>
  </authors>
  <commentList>
    <comment ref="B4" authorId="0" shapeId="0">
      <text>
        <r>
          <rPr>
            <sz val="9"/>
            <color indexed="81"/>
            <rFont val="Tahoma"/>
            <family val="2"/>
          </rPr>
          <t>Erscheint auf den Seitenköpfen im Impressum</t>
        </r>
      </text>
    </comment>
    <comment ref="B5" authorId="0" shapeId="0">
      <text>
        <r>
          <rPr>
            <sz val="9"/>
            <color indexed="81"/>
            <rFont val="Tahoma"/>
            <family val="2"/>
          </rPr>
          <t>Erscheint auf den Seitenköpfen im Impressum</t>
        </r>
      </text>
    </comment>
    <comment ref="B6" authorId="0" shapeId="0">
      <text>
        <r>
          <rPr>
            <sz val="9"/>
            <color indexed="81"/>
            <rFont val="Tahoma"/>
            <family val="2"/>
          </rPr>
          <t>Erscheint auf den Seitenköpfen im Impressum</t>
        </r>
      </text>
    </comment>
  </commentList>
</comments>
</file>

<file path=xl/comments10.xml><?xml version="1.0" encoding="utf-8"?>
<comments xmlns="http://schemas.openxmlformats.org/spreadsheetml/2006/main">
  <authors>
    <author>Thomas Kessler</author>
    <author>Thomas Kessler (ahbket)</author>
    <author>Stefan</author>
  </authors>
  <commentList>
    <comment ref="E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60" authorId="1" shapeId="0">
      <text>
        <r>
          <rPr>
            <sz val="9"/>
            <color indexed="81"/>
            <rFont val="Segoe UI"/>
            <family val="2"/>
          </rPr>
          <t>nach SIA 384/6 (2010)</t>
        </r>
      </text>
    </comment>
    <comment ref="K60" authorId="1" shapeId="0">
      <text>
        <r>
          <rPr>
            <sz val="9"/>
            <color indexed="81"/>
            <rFont val="Segoe UI"/>
            <family val="2"/>
          </rPr>
          <t>nach SIA 384/6 (2010)</t>
        </r>
      </text>
    </comment>
    <comment ref="D409" authorId="2" shapeId="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1.xml><?xml version="1.0" encoding="utf-8"?>
<comments xmlns="http://schemas.openxmlformats.org/spreadsheetml/2006/main">
  <authors>
    <author>Thomas Kessler</author>
  </authors>
  <commentList>
    <comment ref="F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text>
        <r>
          <rPr>
            <sz val="9"/>
            <color indexed="81"/>
            <rFont val="Tahoma"/>
            <family val="2"/>
          </rPr>
          <t>Ob die externen Kosten berücksichtigt werden oder nicht kann im Blatt "Projektdaten" gewählt werden</t>
        </r>
      </text>
    </comment>
    <comment ref="D88" authorId="0" shapeId="0">
      <text>
        <r>
          <rPr>
            <sz val="9"/>
            <color indexed="81"/>
            <rFont val="Tahoma"/>
            <family val="2"/>
          </rPr>
          <t>Berücksichtigung Förderbeiträge oder nicht kann im Blatt "Projektdaten" gewählt werden</t>
        </r>
      </text>
    </comment>
    <comment ref="C109" authorId="0" shapeId="0">
      <text>
        <r>
          <rPr>
            <sz val="9"/>
            <color indexed="81"/>
            <rFont val="Tahoma"/>
            <family val="2"/>
          </rPr>
          <t>Ob die externen Kosten berücksichtigt werden oder nicht kann im Blatt "Projektdaten" gewählt werden</t>
        </r>
      </text>
    </comment>
    <comment ref="E112" authorId="0" shapeId="0">
      <text>
        <r>
          <rPr>
            <sz val="9"/>
            <color indexed="81"/>
            <rFont val="Tahoma"/>
            <family val="2"/>
          </rPr>
          <t>Berücksichtigung Förderbeiträge oder nicht kann im Blatt "Projektdaten" gewählt werden</t>
        </r>
      </text>
    </comment>
  </commentList>
</comments>
</file>

<file path=xl/comments12.xml><?xml version="1.0" encoding="utf-8"?>
<comments xmlns="http://schemas.openxmlformats.org/spreadsheetml/2006/main">
  <authors>
    <author>Thomas Kessler</author>
    <author>Thomas Kessler (ahbket)</author>
    <author>Stefan</author>
  </authors>
  <commentList>
    <comment ref="E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60" authorId="1" shapeId="0">
      <text>
        <r>
          <rPr>
            <sz val="9"/>
            <color indexed="81"/>
            <rFont val="Segoe UI"/>
            <family val="2"/>
          </rPr>
          <t>nach SIA 384/6 (2010)</t>
        </r>
      </text>
    </comment>
    <comment ref="K60" authorId="1" shapeId="0">
      <text>
        <r>
          <rPr>
            <sz val="9"/>
            <color indexed="81"/>
            <rFont val="Segoe UI"/>
            <family val="2"/>
          </rPr>
          <t>nach SIA 384/6 (2010)</t>
        </r>
      </text>
    </comment>
    <comment ref="D409" authorId="2" shapeId="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3.xml><?xml version="1.0" encoding="utf-8"?>
<comments xmlns="http://schemas.openxmlformats.org/spreadsheetml/2006/main">
  <authors>
    <author>Thomas Kessler</author>
  </authors>
  <commentList>
    <comment ref="F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text>
        <r>
          <rPr>
            <sz val="9"/>
            <color indexed="81"/>
            <rFont val="Tahoma"/>
            <family val="2"/>
          </rPr>
          <t>Ob die externen Kosten berücksichtigt werden oder nicht kann im Blatt "Projektdaten" gewählt werden</t>
        </r>
      </text>
    </comment>
    <comment ref="D88" authorId="0" shapeId="0">
      <text>
        <r>
          <rPr>
            <sz val="9"/>
            <color indexed="81"/>
            <rFont val="Tahoma"/>
            <family val="2"/>
          </rPr>
          <t>Berücksichtigung Förderbeiträge oder nicht kann im Blatt "Projektdaten" gewählt werden</t>
        </r>
      </text>
    </comment>
    <comment ref="C109" authorId="0" shapeId="0">
      <text>
        <r>
          <rPr>
            <sz val="9"/>
            <color indexed="81"/>
            <rFont val="Tahoma"/>
            <family val="2"/>
          </rPr>
          <t>Ob die externen Kosten berücksichtigt werden oder nicht kann im Blatt "Projektdaten" gewählt werden</t>
        </r>
      </text>
    </comment>
    <comment ref="E112" authorId="0" shapeId="0">
      <text>
        <r>
          <rPr>
            <sz val="9"/>
            <color indexed="81"/>
            <rFont val="Tahoma"/>
            <family val="2"/>
          </rPr>
          <t>Berücksichtigung Förderbeiträge oder nicht kann im Blatt "Projektdaten" gewählt werden</t>
        </r>
      </text>
    </comment>
  </commentList>
</comments>
</file>

<file path=xl/comments14.xml><?xml version="1.0" encoding="utf-8"?>
<comments xmlns="http://schemas.openxmlformats.org/spreadsheetml/2006/main">
  <authors>
    <author>Thomas Kessler</author>
    <author>Thomas Kessler (ahbket)</author>
    <author>Stefan</author>
  </authors>
  <commentList>
    <comment ref="E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60" authorId="1" shapeId="0">
      <text>
        <r>
          <rPr>
            <sz val="9"/>
            <color indexed="81"/>
            <rFont val="Segoe UI"/>
            <family val="2"/>
          </rPr>
          <t>nach SIA 384/6 (2010)</t>
        </r>
      </text>
    </comment>
    <comment ref="K60" authorId="1" shapeId="0">
      <text>
        <r>
          <rPr>
            <sz val="9"/>
            <color indexed="81"/>
            <rFont val="Segoe UI"/>
            <family val="2"/>
          </rPr>
          <t>nach SIA 384/6 (2010)</t>
        </r>
      </text>
    </comment>
    <comment ref="A408" authorId="2" shapeId="0">
      <text>
        <r>
          <rPr>
            <b/>
            <sz val="9"/>
            <color indexed="81"/>
            <rFont val="Tahoma"/>
            <family val="2"/>
          </rPr>
          <t xml:space="preserve">Zum Erfassen der Jahreskosten Betriebsführung:
</t>
        </r>
        <r>
          <rPr>
            <sz val="9"/>
            <color indexed="81"/>
            <rFont val="Tahoma"/>
            <family val="2"/>
          </rPr>
          <t xml:space="preserve">Details einblenden mit Klick auf den "+" Knopf am linken Rand.
</t>
        </r>
      </text>
    </comment>
    <comment ref="D409" authorId="2" shapeId="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5.xml><?xml version="1.0" encoding="utf-8"?>
<comments xmlns="http://schemas.openxmlformats.org/spreadsheetml/2006/main">
  <authors>
    <author>Thomas Kessler</author>
  </authors>
  <commentList>
    <comment ref="F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text>
        <r>
          <rPr>
            <sz val="9"/>
            <color indexed="81"/>
            <rFont val="Tahoma"/>
            <family val="2"/>
          </rPr>
          <t>Ob die externen Kosten berücksichtigt werden oder nicht kann im Blatt "Projektdaten" gewählt werden</t>
        </r>
      </text>
    </comment>
    <comment ref="D88" authorId="0" shapeId="0">
      <text>
        <r>
          <rPr>
            <sz val="9"/>
            <color indexed="81"/>
            <rFont val="Tahoma"/>
            <family val="2"/>
          </rPr>
          <t>Berücksichtigung Förderbeiträge oder nicht kann im Blatt "Projektdaten" gewählt werden</t>
        </r>
      </text>
    </comment>
    <comment ref="C109" authorId="0" shapeId="0">
      <text>
        <r>
          <rPr>
            <sz val="9"/>
            <color indexed="81"/>
            <rFont val="Tahoma"/>
            <family val="2"/>
          </rPr>
          <t>Ob die externen Kosten berücksichtigt werden oder nicht kann im Blatt "Projektdaten" gewählt werden</t>
        </r>
      </text>
    </comment>
    <comment ref="E112" authorId="0" shapeId="0">
      <text>
        <r>
          <rPr>
            <sz val="9"/>
            <color indexed="81"/>
            <rFont val="Tahoma"/>
            <family val="2"/>
          </rPr>
          <t>Berücksichtigung Förderbeiträge oder nicht kann im Blatt "Projektdaten" gewählt werden</t>
        </r>
      </text>
    </comment>
  </commentList>
</comments>
</file>

<file path=xl/comments16.xml><?xml version="1.0" encoding="utf-8"?>
<comments xmlns="http://schemas.openxmlformats.org/spreadsheetml/2006/main">
  <authors>
    <author>Thomas Kessler</author>
    <author>Thomas Kessler (ahbket)</author>
    <author>Stefan</author>
  </authors>
  <commentList>
    <comment ref="E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60" authorId="1" shapeId="0">
      <text>
        <r>
          <rPr>
            <sz val="9"/>
            <color indexed="81"/>
            <rFont val="Segoe UI"/>
            <family val="2"/>
          </rPr>
          <t>nach SIA 384/6 (2010)</t>
        </r>
      </text>
    </comment>
    <comment ref="K60" authorId="1" shapeId="0">
      <text>
        <r>
          <rPr>
            <sz val="9"/>
            <color indexed="81"/>
            <rFont val="Segoe UI"/>
            <family val="2"/>
          </rPr>
          <t>nach SIA 384/6 (2010)</t>
        </r>
      </text>
    </comment>
    <comment ref="A408" authorId="2" shapeId="0">
      <text>
        <r>
          <rPr>
            <b/>
            <sz val="9"/>
            <color indexed="81"/>
            <rFont val="Tahoma"/>
            <family val="2"/>
          </rPr>
          <t xml:space="preserve">Zum Erfassen der Jahreskosten Betriebsführung:
</t>
        </r>
        <r>
          <rPr>
            <sz val="9"/>
            <color indexed="81"/>
            <rFont val="Tahoma"/>
            <family val="2"/>
          </rPr>
          <t xml:space="preserve">Details einblenden mit Klick auf den "+" Knopf am linken Rand.
</t>
        </r>
      </text>
    </comment>
    <comment ref="D409" authorId="2" shapeId="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7.xml><?xml version="1.0" encoding="utf-8"?>
<comments xmlns="http://schemas.openxmlformats.org/spreadsheetml/2006/main">
  <authors>
    <author>Thomas Kessler</author>
  </authors>
  <commentList>
    <comment ref="D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List>
</comments>
</file>

<file path=xl/comments18.xml><?xml version="1.0" encoding="utf-8"?>
<comments xmlns="http://schemas.openxmlformats.org/spreadsheetml/2006/main">
  <authors>
    <author>Thomas Kessler</author>
  </authors>
  <commentList>
    <comment ref="E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A31" authorId="0" shapeId="0">
      <text>
        <r>
          <rPr>
            <sz val="9"/>
            <color indexed="81"/>
            <rFont val="Tahoma"/>
            <family val="2"/>
          </rPr>
          <t>Kriterium für qualitative Beurteilung von Hand einfügen</t>
        </r>
      </text>
    </comment>
    <comment ref="C31" authorId="0" shapeId="0">
      <text>
        <r>
          <rPr>
            <sz val="9"/>
            <color indexed="81"/>
            <rFont val="Tahoma"/>
            <family val="2"/>
          </rPr>
          <t>1 = gut / niedrig / erfüllt
2 = mittel / teilweise erfüllt
3 = schlecht / hoch / nicht erfüllt</t>
        </r>
      </text>
    </comment>
    <comment ref="E31" authorId="0" shapeId="0">
      <text>
        <r>
          <rPr>
            <sz val="9"/>
            <color indexed="81"/>
            <rFont val="Tahoma"/>
            <family val="2"/>
          </rPr>
          <t>Qualitative Beurteilung
(Stichwörter)</t>
        </r>
      </text>
    </comment>
    <comment ref="I31" authorId="0" shapeId="0">
      <text>
        <r>
          <rPr>
            <sz val="9"/>
            <color indexed="81"/>
            <rFont val="Tahoma"/>
            <family val="2"/>
          </rPr>
          <t>1 = gut / niedrig / erfüllt
2 = mittel / teilweise erfüllt
3 = schlecht / hoch / nicht erfüllt</t>
        </r>
      </text>
    </comment>
    <comment ref="K31" authorId="0" shapeId="0">
      <text>
        <r>
          <rPr>
            <sz val="9"/>
            <color indexed="81"/>
            <rFont val="Tahoma"/>
            <family val="2"/>
          </rPr>
          <t>Qualitative Beurteilung
(Stichwörter)</t>
        </r>
      </text>
    </comment>
    <comment ref="O31" authorId="0" shapeId="0">
      <text>
        <r>
          <rPr>
            <sz val="9"/>
            <color indexed="81"/>
            <rFont val="Tahoma"/>
            <family val="2"/>
          </rPr>
          <t>1 = gut / niedrig / erfüllt
2 = mittel / teilweise erfüllt
3 = schlecht / hoch / nicht erfüllt</t>
        </r>
      </text>
    </comment>
    <comment ref="Q31" authorId="0" shapeId="0">
      <text>
        <r>
          <rPr>
            <sz val="9"/>
            <color indexed="81"/>
            <rFont val="Tahoma"/>
            <family val="2"/>
          </rPr>
          <t>Qualitative Beurteilung
(Stichwörter)</t>
        </r>
      </text>
    </comment>
    <comment ref="U31" authorId="0" shapeId="0">
      <text>
        <r>
          <rPr>
            <sz val="9"/>
            <color indexed="81"/>
            <rFont val="Tahoma"/>
            <family val="2"/>
          </rPr>
          <t>1 = gut / niedrig / erfüllt
2 = mittel / teilweise erfüllt
3 = schlecht / hoch / nicht erfüllt</t>
        </r>
      </text>
    </comment>
    <comment ref="W31" authorId="0" shapeId="0">
      <text>
        <r>
          <rPr>
            <sz val="9"/>
            <color indexed="81"/>
            <rFont val="Tahoma"/>
            <family val="2"/>
          </rPr>
          <t>Qualitative Beurteilung
(Stichwörter)</t>
        </r>
      </text>
    </comment>
    <comment ref="A33" authorId="0" shapeId="0">
      <text>
        <r>
          <rPr>
            <sz val="9"/>
            <color indexed="81"/>
            <rFont val="Tahoma"/>
            <family val="2"/>
          </rPr>
          <t>Kriterium für qualitative Beurteilung von Hand einfügen</t>
        </r>
      </text>
    </comment>
    <comment ref="C33" authorId="0" shapeId="0">
      <text>
        <r>
          <rPr>
            <sz val="9"/>
            <color indexed="81"/>
            <rFont val="Tahoma"/>
            <family val="2"/>
          </rPr>
          <t>1 = gut / niedrig / erfüllt
2 = mittel / teilweise erfüllt
3 = schlecht / hoch / nicht erfüllt</t>
        </r>
      </text>
    </comment>
    <comment ref="E33" authorId="0" shapeId="0">
      <text>
        <r>
          <rPr>
            <sz val="9"/>
            <color indexed="81"/>
            <rFont val="Tahoma"/>
            <family val="2"/>
          </rPr>
          <t>Qualitative Beurteilung
(Stichwörter)</t>
        </r>
      </text>
    </comment>
    <comment ref="I33" authorId="0" shapeId="0">
      <text>
        <r>
          <rPr>
            <sz val="9"/>
            <color indexed="81"/>
            <rFont val="Tahoma"/>
            <family val="2"/>
          </rPr>
          <t>1 = gut / niedrig / erfüllt
2 = mittel / teilweise erfüllt
3 = schlecht / hoch / nicht erfüllt</t>
        </r>
      </text>
    </comment>
    <comment ref="K33" authorId="0" shapeId="0">
      <text>
        <r>
          <rPr>
            <sz val="9"/>
            <color indexed="81"/>
            <rFont val="Tahoma"/>
            <family val="2"/>
          </rPr>
          <t>Qualitative Beurteilung
(Stichwörter)</t>
        </r>
      </text>
    </comment>
    <comment ref="O33" authorId="0" shapeId="0">
      <text>
        <r>
          <rPr>
            <sz val="9"/>
            <color indexed="81"/>
            <rFont val="Tahoma"/>
            <family val="2"/>
          </rPr>
          <t>1 = gut / niedrig / erfüllt
2 = mittel / teilweise erfüllt
3 = schlecht / hoch / nicht erfüllt</t>
        </r>
      </text>
    </comment>
    <comment ref="Q33" authorId="0" shapeId="0">
      <text>
        <r>
          <rPr>
            <sz val="9"/>
            <color indexed="81"/>
            <rFont val="Tahoma"/>
            <family val="2"/>
          </rPr>
          <t>Qualitative Beurteilung
(Stichwörter)</t>
        </r>
      </text>
    </comment>
    <comment ref="U33" authorId="0" shapeId="0">
      <text>
        <r>
          <rPr>
            <sz val="9"/>
            <color indexed="81"/>
            <rFont val="Tahoma"/>
            <family val="2"/>
          </rPr>
          <t>1 = gut / niedrig / erfüllt
2 = mittel / teilweise erfüllt
3 = schlecht / hoch / nicht erfüllt</t>
        </r>
      </text>
    </comment>
    <comment ref="W33" authorId="0" shapeId="0">
      <text>
        <r>
          <rPr>
            <sz val="9"/>
            <color indexed="81"/>
            <rFont val="Tahoma"/>
            <family val="2"/>
          </rPr>
          <t>Qualitative Beurteilung
(Stichwörter)</t>
        </r>
      </text>
    </comment>
    <comment ref="A35" authorId="0" shapeId="0">
      <text>
        <r>
          <rPr>
            <sz val="9"/>
            <color indexed="81"/>
            <rFont val="Tahoma"/>
            <family val="2"/>
          </rPr>
          <t>Kriterium für qualitative Beurteilung von Hand einfügen</t>
        </r>
      </text>
    </comment>
    <comment ref="C35" authorId="0" shapeId="0">
      <text>
        <r>
          <rPr>
            <sz val="9"/>
            <color indexed="81"/>
            <rFont val="Tahoma"/>
            <family val="2"/>
          </rPr>
          <t>1 = gut / niedrig / erfüllt
2 = mittel / teilweise erfüllt
3 = schlecht / hoch / nicht erfüllt</t>
        </r>
      </text>
    </comment>
    <comment ref="E35" authorId="0" shapeId="0">
      <text>
        <r>
          <rPr>
            <sz val="9"/>
            <color indexed="81"/>
            <rFont val="Tahoma"/>
            <family val="2"/>
          </rPr>
          <t>Qualitative Beurteilung
(Stichwörter)</t>
        </r>
      </text>
    </comment>
    <comment ref="I35" authorId="0" shapeId="0">
      <text>
        <r>
          <rPr>
            <sz val="9"/>
            <color indexed="81"/>
            <rFont val="Tahoma"/>
            <family val="2"/>
          </rPr>
          <t>1 = gut / niedrig / erfüllt
2 = mittel / teilweise erfüllt
3 = schlecht / hoch / nicht erfüllt</t>
        </r>
      </text>
    </comment>
    <comment ref="K35" authorId="0" shapeId="0">
      <text>
        <r>
          <rPr>
            <sz val="9"/>
            <color indexed="81"/>
            <rFont val="Tahoma"/>
            <family val="2"/>
          </rPr>
          <t>Qualitative Beurteilung
(Stichwörter)</t>
        </r>
      </text>
    </comment>
    <comment ref="O35" authorId="0" shapeId="0">
      <text>
        <r>
          <rPr>
            <sz val="9"/>
            <color indexed="81"/>
            <rFont val="Tahoma"/>
            <family val="2"/>
          </rPr>
          <t>1 = gut / niedrig / erfüllt
2 = mittel / teilweise erfüllt
3 = schlecht / hoch / nicht erfüllt</t>
        </r>
      </text>
    </comment>
    <comment ref="Q35" authorId="0" shapeId="0">
      <text>
        <r>
          <rPr>
            <sz val="9"/>
            <color indexed="81"/>
            <rFont val="Tahoma"/>
            <family val="2"/>
          </rPr>
          <t>Qualitative Beurteilung
(Stichwörter)</t>
        </r>
      </text>
    </comment>
    <comment ref="U35" authorId="0" shapeId="0">
      <text>
        <r>
          <rPr>
            <sz val="9"/>
            <color indexed="81"/>
            <rFont val="Tahoma"/>
            <family val="2"/>
          </rPr>
          <t>1 = gut / niedrig / erfüllt
2 = mittel / teilweise erfüllt
3 = schlecht / hoch / nicht erfüllt</t>
        </r>
      </text>
    </comment>
    <comment ref="W35" authorId="0" shapeId="0">
      <text>
        <r>
          <rPr>
            <sz val="9"/>
            <color indexed="81"/>
            <rFont val="Tahoma"/>
            <family val="2"/>
          </rPr>
          <t>Qualitative Beurteilung
(Stichwörter)</t>
        </r>
      </text>
    </comment>
    <comment ref="C37" authorId="0" shapeId="0">
      <text>
        <r>
          <rPr>
            <sz val="9"/>
            <color indexed="81"/>
            <rFont val="Tahoma"/>
            <family val="2"/>
          </rPr>
          <t>1 = gut / niedrig / erfüllt
2 = mittel / teilweise erfüllt
3 = schlecht / hoch / nicht erfüllt</t>
        </r>
      </text>
    </comment>
    <comment ref="E37" authorId="0" shapeId="0">
      <text>
        <r>
          <rPr>
            <sz val="9"/>
            <color indexed="81"/>
            <rFont val="Tahoma"/>
            <family val="2"/>
          </rPr>
          <t>Kurze Gesamtbeurteilung dieser Variante</t>
        </r>
      </text>
    </comment>
    <comment ref="I37" authorId="0" shapeId="0">
      <text>
        <r>
          <rPr>
            <sz val="9"/>
            <color indexed="81"/>
            <rFont val="Tahoma"/>
            <family val="2"/>
          </rPr>
          <t>1 = gut / niedrig / erfüllt
2 = mittel / teilweise erfüllt
3 = schlecht / hoch / nicht erfüllt</t>
        </r>
      </text>
    </comment>
    <comment ref="K37" authorId="0" shapeId="0">
      <text>
        <r>
          <rPr>
            <sz val="9"/>
            <color indexed="81"/>
            <rFont val="Tahoma"/>
            <family val="2"/>
          </rPr>
          <t>Kurze Gesamtbeurteilung dieser Variante</t>
        </r>
      </text>
    </comment>
    <comment ref="O37" authorId="0" shapeId="0">
      <text>
        <r>
          <rPr>
            <sz val="9"/>
            <color indexed="81"/>
            <rFont val="Tahoma"/>
            <family val="2"/>
          </rPr>
          <t>1 = gut / niedrig / erfüllt
2 = mittel / teilweise erfüllt
3 = schlecht / hoch / nicht erfüllt</t>
        </r>
      </text>
    </comment>
    <comment ref="Q37" authorId="0" shapeId="0">
      <text>
        <r>
          <rPr>
            <sz val="9"/>
            <color indexed="81"/>
            <rFont val="Tahoma"/>
            <family val="2"/>
          </rPr>
          <t>Kurze Gesamtbeurteilung dieser Variante</t>
        </r>
      </text>
    </comment>
    <comment ref="U37" authorId="0" shapeId="0">
      <text>
        <r>
          <rPr>
            <sz val="9"/>
            <color indexed="81"/>
            <rFont val="Tahoma"/>
            <family val="2"/>
          </rPr>
          <t>1 = gut / niedrig / erfüllt
2 = mittel / teilweise erfüllt
3 = schlecht / hoch / nicht erfüllt</t>
        </r>
      </text>
    </comment>
    <comment ref="W37" authorId="0" shapeId="0">
      <text>
        <r>
          <rPr>
            <sz val="9"/>
            <color indexed="81"/>
            <rFont val="Tahoma"/>
            <family val="2"/>
          </rPr>
          <t>Kurze Gesamtbeurteilung dieser Variante</t>
        </r>
      </text>
    </comment>
  </commentList>
</comments>
</file>

<file path=xl/comments19.xml><?xml version="1.0" encoding="utf-8"?>
<comments xmlns="http://schemas.openxmlformats.org/spreadsheetml/2006/main">
  <authors>
    <author>Thomas Kessler</author>
  </authors>
  <commentList>
    <comment ref="D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A21" authorId="0" shapeId="0">
      <text>
        <r>
          <rPr>
            <sz val="9"/>
            <color indexed="81"/>
            <rFont val="Tahoma"/>
            <family val="2"/>
          </rPr>
          <t>Berücksichtigung Förderbeiträge oder nicht kann im Blatt "Projektdaten" gewählt werden</t>
        </r>
      </text>
    </comment>
  </commentList>
</comments>
</file>

<file path=xl/comments2.xml><?xml version="1.0" encoding="utf-8"?>
<comments xmlns="http://schemas.openxmlformats.org/spreadsheetml/2006/main">
  <authors>
    <author>Thomas Kessler</author>
  </authors>
  <commentList>
    <comment ref="F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I65" authorId="0" shapeId="0">
      <text>
        <r>
          <rPr>
            <sz val="9"/>
            <color indexed="81"/>
            <rFont val="Tahoma"/>
            <family val="2"/>
          </rPr>
          <t>Kommentar zu Eingabefeld (erscheint wenn Mauszeiger darauf ist)</t>
        </r>
      </text>
    </comment>
  </commentList>
</comments>
</file>

<file path=xl/comments3.xml><?xml version="1.0" encoding="utf-8"?>
<comments xmlns="http://schemas.openxmlformats.org/spreadsheetml/2006/main">
  <authors>
    <author>Thomas Kessler</author>
  </authors>
  <commentList>
    <comment ref="G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20" authorId="0" shapeId="0">
      <text>
        <r>
          <rPr>
            <sz val="9"/>
            <color indexed="81"/>
            <rFont val="Tahoma"/>
            <family val="2"/>
          </rPr>
          <t>Inhalt dieses Feldes nicht löschen!</t>
        </r>
      </text>
    </comment>
    <comment ref="G22" authorId="0" shapeId="0">
      <text>
        <r>
          <rPr>
            <sz val="9"/>
            <color indexed="81"/>
            <rFont val="Tahoma"/>
            <family val="2"/>
          </rPr>
          <t>Inhalt dieses Feldes nicht löschen!</t>
        </r>
      </text>
    </comment>
    <comment ref="G24" authorId="0" shapeId="0">
      <text>
        <r>
          <rPr>
            <sz val="9"/>
            <color indexed="81"/>
            <rFont val="Tahoma"/>
            <family val="2"/>
          </rPr>
          <t>Inhalt dieses Feldes nicht löschen!</t>
        </r>
      </text>
    </comment>
    <comment ref="G29" authorId="0" shapeId="0">
      <text>
        <r>
          <rPr>
            <sz val="9"/>
            <color indexed="81"/>
            <rFont val="Tahoma"/>
            <family val="2"/>
          </rPr>
          <t>Inhalt dieses Feldes nicht löschen!</t>
        </r>
      </text>
    </comment>
    <comment ref="G31" authorId="0" shapeId="0">
      <text>
        <r>
          <rPr>
            <sz val="9"/>
            <color indexed="81"/>
            <rFont val="Tahoma"/>
            <family val="2"/>
          </rPr>
          <t>Inhalt dieses Feldes nicht löschen!</t>
        </r>
      </text>
    </comment>
    <comment ref="I46" authorId="0" shapeId="0">
      <text>
        <r>
          <rPr>
            <sz val="9"/>
            <color indexed="81"/>
            <rFont val="Tahoma"/>
            <family val="2"/>
          </rPr>
          <t>Variantenspezifische Hilfsenergieverbräuche sind in den Blättern EV_Var... anzugeben</t>
        </r>
      </text>
    </comment>
  </commentList>
</comments>
</file>

<file path=xl/comments4.xml><?xml version="1.0" encoding="utf-8"?>
<comments xmlns="http://schemas.openxmlformats.org/spreadsheetml/2006/main">
  <authors>
    <author>Thomas Kessler</author>
  </authors>
  <commentList>
    <comment ref="J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V5" authorId="0" shapeId="0">
      <text>
        <r>
          <rPr>
            <sz val="9"/>
            <color indexed="81"/>
            <rFont val="Tahoma"/>
            <family val="2"/>
          </rPr>
          <t>Eingabe überschreibt Vorgabe im Feld links</t>
        </r>
      </text>
    </comment>
    <comment ref="AF5" authorId="0" shapeId="0">
      <text>
        <r>
          <rPr>
            <sz val="9"/>
            <color indexed="81"/>
            <rFont val="Tahoma"/>
            <family val="2"/>
          </rPr>
          <t>Eingabe überschreibt Vorgabe im Feld links</t>
        </r>
      </text>
    </comment>
    <comment ref="I8" authorId="0" shapeId="0">
      <text>
        <r>
          <rPr>
            <sz val="9"/>
            <color indexed="81"/>
            <rFont val="Tahoma"/>
            <family val="2"/>
          </rPr>
          <t>inkl. MWSt</t>
        </r>
      </text>
    </comment>
    <comment ref="K8" authorId="0" shapeId="0">
      <text>
        <r>
          <rPr>
            <sz val="9"/>
            <color indexed="81"/>
            <rFont val="Tahoma"/>
            <family val="2"/>
          </rPr>
          <t>inkl. MWSt</t>
        </r>
      </text>
    </comment>
    <comment ref="M8" authorId="0" shapeId="0">
      <text>
        <r>
          <rPr>
            <sz val="9"/>
            <color indexed="81"/>
            <rFont val="Tahoma"/>
            <family val="2"/>
          </rPr>
          <t>inkl. MWSt</t>
        </r>
      </text>
    </comment>
    <comment ref="O8" authorId="0" shapeId="0">
      <text>
        <r>
          <rPr>
            <sz val="9"/>
            <color indexed="81"/>
            <rFont val="Tahoma"/>
            <family val="2"/>
          </rPr>
          <t>inkl. MWSt</t>
        </r>
      </text>
    </comment>
    <comment ref="J11" authorId="0" shapeId="0">
      <text>
        <r>
          <rPr>
            <sz val="9"/>
            <color indexed="81"/>
            <rFont val="Tahoma"/>
            <family val="2"/>
          </rPr>
          <t>Eingabe überschreibt Vorgabe im Feld links</t>
        </r>
      </text>
    </comment>
    <comment ref="L11" authorId="0" shapeId="0">
      <text>
        <r>
          <rPr>
            <sz val="9"/>
            <color indexed="81"/>
            <rFont val="Tahoma"/>
            <family val="2"/>
          </rPr>
          <t>Eingabe überschreibt Vorgabe im Feld links</t>
        </r>
      </text>
    </comment>
    <comment ref="N11" authorId="0" shapeId="0">
      <text>
        <r>
          <rPr>
            <sz val="9"/>
            <color indexed="81"/>
            <rFont val="Tahoma"/>
            <family val="2"/>
          </rPr>
          <t>Eingabe überschreibt Vorgabe im Feld links</t>
        </r>
      </text>
    </comment>
    <comment ref="P11" authorId="0" shapeId="0">
      <text>
        <r>
          <rPr>
            <sz val="9"/>
            <color indexed="81"/>
            <rFont val="Tahoma"/>
            <family val="2"/>
          </rPr>
          <t>Eingabe überschreibt Vorgabe im Feld links</t>
        </r>
      </text>
    </comment>
    <comment ref="V11" authorId="0" shapeId="0">
      <text>
        <r>
          <rPr>
            <sz val="9"/>
            <color indexed="81"/>
            <rFont val="Tahoma"/>
            <family val="2"/>
          </rPr>
          <t>Eingabe überschreibt Vorgabe im Feld links</t>
        </r>
      </text>
    </comment>
    <comment ref="L12" authorId="0" shapeId="0">
      <text>
        <r>
          <rPr>
            <sz val="9"/>
            <color indexed="81"/>
            <rFont val="Tahoma"/>
            <family val="2"/>
          </rPr>
          <t>Eingabe überschreibt Vorgabe im Feld links</t>
        </r>
      </text>
    </comment>
    <comment ref="N12" authorId="0" shapeId="0">
      <text>
        <r>
          <rPr>
            <sz val="9"/>
            <color indexed="81"/>
            <rFont val="Tahoma"/>
            <family val="2"/>
          </rPr>
          <t>Eingabe überschreibt Vorgabe im Feld links</t>
        </r>
      </text>
    </comment>
    <comment ref="P12" authorId="0" shapeId="0">
      <text>
        <r>
          <rPr>
            <sz val="9"/>
            <color indexed="81"/>
            <rFont val="Tahoma"/>
            <family val="2"/>
          </rPr>
          <t>Eingabe überschreibt Vorgabe im Feld links</t>
        </r>
      </text>
    </comment>
    <comment ref="L13" authorId="0" shapeId="0">
      <text>
        <r>
          <rPr>
            <sz val="9"/>
            <color indexed="81"/>
            <rFont val="Tahoma"/>
            <family val="2"/>
          </rPr>
          <t>Eingabe überschreibt Vorgabe im Feld links</t>
        </r>
      </text>
    </comment>
    <comment ref="N13" authorId="0" shapeId="0">
      <text>
        <r>
          <rPr>
            <sz val="9"/>
            <color indexed="81"/>
            <rFont val="Tahoma"/>
            <family val="2"/>
          </rPr>
          <t>Eingabe überschreibt Vorgabe im Feld links</t>
        </r>
      </text>
    </comment>
    <comment ref="P13" authorId="0" shapeId="0">
      <text>
        <r>
          <rPr>
            <sz val="9"/>
            <color indexed="81"/>
            <rFont val="Tahoma"/>
            <family val="2"/>
          </rPr>
          <t>Eingabe überschreibt Vorgabe im Feld links</t>
        </r>
      </text>
    </comment>
    <comment ref="L14" authorId="0" shapeId="0">
      <text>
        <r>
          <rPr>
            <sz val="9"/>
            <color indexed="81"/>
            <rFont val="Tahoma"/>
            <family val="2"/>
          </rPr>
          <t>Eingabe überschreibt Vorgabe im Feld links</t>
        </r>
      </text>
    </comment>
    <comment ref="N14" authorId="0" shapeId="0">
      <text>
        <r>
          <rPr>
            <sz val="9"/>
            <color indexed="81"/>
            <rFont val="Tahoma"/>
            <family val="2"/>
          </rPr>
          <t>Eingabe überschreibt Vorgabe im Feld links</t>
        </r>
      </text>
    </comment>
    <comment ref="P14" authorId="0" shapeId="0">
      <text>
        <r>
          <rPr>
            <sz val="9"/>
            <color indexed="81"/>
            <rFont val="Tahoma"/>
            <family val="2"/>
          </rPr>
          <t>Eingabe überschreibt Vorgabe im Feld links</t>
        </r>
      </text>
    </comment>
    <comment ref="I15" authorId="0" shapeId="0">
      <text>
        <r>
          <rPr>
            <sz val="9"/>
            <color indexed="81"/>
            <rFont val="Tahoma"/>
            <family val="2"/>
          </rPr>
          <t>Tarif ZH-NNB1</t>
        </r>
      </text>
    </comment>
    <comment ref="J15" authorId="0" shapeId="0">
      <text>
        <r>
          <rPr>
            <sz val="9"/>
            <color indexed="81"/>
            <rFont val="Tahoma"/>
            <family val="2"/>
          </rPr>
          <t>Eingabe überschreibt Vorgabe im Feld links</t>
        </r>
      </text>
    </comment>
    <comment ref="K15" authorId="0" shapeId="0">
      <text>
        <r>
          <rPr>
            <sz val="9"/>
            <color indexed="81"/>
            <rFont val="Tahoma"/>
            <family val="2"/>
          </rPr>
          <t>Tarif ZH-NNB1</t>
        </r>
      </text>
    </comment>
    <comment ref="L15" authorId="0" shapeId="0">
      <text>
        <r>
          <rPr>
            <sz val="9"/>
            <color indexed="81"/>
            <rFont val="Tahoma"/>
            <family val="2"/>
          </rPr>
          <t>Eingabe überschreibt Vorgabe im Feld links</t>
        </r>
      </text>
    </comment>
    <comment ref="N15" authorId="0" shapeId="0">
      <text>
        <r>
          <rPr>
            <sz val="9"/>
            <color indexed="81"/>
            <rFont val="Tahoma"/>
            <family val="2"/>
          </rPr>
          <t>Eingabe überschreibt Vorgabe im Feld links</t>
        </r>
      </text>
    </comment>
    <comment ref="P15" authorId="0" shapeId="0">
      <text>
        <r>
          <rPr>
            <sz val="9"/>
            <color indexed="81"/>
            <rFont val="Tahoma"/>
            <family val="2"/>
          </rPr>
          <t>Eingabe überschreibt Vorgabe im Feld links</t>
        </r>
      </text>
    </comment>
    <comment ref="V15" authorId="0" shapeId="0">
      <text>
        <r>
          <rPr>
            <sz val="9"/>
            <color indexed="81"/>
            <rFont val="Tahoma"/>
            <family val="2"/>
          </rPr>
          <t>Eingabe überschreibt Vorgabe im Feld links</t>
        </r>
      </text>
    </comment>
    <comment ref="K16" authorId="0" shapeId="0">
      <text>
        <r>
          <rPr>
            <sz val="9"/>
            <color indexed="81"/>
            <rFont val="Tahoma"/>
            <family val="2"/>
          </rPr>
          <t>Tarif ZH-NNB1</t>
        </r>
      </text>
    </comment>
    <comment ref="L16" authorId="0" shapeId="0">
      <text>
        <r>
          <rPr>
            <sz val="9"/>
            <color indexed="81"/>
            <rFont val="Tahoma"/>
            <family val="2"/>
          </rPr>
          <t>Eingabe überschreibt Vorgabe im Feld links</t>
        </r>
      </text>
    </comment>
    <comment ref="N16" authorId="0" shapeId="0">
      <text>
        <r>
          <rPr>
            <sz val="9"/>
            <color indexed="81"/>
            <rFont val="Tahoma"/>
            <family val="2"/>
          </rPr>
          <t>Eingabe überschreibt Vorgabe im Feld links</t>
        </r>
      </text>
    </comment>
    <comment ref="P16" authorId="0" shapeId="0">
      <text>
        <r>
          <rPr>
            <sz val="9"/>
            <color indexed="81"/>
            <rFont val="Tahoma"/>
            <family val="2"/>
          </rPr>
          <t>Eingabe überschreibt Vorgabe im Feld links</t>
        </r>
      </text>
    </comment>
    <comment ref="K17" authorId="0" shapeId="0">
      <text>
        <r>
          <rPr>
            <sz val="9"/>
            <color indexed="81"/>
            <rFont val="Tahoma"/>
            <family val="2"/>
          </rPr>
          <t>Tarif ZH-NNB1</t>
        </r>
      </text>
    </comment>
    <comment ref="L17" authorId="0" shapeId="0">
      <text>
        <r>
          <rPr>
            <sz val="9"/>
            <color indexed="81"/>
            <rFont val="Tahoma"/>
            <family val="2"/>
          </rPr>
          <t>Eingabe überschreibt Vorgabe im Feld links</t>
        </r>
      </text>
    </comment>
    <comment ref="N17" authorId="0" shapeId="0">
      <text>
        <r>
          <rPr>
            <sz val="9"/>
            <color indexed="81"/>
            <rFont val="Tahoma"/>
            <family val="2"/>
          </rPr>
          <t>Eingabe überschreibt Vorgabe im Feld links</t>
        </r>
      </text>
    </comment>
    <comment ref="P17" authorId="0" shapeId="0">
      <text>
        <r>
          <rPr>
            <sz val="9"/>
            <color indexed="81"/>
            <rFont val="Tahoma"/>
            <family val="2"/>
          </rPr>
          <t>Eingabe überschreibt Vorgabe im Feld links</t>
        </r>
      </text>
    </comment>
    <comment ref="K18" authorId="0" shapeId="0">
      <text>
        <r>
          <rPr>
            <sz val="9"/>
            <color indexed="81"/>
            <rFont val="Tahoma"/>
            <family val="2"/>
          </rPr>
          <t>Tarif ZH-NNB1</t>
        </r>
      </text>
    </comment>
    <comment ref="L18" authorId="0" shapeId="0">
      <text>
        <r>
          <rPr>
            <sz val="9"/>
            <color indexed="81"/>
            <rFont val="Tahoma"/>
            <family val="2"/>
          </rPr>
          <t>Eingabe überschreibt Vorgabe im Feld links</t>
        </r>
      </text>
    </comment>
    <comment ref="N18" authorId="0" shapeId="0">
      <text>
        <r>
          <rPr>
            <sz val="9"/>
            <color indexed="81"/>
            <rFont val="Tahoma"/>
            <family val="2"/>
          </rPr>
          <t>Eingabe überschreibt Vorgabe im Feld links</t>
        </r>
      </text>
    </comment>
    <comment ref="P18" authorId="0" shapeId="0">
      <text>
        <r>
          <rPr>
            <sz val="9"/>
            <color indexed="81"/>
            <rFont val="Tahoma"/>
            <family val="2"/>
          </rPr>
          <t>Eingabe überschreibt Vorgabe im Feld links</t>
        </r>
      </text>
    </comment>
    <comment ref="I19" authorId="0" shapeId="0">
      <text>
        <r>
          <rPr>
            <sz val="9"/>
            <color indexed="81"/>
            <rFont val="Tahoma"/>
            <family val="2"/>
          </rPr>
          <t>Tarif ZH-NNB1</t>
        </r>
      </text>
    </comment>
    <comment ref="J19" authorId="0" shapeId="0">
      <text>
        <r>
          <rPr>
            <sz val="9"/>
            <color indexed="81"/>
            <rFont val="Tahoma"/>
            <family val="2"/>
          </rPr>
          <t>Eingabe überschreibt Vorgabe im Feld links</t>
        </r>
      </text>
    </comment>
    <comment ref="K19" authorId="0" shapeId="0">
      <text>
        <r>
          <rPr>
            <sz val="9"/>
            <color indexed="81"/>
            <rFont val="Tahoma"/>
            <family val="2"/>
          </rPr>
          <t>Tarif ZH-NNB1</t>
        </r>
      </text>
    </comment>
    <comment ref="L19" authorId="0" shapeId="0">
      <text>
        <r>
          <rPr>
            <sz val="9"/>
            <color indexed="81"/>
            <rFont val="Tahoma"/>
            <family val="2"/>
          </rPr>
          <t>Eingabe überschreibt Vorgabe im Feld links</t>
        </r>
      </text>
    </comment>
    <comment ref="N19" authorId="0" shapeId="0">
      <text>
        <r>
          <rPr>
            <sz val="9"/>
            <color indexed="81"/>
            <rFont val="Tahoma"/>
            <family val="2"/>
          </rPr>
          <t>Eingabe überschreibt Vorgabe im Feld links</t>
        </r>
      </text>
    </comment>
    <comment ref="P19" authorId="0" shapeId="0">
      <text>
        <r>
          <rPr>
            <sz val="9"/>
            <color indexed="81"/>
            <rFont val="Tahoma"/>
            <family val="2"/>
          </rPr>
          <t>Eingabe überschreibt Vorgabe im Feld links</t>
        </r>
      </text>
    </comment>
    <comment ref="V19" authorId="0" shapeId="0">
      <text>
        <r>
          <rPr>
            <sz val="9"/>
            <color indexed="81"/>
            <rFont val="Tahoma"/>
            <family val="2"/>
          </rPr>
          <t>Eingabe überschreibt Vorgabe im Feld links</t>
        </r>
      </text>
    </comment>
    <comment ref="K20" authorId="0" shapeId="0">
      <text>
        <r>
          <rPr>
            <sz val="9"/>
            <color indexed="81"/>
            <rFont val="Tahoma"/>
            <family val="2"/>
          </rPr>
          <t>Tarif ZH-NNB1</t>
        </r>
      </text>
    </comment>
    <comment ref="L20" authorId="0" shapeId="0">
      <text>
        <r>
          <rPr>
            <sz val="9"/>
            <color indexed="81"/>
            <rFont val="Tahoma"/>
            <family val="2"/>
          </rPr>
          <t>Eingabe überschreibt Vorgabe im Feld links</t>
        </r>
      </text>
    </comment>
    <comment ref="N20" authorId="0" shapeId="0">
      <text>
        <r>
          <rPr>
            <sz val="9"/>
            <color indexed="81"/>
            <rFont val="Tahoma"/>
            <family val="2"/>
          </rPr>
          <t>Eingabe überschreibt Vorgabe im Feld links</t>
        </r>
      </text>
    </comment>
    <comment ref="P20" authorId="0" shapeId="0">
      <text>
        <r>
          <rPr>
            <sz val="9"/>
            <color indexed="81"/>
            <rFont val="Tahoma"/>
            <family val="2"/>
          </rPr>
          <t>Eingabe überschreibt Vorgabe im Feld links</t>
        </r>
      </text>
    </comment>
    <comment ref="K21" authorId="0" shapeId="0">
      <text>
        <r>
          <rPr>
            <sz val="9"/>
            <color indexed="81"/>
            <rFont val="Tahoma"/>
            <family val="2"/>
          </rPr>
          <t>Tarif ZH-NNB1</t>
        </r>
      </text>
    </comment>
    <comment ref="L21" authorId="0" shapeId="0">
      <text>
        <r>
          <rPr>
            <sz val="9"/>
            <color indexed="81"/>
            <rFont val="Tahoma"/>
            <family val="2"/>
          </rPr>
          <t>Eingabe überschreibt Vorgabe im Feld links</t>
        </r>
      </text>
    </comment>
    <comment ref="N21" authorId="0" shapeId="0">
      <text>
        <r>
          <rPr>
            <sz val="9"/>
            <color indexed="81"/>
            <rFont val="Tahoma"/>
            <family val="2"/>
          </rPr>
          <t>Eingabe überschreibt Vorgabe im Feld links</t>
        </r>
      </text>
    </comment>
    <comment ref="P21" authorId="0" shapeId="0">
      <text>
        <r>
          <rPr>
            <sz val="9"/>
            <color indexed="81"/>
            <rFont val="Tahoma"/>
            <family val="2"/>
          </rPr>
          <t>Eingabe überschreibt Vorgabe im Feld links</t>
        </r>
      </text>
    </comment>
    <comment ref="K22" authorId="0" shapeId="0">
      <text>
        <r>
          <rPr>
            <sz val="9"/>
            <color indexed="81"/>
            <rFont val="Tahoma"/>
            <family val="2"/>
          </rPr>
          <t>Tarif ZH-NNB1</t>
        </r>
      </text>
    </comment>
    <comment ref="L22" authorId="0" shapeId="0">
      <text>
        <r>
          <rPr>
            <sz val="9"/>
            <color indexed="81"/>
            <rFont val="Tahoma"/>
            <family val="2"/>
          </rPr>
          <t>Eingabe überschreibt Vorgabe im Feld links</t>
        </r>
      </text>
    </comment>
    <comment ref="N22" authorId="0" shapeId="0">
      <text>
        <r>
          <rPr>
            <sz val="9"/>
            <color indexed="81"/>
            <rFont val="Tahoma"/>
            <family val="2"/>
          </rPr>
          <t>Eingabe überschreibt Vorgabe im Feld links</t>
        </r>
      </text>
    </comment>
    <comment ref="P22" authorId="0" shapeId="0">
      <text>
        <r>
          <rPr>
            <sz val="9"/>
            <color indexed="81"/>
            <rFont val="Tahoma"/>
            <family val="2"/>
          </rPr>
          <t>Eingabe überschreibt Vorgabe im Feld links</t>
        </r>
      </text>
    </comment>
    <comment ref="I23" authorId="0" shapeId="0">
      <text>
        <r>
          <rPr>
            <sz val="9"/>
            <color indexed="81"/>
            <rFont val="Tahoma"/>
            <family val="2"/>
          </rPr>
          <t>Tarif ZH-NNB1</t>
        </r>
      </text>
    </comment>
    <comment ref="J23" authorId="0" shapeId="0">
      <text>
        <r>
          <rPr>
            <sz val="9"/>
            <color indexed="81"/>
            <rFont val="Tahoma"/>
            <family val="2"/>
          </rPr>
          <t>Eingabe überschreibt Vorgabe im Feld links</t>
        </r>
      </text>
    </comment>
    <comment ref="K23" authorId="0" shapeId="0">
      <text>
        <r>
          <rPr>
            <sz val="9"/>
            <color indexed="81"/>
            <rFont val="Tahoma"/>
            <family val="2"/>
          </rPr>
          <t>Tarif ZH-NNB1</t>
        </r>
      </text>
    </comment>
    <comment ref="L23" authorId="0" shapeId="0">
      <text>
        <r>
          <rPr>
            <sz val="9"/>
            <color indexed="81"/>
            <rFont val="Tahoma"/>
            <family val="2"/>
          </rPr>
          <t>Eingabe überschreibt Vorgabe im Feld links</t>
        </r>
      </text>
    </comment>
    <comment ref="N23" authorId="0" shapeId="0">
      <text>
        <r>
          <rPr>
            <sz val="9"/>
            <color indexed="81"/>
            <rFont val="Tahoma"/>
            <family val="2"/>
          </rPr>
          <t>Eingabe überschreibt Vorgabe im Feld links</t>
        </r>
      </text>
    </comment>
    <comment ref="P23" authorId="0" shapeId="0">
      <text>
        <r>
          <rPr>
            <sz val="9"/>
            <color indexed="81"/>
            <rFont val="Tahoma"/>
            <family val="2"/>
          </rPr>
          <t>Eingabe überschreibt Vorgabe im Feld links</t>
        </r>
      </text>
    </comment>
    <comment ref="V23" authorId="0" shapeId="0">
      <text>
        <r>
          <rPr>
            <sz val="9"/>
            <color indexed="81"/>
            <rFont val="Tahoma"/>
            <family val="2"/>
          </rPr>
          <t>Eingabe überschreibt Vorgabe im Feld links</t>
        </r>
      </text>
    </comment>
    <comment ref="K24" authorId="0" shapeId="0">
      <text>
        <r>
          <rPr>
            <sz val="9"/>
            <color indexed="81"/>
            <rFont val="Tahoma"/>
            <family val="2"/>
          </rPr>
          <t>Tarif ZH-NNB1</t>
        </r>
      </text>
    </comment>
    <comment ref="L24" authorId="0" shapeId="0">
      <text>
        <r>
          <rPr>
            <sz val="9"/>
            <color indexed="81"/>
            <rFont val="Tahoma"/>
            <family val="2"/>
          </rPr>
          <t>Eingabe überschreibt Vorgabe im Feld links</t>
        </r>
      </text>
    </comment>
    <comment ref="N24" authorId="0" shapeId="0">
      <text>
        <r>
          <rPr>
            <sz val="9"/>
            <color indexed="81"/>
            <rFont val="Tahoma"/>
            <family val="2"/>
          </rPr>
          <t>Eingabe überschreibt Vorgabe im Feld links</t>
        </r>
      </text>
    </comment>
    <comment ref="P24" authorId="0" shapeId="0">
      <text>
        <r>
          <rPr>
            <sz val="9"/>
            <color indexed="81"/>
            <rFont val="Tahoma"/>
            <family val="2"/>
          </rPr>
          <t>Eingabe überschreibt Vorgabe im Feld links</t>
        </r>
      </text>
    </comment>
    <comment ref="I25" authorId="0" shapeId="0">
      <text>
        <r>
          <rPr>
            <sz val="9"/>
            <color indexed="81"/>
            <rFont val="Tahoma"/>
            <family val="2"/>
          </rPr>
          <t>Tarif ZH-NNB1</t>
        </r>
      </text>
    </comment>
    <comment ref="J25" authorId="0" shapeId="0">
      <text>
        <r>
          <rPr>
            <sz val="9"/>
            <color indexed="81"/>
            <rFont val="Tahoma"/>
            <family val="2"/>
          </rPr>
          <t>Eingabe überschreibt Vorgabe im Feld links</t>
        </r>
      </text>
    </comment>
    <comment ref="K25" authorId="0" shapeId="0">
      <text>
        <r>
          <rPr>
            <sz val="9"/>
            <color indexed="81"/>
            <rFont val="Tahoma"/>
            <family val="2"/>
          </rPr>
          <t>Tarif ZH-NNB1</t>
        </r>
      </text>
    </comment>
    <comment ref="L25" authorId="0" shapeId="0">
      <text>
        <r>
          <rPr>
            <sz val="9"/>
            <color indexed="81"/>
            <rFont val="Tahoma"/>
            <family val="2"/>
          </rPr>
          <t>Eingabe überschreibt Vorgabe im Feld links</t>
        </r>
      </text>
    </comment>
    <comment ref="N25" authorId="0" shapeId="0">
      <text>
        <r>
          <rPr>
            <sz val="9"/>
            <color indexed="81"/>
            <rFont val="Tahoma"/>
            <family val="2"/>
          </rPr>
          <t>Eingabe überschreibt Vorgabe im Feld links</t>
        </r>
      </text>
    </comment>
    <comment ref="P25" authorId="0" shapeId="0">
      <text>
        <r>
          <rPr>
            <sz val="9"/>
            <color indexed="81"/>
            <rFont val="Tahoma"/>
            <family val="2"/>
          </rPr>
          <t>Eingabe überschreibt Vorgabe im Feld links</t>
        </r>
      </text>
    </comment>
    <comment ref="V25" authorId="0" shapeId="0">
      <text>
        <r>
          <rPr>
            <sz val="9"/>
            <color indexed="81"/>
            <rFont val="Tahoma"/>
            <family val="2"/>
          </rPr>
          <t>Eingabe überschreibt Vorgabe im Feld links</t>
        </r>
      </text>
    </comment>
    <comment ref="K26" authorId="0" shapeId="0">
      <text>
        <r>
          <rPr>
            <sz val="9"/>
            <color indexed="81"/>
            <rFont val="Tahoma"/>
            <family val="2"/>
          </rPr>
          <t>Tarif ZH-NNB1</t>
        </r>
      </text>
    </comment>
    <comment ref="L26" authorId="0" shapeId="0">
      <text>
        <r>
          <rPr>
            <sz val="9"/>
            <color indexed="81"/>
            <rFont val="Tahoma"/>
            <family val="2"/>
          </rPr>
          <t>Eingabe überschreibt Vorgabe im Feld links</t>
        </r>
      </text>
    </comment>
    <comment ref="N26" authorId="0" shapeId="0">
      <text>
        <r>
          <rPr>
            <sz val="9"/>
            <color indexed="81"/>
            <rFont val="Tahoma"/>
            <family val="2"/>
          </rPr>
          <t>Eingabe überschreibt Vorgabe im Feld links</t>
        </r>
      </text>
    </comment>
    <comment ref="P26" authorId="0" shapeId="0">
      <text>
        <r>
          <rPr>
            <sz val="9"/>
            <color indexed="81"/>
            <rFont val="Tahoma"/>
            <family val="2"/>
          </rPr>
          <t>Eingabe überschreibt Vorgabe im Feld links</t>
        </r>
      </text>
    </comment>
    <comment ref="J27" authorId="0" shapeId="0">
      <text>
        <r>
          <rPr>
            <sz val="9"/>
            <color indexed="81"/>
            <rFont val="Tahoma"/>
            <family val="2"/>
          </rPr>
          <t>Eingabe überschreibt Vorgabe im Feld links</t>
        </r>
      </text>
    </comment>
    <comment ref="L27" authorId="0" shapeId="0">
      <text>
        <r>
          <rPr>
            <sz val="9"/>
            <color indexed="81"/>
            <rFont val="Tahoma"/>
            <family val="2"/>
          </rPr>
          <t>Eingabe überschreibt Vorgabe im Feld links</t>
        </r>
      </text>
    </comment>
    <comment ref="N27" authorId="0" shapeId="0">
      <text>
        <r>
          <rPr>
            <sz val="9"/>
            <color indexed="81"/>
            <rFont val="Tahoma"/>
            <family val="2"/>
          </rPr>
          <t>Eingabe überschreibt Vorgabe im Feld links</t>
        </r>
      </text>
    </comment>
    <comment ref="P27" authorId="0" shapeId="0">
      <text>
        <r>
          <rPr>
            <sz val="9"/>
            <color indexed="81"/>
            <rFont val="Tahoma"/>
            <family val="2"/>
          </rPr>
          <t>Eingabe überschreibt Vorgabe im Feld links</t>
        </r>
      </text>
    </comment>
    <comment ref="V27" authorId="0" shapeId="0">
      <text>
        <r>
          <rPr>
            <sz val="9"/>
            <color indexed="81"/>
            <rFont val="Tahoma"/>
            <family val="2"/>
          </rPr>
          <t>Eingabe überschreibt Vorgabe im Feld links</t>
        </r>
      </text>
    </comment>
    <comment ref="L28" authorId="0" shapeId="0">
      <text>
        <r>
          <rPr>
            <sz val="9"/>
            <color indexed="81"/>
            <rFont val="Tahoma"/>
            <family val="2"/>
          </rPr>
          <t>Eingabe überschreibt Vorgabe im Feld links</t>
        </r>
      </text>
    </comment>
    <comment ref="N28" authorId="0" shapeId="0">
      <text>
        <r>
          <rPr>
            <sz val="9"/>
            <color indexed="81"/>
            <rFont val="Tahoma"/>
            <family val="2"/>
          </rPr>
          <t>Eingabe überschreibt Vorgabe im Feld links</t>
        </r>
      </text>
    </comment>
    <comment ref="P28" authorId="0" shapeId="0">
      <text>
        <r>
          <rPr>
            <sz val="9"/>
            <color indexed="81"/>
            <rFont val="Tahoma"/>
            <family val="2"/>
          </rPr>
          <t>Eingabe überschreibt Vorgabe im Feld links</t>
        </r>
      </text>
    </comment>
    <comment ref="K29" authorId="0" shapeId="0">
      <text>
        <r>
          <rPr>
            <sz val="9"/>
            <color indexed="81"/>
            <rFont val="Tahoma"/>
            <family val="2"/>
          </rPr>
          <t>Tarif ZH-EEA</t>
        </r>
      </text>
    </comment>
    <comment ref="L29" authorId="0" shapeId="0">
      <text>
        <r>
          <rPr>
            <sz val="9"/>
            <color indexed="81"/>
            <rFont val="Tahoma"/>
            <family val="2"/>
          </rPr>
          <t>Eingabe überschreibt Vorgabe im Feld links</t>
        </r>
      </text>
    </comment>
    <comment ref="N29" authorId="0" shapeId="0">
      <text>
        <r>
          <rPr>
            <sz val="9"/>
            <color indexed="81"/>
            <rFont val="Tahoma"/>
            <family val="2"/>
          </rPr>
          <t>Eingabe überschreibt Vorgabe im Feld links</t>
        </r>
      </text>
    </comment>
    <comment ref="P29" authorId="0" shapeId="0">
      <text>
        <r>
          <rPr>
            <sz val="9"/>
            <color indexed="81"/>
            <rFont val="Tahoma"/>
            <family val="2"/>
          </rPr>
          <t>Eingabe überschreibt Vorgabe im Feld links</t>
        </r>
      </text>
    </comment>
    <comment ref="V29" authorId="0" shapeId="0">
      <text>
        <r>
          <rPr>
            <sz val="9"/>
            <color indexed="81"/>
            <rFont val="Tahoma"/>
            <family val="2"/>
          </rPr>
          <t>Eingabe überschreibt Vorgabe im Feld links</t>
        </r>
      </text>
    </comment>
    <comment ref="K30" authorId="0" shapeId="0">
      <text>
        <r>
          <rPr>
            <sz val="9"/>
            <color indexed="81"/>
            <rFont val="Tahoma"/>
            <family val="2"/>
          </rPr>
          <t>Tarif ZH-EEA</t>
        </r>
      </text>
    </comment>
    <comment ref="L30" authorId="0" shapeId="0">
      <text>
        <r>
          <rPr>
            <sz val="9"/>
            <color indexed="81"/>
            <rFont val="Tahoma"/>
            <family val="2"/>
          </rPr>
          <t>Eingabe überschreibt Vorgabe im Feld links</t>
        </r>
      </text>
    </comment>
    <comment ref="N30" authorId="0" shapeId="0">
      <text>
        <r>
          <rPr>
            <sz val="9"/>
            <color indexed="81"/>
            <rFont val="Tahoma"/>
            <family val="2"/>
          </rPr>
          <t>Eingabe überschreibt Vorgabe im Feld links</t>
        </r>
      </text>
    </comment>
    <comment ref="P30" authorId="0" shapeId="0">
      <text>
        <r>
          <rPr>
            <sz val="9"/>
            <color indexed="81"/>
            <rFont val="Tahoma"/>
            <family val="2"/>
          </rPr>
          <t>Eingabe überschreibt Vorgabe im Feld links</t>
        </r>
      </text>
    </comment>
    <comment ref="K31" authorId="0" shapeId="0">
      <text>
        <r>
          <rPr>
            <sz val="9"/>
            <color indexed="81"/>
            <rFont val="Tahoma"/>
            <family val="2"/>
          </rPr>
          <t>Tarif ZH-EEA</t>
        </r>
      </text>
    </comment>
    <comment ref="L31" authorId="0" shapeId="0">
      <text>
        <r>
          <rPr>
            <sz val="9"/>
            <color indexed="81"/>
            <rFont val="Tahoma"/>
            <family val="2"/>
          </rPr>
          <t>Eingabe überschreibt Vorgabe im Feld links</t>
        </r>
      </text>
    </comment>
    <comment ref="N31" authorId="0" shapeId="0">
      <text>
        <r>
          <rPr>
            <sz val="9"/>
            <color indexed="81"/>
            <rFont val="Tahoma"/>
            <family val="2"/>
          </rPr>
          <t>Eingabe überschreibt Vorgabe im Feld links</t>
        </r>
      </text>
    </comment>
    <comment ref="P31" authorId="0" shapeId="0">
      <text>
        <r>
          <rPr>
            <sz val="9"/>
            <color indexed="81"/>
            <rFont val="Tahoma"/>
            <family val="2"/>
          </rPr>
          <t>Eingabe überschreibt Vorgabe im Feld links</t>
        </r>
      </text>
    </comment>
    <comment ref="V31" authorId="0" shapeId="0">
      <text>
        <r>
          <rPr>
            <sz val="9"/>
            <color indexed="81"/>
            <rFont val="Tahoma"/>
            <family val="2"/>
          </rPr>
          <t>Eingabe überschreibt Vorgabe im Feld links</t>
        </r>
      </text>
    </comment>
    <comment ref="K32" authorId="0" shapeId="0">
      <text>
        <r>
          <rPr>
            <sz val="9"/>
            <color indexed="81"/>
            <rFont val="Tahoma"/>
            <family val="2"/>
          </rPr>
          <t>Tarif ZH-EEA</t>
        </r>
      </text>
    </comment>
    <comment ref="L32" authorId="0" shapeId="0">
      <text>
        <r>
          <rPr>
            <sz val="9"/>
            <color indexed="81"/>
            <rFont val="Tahoma"/>
            <family val="2"/>
          </rPr>
          <t>Eingabe überschreibt Vorgabe im Feld links</t>
        </r>
      </text>
    </comment>
    <comment ref="N32" authorId="0" shapeId="0">
      <text>
        <r>
          <rPr>
            <sz val="9"/>
            <color indexed="81"/>
            <rFont val="Tahoma"/>
            <family val="2"/>
          </rPr>
          <t>Eingabe überschreibt Vorgabe im Feld links</t>
        </r>
      </text>
    </comment>
    <comment ref="P32" authorId="0" shapeId="0">
      <text>
        <r>
          <rPr>
            <sz val="9"/>
            <color indexed="81"/>
            <rFont val="Tahoma"/>
            <family val="2"/>
          </rPr>
          <t>Eingabe überschreibt Vorgabe im Feld links</t>
        </r>
      </text>
    </comment>
    <comment ref="V33" authorId="0" shapeId="0">
      <text>
        <r>
          <rPr>
            <sz val="9"/>
            <color indexed="81"/>
            <rFont val="Tahoma"/>
            <family val="2"/>
          </rPr>
          <t>Eingabe überschreibt Vorgabe im Feld links</t>
        </r>
      </text>
    </comment>
    <comment ref="V37" authorId="0" shapeId="0">
      <text>
        <r>
          <rPr>
            <sz val="9"/>
            <color indexed="81"/>
            <rFont val="Tahoma"/>
            <family val="2"/>
          </rPr>
          <t>Eingabe überschreibt Vorgabe im Feld links</t>
        </r>
      </text>
    </comment>
    <comment ref="V41" authorId="0" shapeId="0">
      <text>
        <r>
          <rPr>
            <sz val="9"/>
            <color indexed="81"/>
            <rFont val="Tahoma"/>
            <family val="2"/>
          </rPr>
          <t>Eingabe überschreibt Vorgabe im Feld links</t>
        </r>
      </text>
    </comment>
    <comment ref="L45" authorId="0" shapeId="0">
      <text>
        <r>
          <rPr>
            <sz val="9"/>
            <color indexed="81"/>
            <rFont val="Tahoma"/>
            <family val="2"/>
          </rPr>
          <t>Eingabe überschreibt Vorgabe im Feld links</t>
        </r>
      </text>
    </comment>
    <comment ref="V45" authorId="0" shapeId="0">
      <text>
        <r>
          <rPr>
            <sz val="9"/>
            <color indexed="81"/>
            <rFont val="Tahoma"/>
            <family val="2"/>
          </rPr>
          <t>Eingabe überschreibt Vorgabe im Feld links</t>
        </r>
      </text>
    </comment>
    <comment ref="L46" authorId="0" shapeId="0">
      <text>
        <r>
          <rPr>
            <sz val="9"/>
            <color indexed="81"/>
            <rFont val="Tahoma"/>
            <family val="2"/>
          </rPr>
          <t>Eingabe überschreibt Vorgabe im Feld links</t>
        </r>
      </text>
    </comment>
    <comment ref="V46" authorId="0" shapeId="0">
      <text>
        <r>
          <rPr>
            <sz val="9"/>
            <color indexed="81"/>
            <rFont val="Tahoma"/>
            <family val="2"/>
          </rPr>
          <t>Eingabe überschreibt Vorgabe im Feld links</t>
        </r>
      </text>
    </comment>
    <comment ref="L47" authorId="0" shapeId="0">
      <text>
        <r>
          <rPr>
            <sz val="9"/>
            <color indexed="81"/>
            <rFont val="Tahoma"/>
            <family val="2"/>
          </rPr>
          <t>Eingabe überschreibt Vorgabe im Feld links</t>
        </r>
      </text>
    </comment>
    <comment ref="V47" authorId="0" shapeId="0">
      <text>
        <r>
          <rPr>
            <sz val="9"/>
            <color indexed="81"/>
            <rFont val="Tahoma"/>
            <family val="2"/>
          </rPr>
          <t>Eingabe überschreibt Vorgabe im Feld links</t>
        </r>
      </text>
    </comment>
    <comment ref="L48" authorId="0" shapeId="0">
      <text>
        <r>
          <rPr>
            <sz val="9"/>
            <color indexed="81"/>
            <rFont val="Tahoma"/>
            <family val="2"/>
          </rPr>
          <t>Eingabe überschreibt Vorgabe im Feld links</t>
        </r>
      </text>
    </comment>
    <comment ref="V48" authorId="0" shapeId="0">
      <text>
        <r>
          <rPr>
            <sz val="9"/>
            <color indexed="81"/>
            <rFont val="Tahoma"/>
            <family val="2"/>
          </rPr>
          <t>Eingabe überschreibt Vorgabe im Feld links</t>
        </r>
      </text>
    </comment>
    <comment ref="L49" authorId="0" shapeId="0">
      <text>
        <r>
          <rPr>
            <sz val="9"/>
            <color indexed="81"/>
            <rFont val="Tahoma"/>
            <family val="2"/>
          </rPr>
          <t>Eingabe überschreibt Vorgabe im Feld links</t>
        </r>
      </text>
    </comment>
    <comment ref="V49" authorId="0" shapeId="0">
      <text>
        <r>
          <rPr>
            <sz val="9"/>
            <color indexed="81"/>
            <rFont val="Tahoma"/>
            <family val="2"/>
          </rPr>
          <t>Eingabe überschreibt Vorgabe im Feld links</t>
        </r>
      </text>
    </comment>
    <comment ref="L50" authorId="0" shapeId="0">
      <text>
        <r>
          <rPr>
            <sz val="9"/>
            <color indexed="81"/>
            <rFont val="Tahoma"/>
            <family val="2"/>
          </rPr>
          <t>Eingabe überschreibt Vorgabe im Feld links</t>
        </r>
      </text>
    </comment>
    <comment ref="V50" authorId="0" shapeId="0">
      <text>
        <r>
          <rPr>
            <sz val="9"/>
            <color indexed="81"/>
            <rFont val="Tahoma"/>
            <family val="2"/>
          </rPr>
          <t>Eingabe überschreibt Vorgabe im Feld links</t>
        </r>
      </text>
    </comment>
    <comment ref="G52" authorId="0" shapeId="0">
      <text>
        <r>
          <rPr>
            <b/>
            <sz val="9"/>
            <color indexed="81"/>
            <rFont val="Tahoma"/>
            <family val="2"/>
          </rPr>
          <t>Degressiv berechneter Leistungspreis</t>
        </r>
        <r>
          <rPr>
            <sz val="9"/>
            <color indexed="81"/>
            <rFont val="Tahoma"/>
            <family val="2"/>
          </rPr>
          <t xml:space="preserve"> =</t>
        </r>
        <r>
          <rPr>
            <u/>
            <sz val="9"/>
            <color indexed="81"/>
            <rFont val="Tahoma"/>
            <family val="2"/>
          </rPr>
          <t xml:space="preserve">
</t>
        </r>
        <r>
          <rPr>
            <sz val="9"/>
            <color indexed="81"/>
            <rFont val="Tahoma"/>
            <family val="2"/>
          </rPr>
          <t xml:space="preserve">                                   ______________________
Leistungspreis * 1000 * </t>
        </r>
        <r>
          <rPr>
            <sz val="9"/>
            <color indexed="81"/>
            <rFont val="Symbol"/>
            <family val="1"/>
            <charset val="2"/>
          </rPr>
          <t xml:space="preserve">Ö </t>
        </r>
        <r>
          <rPr>
            <sz val="9"/>
            <color indexed="81"/>
            <rFont val="Tahoma"/>
            <family val="2"/>
          </rPr>
          <t>abonnierte Leistung in MW</t>
        </r>
      </text>
    </comment>
    <comment ref="L52" authorId="0" shapeId="0">
      <text>
        <r>
          <rPr>
            <sz val="9"/>
            <color indexed="81"/>
            <rFont val="Tahoma"/>
            <family val="2"/>
          </rPr>
          <t>Eingabe überschreibt Vorgabe im Feld links</t>
        </r>
      </text>
    </comment>
    <comment ref="V52" authorId="0" shapeId="0">
      <text>
        <r>
          <rPr>
            <sz val="9"/>
            <color indexed="81"/>
            <rFont val="Tahoma"/>
            <family val="2"/>
          </rPr>
          <t>Eingabe überschreibt Vorgabe im Feld links</t>
        </r>
      </text>
    </comment>
    <comment ref="G53" authorId="0" shapeId="0">
      <text>
        <r>
          <rPr>
            <b/>
            <sz val="9"/>
            <color indexed="81"/>
            <rFont val="Tahoma"/>
            <family val="2"/>
          </rPr>
          <t>Degressiv berechneter Leistungspreis</t>
        </r>
        <r>
          <rPr>
            <sz val="9"/>
            <color indexed="81"/>
            <rFont val="Tahoma"/>
            <family val="2"/>
          </rPr>
          <t xml:space="preserve"> =</t>
        </r>
        <r>
          <rPr>
            <u/>
            <sz val="9"/>
            <color indexed="81"/>
            <rFont val="Tahoma"/>
            <family val="2"/>
          </rPr>
          <t xml:space="preserve">
</t>
        </r>
        <r>
          <rPr>
            <sz val="9"/>
            <color indexed="81"/>
            <rFont val="Tahoma"/>
            <family val="2"/>
          </rPr>
          <t xml:space="preserve">                                   ______________________
Leistungspreis * 1000 * </t>
        </r>
        <r>
          <rPr>
            <sz val="9"/>
            <color indexed="81"/>
            <rFont val="Symbol"/>
            <family val="1"/>
            <charset val="2"/>
          </rPr>
          <t xml:space="preserve">Ö </t>
        </r>
        <r>
          <rPr>
            <sz val="9"/>
            <color indexed="81"/>
            <rFont val="Tahoma"/>
            <family val="2"/>
          </rPr>
          <t>abonnierte Leistung in MW</t>
        </r>
      </text>
    </comment>
    <comment ref="L53" authorId="0" shapeId="0">
      <text>
        <r>
          <rPr>
            <sz val="9"/>
            <color indexed="81"/>
            <rFont val="Tahoma"/>
            <family val="2"/>
          </rPr>
          <t>Eingabe überschreibt Vorgabe im Feld links</t>
        </r>
      </text>
    </comment>
    <comment ref="V53" authorId="0" shapeId="0">
      <text>
        <r>
          <rPr>
            <sz val="9"/>
            <color indexed="81"/>
            <rFont val="Tahoma"/>
            <family val="2"/>
          </rPr>
          <t>Eingabe überschreibt Vorgabe im Feld links</t>
        </r>
      </text>
    </comment>
    <comment ref="G54" authorId="0" shapeId="0">
      <text>
        <r>
          <rPr>
            <b/>
            <sz val="9"/>
            <color indexed="81"/>
            <rFont val="Tahoma"/>
            <family val="2"/>
          </rPr>
          <t>Degressiv berechneter Leistungspreis</t>
        </r>
        <r>
          <rPr>
            <sz val="9"/>
            <color indexed="81"/>
            <rFont val="Tahoma"/>
            <family val="2"/>
          </rPr>
          <t xml:space="preserve"> =</t>
        </r>
        <r>
          <rPr>
            <u/>
            <sz val="9"/>
            <color indexed="81"/>
            <rFont val="Tahoma"/>
            <family val="2"/>
          </rPr>
          <t xml:space="preserve">
</t>
        </r>
        <r>
          <rPr>
            <sz val="9"/>
            <color indexed="81"/>
            <rFont val="Tahoma"/>
            <family val="2"/>
          </rPr>
          <t xml:space="preserve">                                   ______________________
Leistungspreis * 1000 * </t>
        </r>
        <r>
          <rPr>
            <sz val="9"/>
            <color indexed="81"/>
            <rFont val="Symbol"/>
            <family val="1"/>
            <charset val="2"/>
          </rPr>
          <t xml:space="preserve">Ö </t>
        </r>
        <r>
          <rPr>
            <sz val="9"/>
            <color indexed="81"/>
            <rFont val="Tahoma"/>
            <family val="2"/>
          </rPr>
          <t>abonnierte Leistung in MW</t>
        </r>
      </text>
    </comment>
    <comment ref="V54" authorId="0" shapeId="0">
      <text>
        <r>
          <rPr>
            <sz val="9"/>
            <color indexed="81"/>
            <rFont val="Tahoma"/>
            <family val="2"/>
          </rPr>
          <t>Eingabe überschreibt Vorgabe im Feld links</t>
        </r>
      </text>
    </comment>
  </commentList>
</comments>
</file>

<file path=xl/comments5.xml><?xml version="1.0" encoding="utf-8"?>
<comments xmlns="http://schemas.openxmlformats.org/spreadsheetml/2006/main">
  <authors>
    <author>Thomas Kessler</author>
  </authors>
  <commentList>
    <comment ref="H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E6" authorId="0" shapeId="0">
      <text>
        <r>
          <rPr>
            <sz val="9"/>
            <color indexed="81"/>
            <rFont val="Tahoma"/>
            <family val="2"/>
          </rPr>
          <t>Bezeichnung</t>
        </r>
      </text>
    </comment>
    <comment ref="J6" authorId="0" shapeId="0">
      <text>
        <r>
          <rPr>
            <sz val="9"/>
            <color indexed="81"/>
            <rFont val="Tahoma"/>
            <family val="2"/>
          </rPr>
          <t>Kurzbeschrieb</t>
        </r>
      </text>
    </comment>
    <comment ref="I10" authorId="0" shapeId="0">
      <text>
        <r>
          <rPr>
            <sz val="9"/>
            <color indexed="81"/>
            <rFont val="Tahoma"/>
            <family val="2"/>
          </rPr>
          <t>Wird für die Berechnung des Leistungspreises benötigt</t>
        </r>
      </text>
    </comment>
    <comment ref="I12" authorId="0" shapeId="0">
      <text>
        <r>
          <rPr>
            <sz val="9"/>
            <color indexed="81"/>
            <rFont val="Tahoma"/>
            <family val="2"/>
          </rPr>
          <t>Wird für die Berechnung des Leistungspreises benötigt</t>
        </r>
      </text>
    </comment>
    <comment ref="I55" authorId="0" shapeId="0">
      <text>
        <r>
          <rPr>
            <sz val="9"/>
            <color indexed="81"/>
            <rFont val="Tahoma"/>
            <family val="2"/>
          </rPr>
          <t>Wird für die Berechnung des Leistungspreises benötigt</t>
        </r>
      </text>
    </comment>
    <comment ref="I67" authorId="0" shapeId="0">
      <text>
        <r>
          <rPr>
            <sz val="9"/>
            <color indexed="81"/>
            <rFont val="Tahoma"/>
            <family val="2"/>
          </rPr>
          <t>Approximative monatliche 15'-Leistungsspitze 
im Durchschnitt übers Jahr
Wird für die Berechnung des Leistungspreises benötigt.</t>
        </r>
      </text>
    </comment>
  </commentList>
</comments>
</file>

<file path=xl/comments6.xml><?xml version="1.0" encoding="utf-8"?>
<comments xmlns="http://schemas.openxmlformats.org/spreadsheetml/2006/main">
  <authors>
    <author>Thomas Kessler</author>
  </authors>
  <commentList>
    <comment ref="H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E6" authorId="0" shapeId="0">
      <text>
        <r>
          <rPr>
            <sz val="9"/>
            <color indexed="81"/>
            <rFont val="Tahoma"/>
            <family val="2"/>
          </rPr>
          <t>Bezeichnung</t>
        </r>
      </text>
    </comment>
    <comment ref="J6" authorId="0" shapeId="0">
      <text>
        <r>
          <rPr>
            <sz val="9"/>
            <color indexed="81"/>
            <rFont val="Tahoma"/>
            <family val="2"/>
          </rPr>
          <t>Kurzbeschrieb</t>
        </r>
      </text>
    </comment>
    <comment ref="I10" authorId="0" shapeId="0">
      <text>
        <r>
          <rPr>
            <sz val="9"/>
            <color indexed="81"/>
            <rFont val="Tahoma"/>
            <family val="2"/>
          </rPr>
          <t>Wird für die Berechnung des Leistungspreises benötigt</t>
        </r>
      </text>
    </comment>
    <comment ref="I12" authorId="0" shapeId="0">
      <text>
        <r>
          <rPr>
            <sz val="9"/>
            <color indexed="81"/>
            <rFont val="Tahoma"/>
            <family val="2"/>
          </rPr>
          <t>Wird für die Berechnung des Leistungspreises benötigt</t>
        </r>
      </text>
    </comment>
    <comment ref="I55" authorId="0" shapeId="0">
      <text>
        <r>
          <rPr>
            <sz val="9"/>
            <color indexed="81"/>
            <rFont val="Tahoma"/>
            <family val="2"/>
          </rPr>
          <t>Wird für die Berechnung des Leistungspreises benötigt</t>
        </r>
      </text>
    </comment>
    <comment ref="I67" authorId="0" shapeId="0">
      <text>
        <r>
          <rPr>
            <sz val="9"/>
            <color indexed="81"/>
            <rFont val="Tahoma"/>
            <family val="2"/>
          </rPr>
          <t>Approximative monatliche 15'-Leistungsspitze 
im Durchschnitt übers Jahr
Wird für die Berechnung des Leistungspreises benötigt.</t>
        </r>
      </text>
    </comment>
  </commentList>
</comments>
</file>

<file path=xl/comments7.xml><?xml version="1.0" encoding="utf-8"?>
<comments xmlns="http://schemas.openxmlformats.org/spreadsheetml/2006/main">
  <authors>
    <author>Thomas Kessler</author>
  </authors>
  <commentList>
    <comment ref="H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E6" authorId="0" shapeId="0">
      <text>
        <r>
          <rPr>
            <sz val="9"/>
            <color indexed="81"/>
            <rFont val="Tahoma"/>
            <family val="2"/>
          </rPr>
          <t>Bezeichnung</t>
        </r>
      </text>
    </comment>
    <comment ref="J6" authorId="0" shapeId="0">
      <text>
        <r>
          <rPr>
            <sz val="9"/>
            <color indexed="81"/>
            <rFont val="Tahoma"/>
            <family val="2"/>
          </rPr>
          <t>Kurzbeschrieb</t>
        </r>
      </text>
    </comment>
    <comment ref="I10" authorId="0" shapeId="0">
      <text>
        <r>
          <rPr>
            <sz val="9"/>
            <color indexed="81"/>
            <rFont val="Tahoma"/>
            <family val="2"/>
          </rPr>
          <t>Wird für die Berechnung des Leistungspreises benötigt</t>
        </r>
      </text>
    </comment>
    <comment ref="I12" authorId="0" shapeId="0">
      <text>
        <r>
          <rPr>
            <sz val="9"/>
            <color indexed="81"/>
            <rFont val="Tahoma"/>
            <family val="2"/>
          </rPr>
          <t>Wird für die Berechnung des Leistungspreises benötigt</t>
        </r>
      </text>
    </comment>
    <comment ref="I55" authorId="0" shapeId="0">
      <text>
        <r>
          <rPr>
            <sz val="9"/>
            <color indexed="81"/>
            <rFont val="Tahoma"/>
            <family val="2"/>
          </rPr>
          <t>Wird für die Berechnung des Leistungspreises benötigt</t>
        </r>
      </text>
    </comment>
    <comment ref="I67" authorId="0" shapeId="0">
      <text>
        <r>
          <rPr>
            <sz val="9"/>
            <color indexed="81"/>
            <rFont val="Tahoma"/>
            <family val="2"/>
          </rPr>
          <t>Approximative monatliche 15'-Leistungsspitze 
im Durchschnitt übers Jahr
Wird für die Berechnung des Leistungspreises benötigt.</t>
        </r>
      </text>
    </comment>
  </commentList>
</comments>
</file>

<file path=xl/comments8.xml><?xml version="1.0" encoding="utf-8"?>
<comments xmlns="http://schemas.openxmlformats.org/spreadsheetml/2006/main">
  <authors>
    <author>Thomas Kessler</author>
  </authors>
  <commentList>
    <comment ref="H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E6" authorId="0" shapeId="0">
      <text>
        <r>
          <rPr>
            <sz val="9"/>
            <color indexed="81"/>
            <rFont val="Tahoma"/>
            <family val="2"/>
          </rPr>
          <t>Bezeichnung</t>
        </r>
      </text>
    </comment>
    <comment ref="J6" authorId="0" shapeId="0">
      <text>
        <r>
          <rPr>
            <sz val="9"/>
            <color indexed="81"/>
            <rFont val="Tahoma"/>
            <family val="2"/>
          </rPr>
          <t>Kurzbeschrieb</t>
        </r>
      </text>
    </comment>
    <comment ref="I10" authorId="0" shapeId="0">
      <text>
        <r>
          <rPr>
            <sz val="9"/>
            <color indexed="81"/>
            <rFont val="Tahoma"/>
            <family val="2"/>
          </rPr>
          <t>Wird für die Berechnung des Leistungspreises benötigt</t>
        </r>
      </text>
    </comment>
    <comment ref="I12" authorId="0" shapeId="0">
      <text>
        <r>
          <rPr>
            <sz val="9"/>
            <color indexed="81"/>
            <rFont val="Tahoma"/>
            <family val="2"/>
          </rPr>
          <t>Wird für die Berechnung des Leistungspreises benötigt</t>
        </r>
      </text>
    </comment>
    <comment ref="I55" authorId="0" shapeId="0">
      <text>
        <r>
          <rPr>
            <sz val="9"/>
            <color indexed="81"/>
            <rFont val="Tahoma"/>
            <family val="2"/>
          </rPr>
          <t>Wird für die Berechnung des Leistungspreises benötigt</t>
        </r>
      </text>
    </comment>
    <comment ref="I67" authorId="0" shapeId="0">
      <text>
        <r>
          <rPr>
            <sz val="9"/>
            <color indexed="81"/>
            <rFont val="Tahoma"/>
            <family val="2"/>
          </rPr>
          <t>Approximative monatliche 15'-Leistungsspitze 
im Durchschnitt übers Jahr
Wird für die Berechnung des Leistungspreises benötigt.</t>
        </r>
      </text>
    </comment>
  </commentList>
</comments>
</file>

<file path=xl/comments9.xml><?xml version="1.0" encoding="utf-8"?>
<comments xmlns="http://schemas.openxmlformats.org/spreadsheetml/2006/main">
  <authors>
    <author>Thomas Kessler</author>
  </authors>
  <commentList>
    <comment ref="F2" authorId="0" shapeId="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text>
        <r>
          <rPr>
            <sz val="9"/>
            <color indexed="81"/>
            <rFont val="Tahoma"/>
            <family val="2"/>
          </rPr>
          <t>Ob die externen Kosten berücksichtigt werden oder nicht kann im Blatt "Projektdaten" gewählt werden</t>
        </r>
      </text>
    </comment>
    <comment ref="D88" authorId="0" shapeId="0">
      <text>
        <r>
          <rPr>
            <sz val="9"/>
            <color indexed="81"/>
            <rFont val="Tahoma"/>
            <family val="2"/>
          </rPr>
          <t>Berücksichtigung Förderbeiträge oder nicht kann im Blatt "Projektdaten" gewählt werden</t>
        </r>
      </text>
    </comment>
    <comment ref="C109" authorId="0" shapeId="0">
      <text>
        <r>
          <rPr>
            <sz val="9"/>
            <color indexed="81"/>
            <rFont val="Tahoma"/>
            <family val="2"/>
          </rPr>
          <t>Ob die externen Kosten berücksichtigt werden oder nicht kann im Blatt "Projektdaten" gewählt werden</t>
        </r>
      </text>
    </comment>
    <comment ref="E112" authorId="0" shapeId="0">
      <text>
        <r>
          <rPr>
            <sz val="9"/>
            <color indexed="81"/>
            <rFont val="Tahoma"/>
            <family val="2"/>
          </rPr>
          <t>Berücksichtigung Förderbeiträge oder nicht kann im Blatt "Projektdaten" gewählt werden</t>
        </r>
      </text>
    </comment>
  </commentList>
</comments>
</file>

<file path=xl/sharedStrings.xml><?xml version="1.0" encoding="utf-8"?>
<sst xmlns="http://schemas.openxmlformats.org/spreadsheetml/2006/main" count="3373" uniqueCount="861">
  <si>
    <t>Variantenvergleich Energiesysteme</t>
  </si>
  <si>
    <t>Investitionskosten</t>
  </si>
  <si>
    <t>Primärenergiebedarf</t>
  </si>
  <si>
    <t>CHF</t>
  </si>
  <si>
    <t>CHF/a</t>
  </si>
  <si>
    <t>kWh/a</t>
  </si>
  <si>
    <t>Treibhausgas-Emissionen</t>
  </si>
  <si>
    <t>mittel / teilweise erfüllt</t>
  </si>
  <si>
    <t>schlecht / hoch / nicht erfüllt</t>
  </si>
  <si>
    <t>gut / niedrig / erfüllt</t>
  </si>
  <si>
    <t>Fazit, Empfehlung</t>
  </si>
  <si>
    <t>Übersicht</t>
  </si>
  <si>
    <t xml:space="preserve"> </t>
  </si>
  <si>
    <t>Energieträger</t>
  </si>
  <si>
    <t>Total</t>
  </si>
  <si>
    <t>Erdgas</t>
  </si>
  <si>
    <t>Holzschnitzel</t>
  </si>
  <si>
    <t xml:space="preserve"> Variantenbeschreibung</t>
  </si>
  <si>
    <t>Variante 1</t>
  </si>
  <si>
    <t>Variante 2</t>
  </si>
  <si>
    <t>Variante 3</t>
  </si>
  <si>
    <t>Variante 4</t>
  </si>
  <si>
    <t xml:space="preserve"> Variantenbezeichnung</t>
  </si>
  <si>
    <t xml:space="preserve"> Variantenbeschrieb</t>
  </si>
  <si>
    <t xml:space="preserve">Total der heutigen jährlichen Kosten </t>
  </si>
  <si>
    <t xml:space="preserve"> Kostenart</t>
  </si>
  <si>
    <t>Total der mittleren jährlichen Kosten über die Betrachtungsdauer</t>
  </si>
  <si>
    <t>Betrachtungsdauer [Jahre]:</t>
  </si>
  <si>
    <t>Variante 1:</t>
  </si>
  <si>
    <t>[Jahre]</t>
  </si>
  <si>
    <t>Jährliche Energiekosten</t>
  </si>
  <si>
    <t>Verbrauch</t>
  </si>
  <si>
    <t>[kWh/a]</t>
  </si>
  <si>
    <t>Elektrizität</t>
  </si>
  <si>
    <t xml:space="preserve"> ----</t>
  </si>
  <si>
    <t xml:space="preserve"> ----  </t>
  </si>
  <si>
    <t xml:space="preserve">Total der jährlichen Kosten </t>
  </si>
  <si>
    <t>Option: Eingabe Betrachtungsdauer:</t>
  </si>
  <si>
    <t>Kostenstei-</t>
  </si>
  <si>
    <t>Energiekosten</t>
  </si>
  <si>
    <t>gerung (real)</t>
  </si>
  <si>
    <t>Erstellt von:</t>
  </si>
  <si>
    <t>Variante</t>
  </si>
  <si>
    <t>Holzpellets</t>
  </si>
  <si>
    <t>Energieversorgung</t>
  </si>
  <si>
    <t>Biogas</t>
  </si>
  <si>
    <t>Fernwärme</t>
  </si>
  <si>
    <t>T O T A L</t>
  </si>
  <si>
    <t>Total Energiekosten</t>
  </si>
  <si>
    <t>----</t>
  </si>
  <si>
    <t>Heutige jährliche Kosten</t>
  </si>
  <si>
    <t>Betrachtungsdauer für Berechnung:</t>
  </si>
  <si>
    <t>Elektrizität, Hochtarif</t>
  </si>
  <si>
    <t>Elektrizität, Niedertarif</t>
  </si>
  <si>
    <t>Heizöl EL</t>
  </si>
  <si>
    <t>Endenergiebedarf</t>
  </si>
  <si>
    <t>Raumkühlung</t>
  </si>
  <si>
    <t>Jahresnutzungsgrad:</t>
  </si>
  <si>
    <t>Heizkessel 1</t>
  </si>
  <si>
    <t>Heizkessel 2</t>
  </si>
  <si>
    <r>
      <t>m</t>
    </r>
    <r>
      <rPr>
        <vertAlign val="superscript"/>
        <sz val="10"/>
        <rFont val="Arial"/>
        <family val="2"/>
      </rPr>
      <t>2</t>
    </r>
  </si>
  <si>
    <t>Leistung:</t>
  </si>
  <si>
    <t>kW</t>
  </si>
  <si>
    <t>Lage:</t>
  </si>
  <si>
    <t>Bauliche Massnahmen:</t>
  </si>
  <si>
    <t>1.</t>
  </si>
  <si>
    <t>2.</t>
  </si>
  <si>
    <t>3.</t>
  </si>
  <si>
    <t>Länge:</t>
  </si>
  <si>
    <t>Breite:</t>
  </si>
  <si>
    <t>Höhe:</t>
  </si>
  <si>
    <t>Neue Technikzentrale</t>
  </si>
  <si>
    <t>Neuer Brennstofflagerraum</t>
  </si>
  <si>
    <t>im Gebäude</t>
  </si>
  <si>
    <t>im Erdreich</t>
  </si>
  <si>
    <t>Wärmepumpe 1</t>
  </si>
  <si>
    <t>Jahresarbeitszahl:</t>
  </si>
  <si>
    <t>Raumheizung
(inkl. Lüftung)</t>
  </si>
  <si>
    <t>Erdsonden</t>
  </si>
  <si>
    <t>Grundwasser</t>
  </si>
  <si>
    <t>Abwasser</t>
  </si>
  <si>
    <t>Bedarf =</t>
  </si>
  <si>
    <t>Wärmepumpe 2</t>
  </si>
  <si>
    <t>Sonnenkollektoren</t>
  </si>
  <si>
    <t>Fläche:</t>
  </si>
  <si>
    <t>Ertrag:</t>
  </si>
  <si>
    <r>
      <t>m</t>
    </r>
    <r>
      <rPr>
        <vertAlign val="superscript"/>
        <sz val="10"/>
        <rFont val="Arial Narrow"/>
        <family val="2"/>
      </rPr>
      <t>2</t>
    </r>
  </si>
  <si>
    <t>Sonnenwärme</t>
  </si>
  <si>
    <r>
      <t>kWh/m</t>
    </r>
    <r>
      <rPr>
        <vertAlign val="superscript"/>
        <sz val="10"/>
        <rFont val="Arial Narrow"/>
        <family val="2"/>
      </rPr>
      <t>2</t>
    </r>
    <r>
      <rPr>
        <sz val="10"/>
        <rFont val="Arial Narrow"/>
        <family val="2"/>
      </rPr>
      <t>a</t>
    </r>
  </si>
  <si>
    <t>Aussenluft</t>
  </si>
  <si>
    <t>Kältemaschine 1</t>
  </si>
  <si>
    <t>Rückkühlung</t>
  </si>
  <si>
    <t>Elektrizitäts-verbraucher</t>
  </si>
  <si>
    <t>Sonnenenergie</t>
  </si>
  <si>
    <t>Elektrizität ab Netz</t>
  </si>
  <si>
    <t>Solarstromanlage</t>
  </si>
  <si>
    <t>kWp</t>
  </si>
  <si>
    <t>kWh/kWp</t>
  </si>
  <si>
    <t>Abwärmenutzung (direkt)</t>
  </si>
  <si>
    <t>Bedarfsdeckung:</t>
  </si>
  <si>
    <t>Auswahlliste Bauliche Massnahme</t>
  </si>
  <si>
    <t>Auswahlliste Lage</t>
  </si>
  <si>
    <t>Förderbeiträge</t>
  </si>
  <si>
    <t>Wirtschaftlichkeitsrechnung - Übersicht</t>
  </si>
  <si>
    <r>
      <t>kg/a CO</t>
    </r>
    <r>
      <rPr>
        <vertAlign val="subscript"/>
        <sz val="10"/>
        <rFont val="Arial Narrow"/>
        <family val="2"/>
      </rPr>
      <t>2e</t>
    </r>
  </si>
  <si>
    <r>
      <t>kg/a CO</t>
    </r>
    <r>
      <rPr>
        <b/>
        <vertAlign val="subscript"/>
        <sz val="10"/>
        <rFont val="Arial"/>
        <family val="2"/>
      </rPr>
      <t>2e</t>
    </r>
  </si>
  <si>
    <t>Ab-/Umweltwärme</t>
  </si>
  <si>
    <t>Berechnungen</t>
  </si>
  <si>
    <t>Energiebedarf nach MINERGIE</t>
  </si>
  <si>
    <r>
      <t>kg/a CO</t>
    </r>
    <r>
      <rPr>
        <vertAlign val="subscript"/>
        <sz val="10"/>
        <rFont val="Arial"/>
        <family val="2"/>
      </rPr>
      <t>2e</t>
    </r>
  </si>
  <si>
    <t>Objekt:</t>
  </si>
  <si>
    <t>Projektdaten</t>
  </si>
  <si>
    <t>Firma</t>
  </si>
  <si>
    <t>Name</t>
  </si>
  <si>
    <t>Ersteller:</t>
  </si>
  <si>
    <t>Variantenvergleich</t>
  </si>
  <si>
    <t>Version</t>
  </si>
  <si>
    <t>Datum</t>
  </si>
  <si>
    <t>Nutzungskategorie</t>
  </si>
  <si>
    <t>Energiebezugsfläche</t>
  </si>
  <si>
    <t>Zone 1</t>
  </si>
  <si>
    <t>Zone 2</t>
  </si>
  <si>
    <t>Zone 3</t>
  </si>
  <si>
    <t>Zone 4</t>
  </si>
  <si>
    <t>MINERGIE Umbau</t>
  </si>
  <si>
    <t>MINERGIE Neubau</t>
  </si>
  <si>
    <t>MINERGIE-P</t>
  </si>
  <si>
    <t>Wohnen EFH</t>
  </si>
  <si>
    <t>Wohnen MFH</t>
  </si>
  <si>
    <t>Verwaltung</t>
  </si>
  <si>
    <t>Schulen</t>
  </si>
  <si>
    <t>Verkauf</t>
  </si>
  <si>
    <t>Restaurants</t>
  </si>
  <si>
    <t>Versammlungslokale</t>
  </si>
  <si>
    <t>Spitäler</t>
  </si>
  <si>
    <t>Industrie</t>
  </si>
  <si>
    <t>Lager</t>
  </si>
  <si>
    <t>Sportbauten</t>
  </si>
  <si>
    <t>Nutzungskategorien und MINERGIE-Grenzwerte</t>
  </si>
  <si>
    <t>Eingaben für Berechnung MINERGIE-Grenzwert</t>
  </si>
  <si>
    <t>Standard:</t>
  </si>
  <si>
    <t>Selektor:</t>
  </si>
  <si>
    <t>Energiebedarf</t>
  </si>
  <si>
    <t>Raumheizung (inkl. Lüftung):</t>
  </si>
  <si>
    <t>Raumkühlung:</t>
  </si>
  <si>
    <t>Elektrizitätsverbraucher:</t>
  </si>
  <si>
    <t>AWN</t>
  </si>
  <si>
    <t>Endenergie</t>
  </si>
  <si>
    <t>Nutzenergie</t>
  </si>
  <si>
    <t>Freie Kühlung</t>
  </si>
  <si>
    <t>Wärmeerzeuger</t>
  </si>
  <si>
    <t>Bauliche Massnahme 1</t>
  </si>
  <si>
    <t>Bauliche Massnahme 2</t>
  </si>
  <si>
    <t>Bauliche Massnahme 3</t>
  </si>
  <si>
    <t>CH-Verbrauchermix</t>
  </si>
  <si>
    <t>Kälteerzeuger</t>
  </si>
  <si>
    <t>Bauteil</t>
  </si>
  <si>
    <t>Einheit</t>
  </si>
  <si>
    <t>Aushub =</t>
  </si>
  <si>
    <t xml:space="preserve">Boden/Decke = </t>
  </si>
  <si>
    <t>Längswand =</t>
  </si>
  <si>
    <t>Querwand =</t>
  </si>
  <si>
    <t>Erstellung: Graue Energie</t>
  </si>
  <si>
    <t>Erstellung: Treibhausgas</t>
  </si>
  <si>
    <r>
      <t xml:space="preserve">Erstellung: </t>
    </r>
    <r>
      <rPr>
        <b/>
        <sz val="10"/>
        <rFont val="Arial Narrow"/>
        <family val="2"/>
      </rPr>
      <t>Umweltbelastungspunkte</t>
    </r>
  </si>
  <si>
    <t>Erstellung (Graue Energie)</t>
  </si>
  <si>
    <t>Erstellung</t>
  </si>
  <si>
    <t>Betrieb</t>
  </si>
  <si>
    <t>Umweltbelastungspunkte</t>
  </si>
  <si>
    <t>UBP06/a</t>
  </si>
  <si>
    <t>Primärenergiebedarf (gesamt)</t>
  </si>
  <si>
    <t>Punkte/a</t>
  </si>
  <si>
    <t>Umweltbelastung</t>
  </si>
  <si>
    <t>Grenzwert:</t>
  </si>
  <si>
    <t>Wärme/Kraft-Kopplung</t>
  </si>
  <si>
    <t>Leistung total:</t>
  </si>
  <si>
    <t>Jahresnutzungsgrad tot:</t>
  </si>
  <si>
    <t>Kältemaschine 2</t>
  </si>
  <si>
    <t>© Stadt Zürich, Amt für Hochbauten - Alle Rechte vorbehalten</t>
  </si>
  <si>
    <t>Versionsinformationen</t>
  </si>
  <si>
    <t>Nummer</t>
  </si>
  <si>
    <t>Autor</t>
  </si>
  <si>
    <t>Änderungen</t>
  </si>
  <si>
    <t>aktuell</t>
  </si>
  <si>
    <t>Thomas Kessler</t>
  </si>
  <si>
    <t>Zweck</t>
  </si>
  <si>
    <t>Wichtige Informationen für die Anwender</t>
  </si>
  <si>
    <t>Die nachfolgenden Informationen sind sehr wichtig für die Anwendung und das Verständnis dieses Werkzeugs. Bitte lesen Sie diese aufmerksam durch, bevor Sie zum ersten Mal damit arbeiten.</t>
  </si>
  <si>
    <t>Systemgrenze</t>
  </si>
  <si>
    <t>Das vorliegende Werkzeug dient zur Erstellung eines Variantenvergleichs zwischen ver-schiedenen möglichen Energieversorgungssystemen eines Gebäudes. Der Varianten-vergleich wird in der Vorstudien- oder zu Beginn der Vorprojektphase erstellt und dient als Grundlage für den Systementscheid.
Es können bis zu vier Systemvarianten miteinander verglichen und dokumentiert werden. Deren Festlegung ist mit dem Auftraggeber abzusprechen.</t>
  </si>
  <si>
    <t>Betrachtungsperimeter sind die der Energieversorgung eines Gebäudes oder einer Gruppe von Gebäuden dienenden Anlagen sowie die dazu gehörenden Energieflüsse. Letztere werden vom Bezug an der Grundstückgrenze (Endenergie) bis zur Abgabe an das/die Gebäude (Nutzenergie) erfasst und dargestellt. Die Verteilung innerhalb der/des Gebäude/s wird für alle Varianten als gleich angenommen und deshalb nicht mit einbe-zogen. Zu berücksichtigen ist jedoch die Nutzung von Solar- und Umweltenergie innerhalb des Areals.</t>
  </si>
  <si>
    <t>Struktur</t>
  </si>
  <si>
    <r>
      <rPr>
        <sz val="10"/>
        <color rgb="FFFF0000"/>
        <rFont val="Arial"/>
        <family val="2"/>
      </rPr>
      <t>Rote Schrift</t>
    </r>
    <r>
      <rPr>
        <sz val="10"/>
        <rFont val="Arial"/>
        <family val="2"/>
      </rPr>
      <t xml:space="preserve"> = Unvollständige oder unplausible Eingaben</t>
    </r>
  </si>
  <si>
    <t>Ergebnisse</t>
  </si>
  <si>
    <t>Nach vollständiger Dateneingabe werden folgende numerischen Werte dargestellt:</t>
  </si>
  <si>
    <t>Betrieb: nicht erneuerbar</t>
  </si>
  <si>
    <t>Betrieb: erneuerbar</t>
  </si>
  <si>
    <t>Betrieb: erneuerbar am Standort</t>
  </si>
  <si>
    <r>
      <t xml:space="preserve">Ergänzend können fallweise </t>
    </r>
    <r>
      <rPr>
        <b/>
        <sz val="10"/>
        <rFont val="Arial"/>
        <family val="2"/>
      </rPr>
      <t>qualitative Kriterien</t>
    </r>
    <r>
      <rPr>
        <sz val="10"/>
        <rFont val="Arial"/>
        <family val="2"/>
      </rPr>
      <t xml:space="preserve"> aufgeführt und beurteilt werden. Diese sollen vorgängig gemeinsam mit dem Auftraggeber festgelegt werden.</t>
    </r>
  </si>
  <si>
    <t>Eingaben</t>
  </si>
  <si>
    <t>Blatt</t>
  </si>
  <si>
    <t>Inhalt</t>
  </si>
  <si>
    <t>Objekt und Bauvorhaben</t>
  </si>
  <si>
    <t>Angaben zum Ersteller des Variantenvergleichs</t>
  </si>
  <si>
    <r>
      <t>Energiebedarf nach MINERGIE</t>
    </r>
    <r>
      <rPr>
        <sz val="10"/>
        <rFont val="Arial"/>
        <family val="2"/>
      </rPr>
      <t>, aufgeteilt nach Energieträgern und Vergleich mit dem MINERGIE-Grenzwert</t>
    </r>
  </si>
  <si>
    <t>Angaben zur Berechnung des MINERGIE-Grenzwerts</t>
  </si>
  <si>
    <t>Allgemeine, nicht variantenbezo-gene Angaben und Grundlagen-daten zum Projekt</t>
  </si>
  <si>
    <t>Bezeichnung, Kurzbeschrieb und grafische Darstellung der Energieversorgungs-Varianten.
Die farbige Darstellung entsteht automatisch aufgrund der Eingaben.</t>
  </si>
  <si>
    <t>EV_Var1 /..2 /..3 /..4</t>
  </si>
  <si>
    <t>Energie- und Leistungsdaten, Nutzungsgrade, etc.</t>
  </si>
  <si>
    <t>Angaben zu baulichen Massnahmen</t>
  </si>
  <si>
    <t>WR_Übersicht</t>
  </si>
  <si>
    <t>Zusammenstellung der Resultate der Wirtschaftlichkeitsrechnung</t>
  </si>
  <si>
    <t>WR_Var1 /..2 /..3 /..4</t>
  </si>
  <si>
    <t>Bezeichnung und Kurz-beschrieb der Variante</t>
  </si>
  <si>
    <t>Geschätzte Investitionskosten und Nutzungsdauern der Anla-gen und Bauteile</t>
  </si>
  <si>
    <t>Energiebedarfszahlen gemäss separaten Berechnungen. Letztere sind beizulegen!</t>
  </si>
  <si>
    <t>Energiebedarfszahlen gemäss separaten Berechnungen</t>
  </si>
  <si>
    <t>Beurteilung der Varianten nach obigen Kriterien mit Ampel-system und Stichworten</t>
  </si>
  <si>
    <t>Gesamtbeurteilung der Varian-ten mit Ampelsystem und Fazit/Empfehlung</t>
  </si>
  <si>
    <t>Keine Eingaben</t>
  </si>
  <si>
    <t>Berechnung aller numerischen Daten, welche in den Ergebnissen dargestellt werden.</t>
  </si>
  <si>
    <t>Die Basisdaten wie Primärener-giefaktoren, Grenzwerte, etc. werden bei Bedarf durch das AHB angepasst.</t>
  </si>
  <si>
    <r>
      <t>m</t>
    </r>
    <r>
      <rPr>
        <vertAlign val="superscript"/>
        <sz val="10"/>
        <color theme="0" tint="-0.499984740745262"/>
        <rFont val="Arial"/>
        <family val="2"/>
      </rPr>
      <t>3</t>
    </r>
  </si>
  <si>
    <r>
      <t>m</t>
    </r>
    <r>
      <rPr>
        <vertAlign val="superscript"/>
        <sz val="10"/>
        <color theme="0" tint="-0.499984740745262"/>
        <rFont val="Arial"/>
        <family val="2"/>
      </rPr>
      <t>2</t>
    </r>
  </si>
  <si>
    <t>Qualitative Kriterien anpassen/ergänzen und Beurteilung der Varianten mit Ampelsystem und kurzen Stichwörtern vornehmen</t>
  </si>
  <si>
    <t>Gesamtbeurteilung der Varianten mit Ampelsystem und kurzen Stichwörtern</t>
  </si>
  <si>
    <t>Alle Eingabefelder sind blassgelb hinterlegt.</t>
  </si>
  <si>
    <t>Ausahme ist das Blatt "Ergebnisse", wo</t>
  </si>
  <si>
    <t>blassblaue Felder für die qualitativen Kriterien</t>
  </si>
  <si>
    <t>und taubenblaue Felder für die Beurteilungen</t>
  </si>
  <si>
    <t>Anwenderführung</t>
  </si>
  <si>
    <t>auszufüllen sind. Alle übrigen Felder sind für die Anwender gesperrt.</t>
  </si>
  <si>
    <t>Anleitung und Kommentare sowie Herkunft der Grundlagendaten ergänzt. Benutzerführung verbessert.</t>
  </si>
  <si>
    <t>Hellblau hinterlegte Felder und Kommentare enthalten wichtige Hinweise.</t>
  </si>
  <si>
    <t>Einarbeitung der Rückmeldungen aus der Vernehmlassung</t>
  </si>
  <si>
    <t>Energieumwandlung</t>
  </si>
  <si>
    <t>Bezeichung</t>
  </si>
  <si>
    <t xml:space="preserve"> Stadt</t>
  </si>
  <si>
    <t xml:space="preserve"> Bund</t>
  </si>
  <si>
    <t xml:space="preserve"> Kanton</t>
  </si>
  <si>
    <t>Zahlenvergleich: Unteres Drittel</t>
  </si>
  <si>
    <t>Zahlenvergleich: Mittleres Drittel</t>
  </si>
  <si>
    <t>Aufbereitung und Abgabe der Ergebnisse</t>
  </si>
  <si>
    <t>Alle wichtigen Informationen zur Beurteilung der Varianten sind im Blatt "Ergebnisse" zusammengefasst. Dessen Darstellung eignet sich sowohl für eine Präsentation als auch für den Ausdruck auf Papier. Für die Entscheidungsträger genügen diese Informationen in der Regel.</t>
  </si>
  <si>
    <t>Für eine vollständige und nachvollziehbare Dokumentation sind jeweils auch die übrigen Blätter - ausser "INFO" - abzugeben. Dies erfolgt zweckmässigerweise in Form eines Anhangs zum Bericht über die Variantenstudie.</t>
  </si>
  <si>
    <t>Bei Variantenstudien im Auftrag des Amtes für Hochbauten der Stadt Zürich ist der Fachstelle Energie- und Gebäudetechnik jeweils eine elektronische Version im Originalformat (MS Excel) abzugeben.</t>
  </si>
  <si>
    <t>Die Arbeitsmappe ist eingabeorientiert aufgebaut, d.h. die einzelnen Arbeitsblätter werden sinnvollerweise - beginnend mit "Projektdaten" - von links nach rechts bearbeitet.</t>
  </si>
  <si>
    <t>Darstellung der Ergebnisse (siehe oben) des Variantenvergleichs: Übersichtsseite mit allen numerischen und qualitativen Angaben sowie verschiedene Balkengrafiken</t>
  </si>
  <si>
    <t>Stadt Zürich</t>
  </si>
  <si>
    <t>ewz.ökopower</t>
  </si>
  <si>
    <t>ewz.solartop</t>
  </si>
  <si>
    <t>Hochtarif</t>
  </si>
  <si>
    <t>Niedertarif</t>
  </si>
  <si>
    <t>WP, Hochtarif</t>
  </si>
  <si>
    <t>WP, Niedertarif</t>
  </si>
  <si>
    <t>Brennstoffe</t>
  </si>
  <si>
    <t>[%/a]</t>
  </si>
  <si>
    <t>[-]</t>
  </si>
  <si>
    <t>Primär-energie erneuerbar</t>
  </si>
  <si>
    <t>Umwelt-belastungs-punkte</t>
  </si>
  <si>
    <t>Ökologie</t>
  </si>
  <si>
    <t>Grunddaten</t>
  </si>
  <si>
    <t>Treibhaus-
gas-Emisionen</t>
  </si>
  <si>
    <r>
      <t>[kg/kWh CO</t>
    </r>
    <r>
      <rPr>
        <vertAlign val="subscript"/>
        <sz val="9"/>
        <rFont val="Arial Narrow"/>
        <family val="2"/>
      </rPr>
      <t>2e</t>
    </r>
    <r>
      <rPr>
        <sz val="9"/>
        <rFont val="Arial Narrow"/>
        <family val="2"/>
      </rPr>
      <t>]</t>
    </r>
  </si>
  <si>
    <t>MINERGIE Gewichtung</t>
  </si>
  <si>
    <t>Primärener-gie nicht erneuerbar</t>
  </si>
  <si>
    <t>kW Erzeugerleistung</t>
  </si>
  <si>
    <r>
      <t>m</t>
    </r>
    <r>
      <rPr>
        <vertAlign val="superscript"/>
        <sz val="9"/>
        <rFont val="Arial"/>
        <family val="2"/>
      </rPr>
      <t>3</t>
    </r>
    <r>
      <rPr>
        <sz val="9"/>
        <rFont val="Arial"/>
        <family val="2"/>
      </rPr>
      <t xml:space="preserve"> Aushub</t>
    </r>
  </si>
  <si>
    <r>
      <t>m</t>
    </r>
    <r>
      <rPr>
        <vertAlign val="superscript"/>
        <sz val="9"/>
        <rFont val="Arial"/>
        <family val="2"/>
      </rPr>
      <t>2</t>
    </r>
    <r>
      <rPr>
        <sz val="9"/>
        <rFont val="Arial"/>
        <family val="2"/>
      </rPr>
      <t xml:space="preserve"> Bauteilfläche</t>
    </r>
  </si>
  <si>
    <r>
      <t>m</t>
    </r>
    <r>
      <rPr>
        <vertAlign val="superscript"/>
        <sz val="9"/>
        <rFont val="Arial"/>
        <family val="2"/>
      </rPr>
      <t>2</t>
    </r>
    <r>
      <rPr>
        <sz val="9"/>
        <rFont val="Arial"/>
        <family val="2"/>
      </rPr>
      <t xml:space="preserve"> Kollektorfläche</t>
    </r>
  </si>
  <si>
    <r>
      <t>[kg/a CO</t>
    </r>
    <r>
      <rPr>
        <vertAlign val="subscript"/>
        <sz val="9"/>
        <rFont val="Arial"/>
        <family val="2"/>
      </rPr>
      <t>2e</t>
    </r>
    <r>
      <rPr>
        <sz val="9"/>
        <rFont val="Arial"/>
        <family val="2"/>
      </rPr>
      <t>]</t>
    </r>
  </si>
  <si>
    <t>Primärfaktoren Erstellung</t>
  </si>
  <si>
    <t>[UBP06/a]</t>
  </si>
  <si>
    <r>
      <t>[kWh/m</t>
    </r>
    <r>
      <rPr>
        <vertAlign val="superscript"/>
        <sz val="9"/>
        <rFont val="Arial"/>
        <family val="2"/>
      </rPr>
      <t>2</t>
    </r>
    <r>
      <rPr>
        <vertAlign val="subscript"/>
        <sz val="9"/>
        <rFont val="Arial"/>
        <family val="2"/>
      </rPr>
      <t>EBF</t>
    </r>
    <r>
      <rPr>
        <sz val="9"/>
        <rFont val="Arial"/>
        <family val="2"/>
      </rPr>
      <t>a]</t>
    </r>
  </si>
  <si>
    <t>Kalkulationsszinssatz (real)</t>
  </si>
  <si>
    <t>Hilfstabelle Elektrizitätstarife</t>
  </si>
  <si>
    <t>NT</t>
  </si>
  <si>
    <t>WPHT</t>
  </si>
  <si>
    <t>WPNT</t>
  </si>
  <si>
    <t>Eff. Kostensteigerung</t>
  </si>
  <si>
    <t>Elektrische Hilfsenergien Raumwärme und Warmwasser</t>
  </si>
  <si>
    <t>Lüftung / Klimatisierung</t>
  </si>
  <si>
    <t>Beleuchtung</t>
  </si>
  <si>
    <t>Betriebseinrichtungen</t>
  </si>
  <si>
    <t>MINERGIE</t>
  </si>
  <si>
    <t>SIA Effizienzpfad Energie</t>
  </si>
  <si>
    <t>Auswahlliste Standard</t>
  </si>
  <si>
    <t>Sämtliche Grunddaten für die Berechnung der wirtschaftlichen und ökologischen Vergleichs-zahlen mit Quellenangaben</t>
  </si>
  <si>
    <t>Zahlenvergleich: Oberes Drittel</t>
  </si>
  <si>
    <t>[Fr./kW]</t>
  </si>
  <si>
    <t>Eff. Leistungspreis</t>
  </si>
  <si>
    <t>Produktewahl</t>
  </si>
  <si>
    <t>Durchschnitt CH (KVA)</t>
  </si>
  <si>
    <t>Anschlussleistung:</t>
  </si>
  <si>
    <t>Kleine Korrekturen und Ergänzungen</t>
  </si>
  <si>
    <t>1.0</t>
  </si>
  <si>
    <t>Berechnungspreis Energie</t>
  </si>
  <si>
    <t>1.1</t>
  </si>
  <si>
    <t>Fehlerbehebung: Leistungspreis Elektro wurde im Total nicht berücksichtigt.
In den WR_...-Blättern sind neu Kommentare in den Bearbeitungsfeldern möglich</t>
  </si>
  <si>
    <t>1.2</t>
  </si>
  <si>
    <t>Fehlerbehebung: Berechnungsfehler Endenergie Erdgas bei WKK mit Biogas-Anteil
Fehlerbehebung: Berechnungsfehler bei Handeingabe Leistungspreis Biogas/Erdgas
Energiepreise und Umweltfaktoren aktualisert</t>
  </si>
  <si>
    <t>ewz.wassertop</t>
  </si>
  <si>
    <t>Netzrückspeisung</t>
  </si>
  <si>
    <t>Gasmotorwärmepumpe</t>
  </si>
  <si>
    <t>Absorptionskälte</t>
  </si>
  <si>
    <t>Vorgaben für Nutzungsgrade und Erträge</t>
  </si>
  <si>
    <t>Ertrag Sonnenkollektoren</t>
  </si>
  <si>
    <r>
      <t>kWh/m</t>
    </r>
    <r>
      <rPr>
        <sz val="9"/>
        <rFont val="Calibri"/>
        <family val="2"/>
      </rPr>
      <t>²</t>
    </r>
  </si>
  <si>
    <t>Ertrag Solarstromanlage</t>
  </si>
  <si>
    <t>Jahresnutzungsgrad Heizkessel</t>
  </si>
  <si>
    <t>Jahresnutzungsgrad WKK</t>
  </si>
  <si>
    <t>Jahresarbeitszahl Wärmepumpe</t>
  </si>
  <si>
    <t>Jahresarbeitszahl Absorptionskälte</t>
  </si>
  <si>
    <t>Jahresarbeitszahl Gasmotorwärmepumpe</t>
  </si>
  <si>
    <t>Jahresarbeitszahl Kältemaschine</t>
  </si>
  <si>
    <t>Preisanteil Energie</t>
  </si>
  <si>
    <t>Preisanteil Abgaben</t>
  </si>
  <si>
    <t>Beschreibung</t>
  </si>
  <si>
    <t>Bemerkungen</t>
  </si>
  <si>
    <t>1. Wärmequelle Baumeister</t>
  </si>
  <si>
    <t>Grundwasserbohrung</t>
  </si>
  <si>
    <t>Seewasserfassungsbau</t>
  </si>
  <si>
    <t>Tankraum</t>
  </si>
  <si>
    <t>2. Wärmequelle Technisch</t>
  </si>
  <si>
    <t>Erdsonden inkl. Bohrung</t>
  </si>
  <si>
    <t>Erdregister</t>
  </si>
  <si>
    <t>Expansion</t>
  </si>
  <si>
    <t>Filteranlage</t>
  </si>
  <si>
    <t>Pumpenstation</t>
  </si>
  <si>
    <t>Systemtrennung</t>
  </si>
  <si>
    <t>Rückkühler</t>
  </si>
  <si>
    <t>Anschlussleitungen</t>
  </si>
  <si>
    <t>Energiemessung</t>
  </si>
  <si>
    <t>Dämmungen</t>
  </si>
  <si>
    <t>3. Energiezulieferung</t>
  </si>
  <si>
    <t>Hauptgaszuleitung (Gaswerk)</t>
  </si>
  <si>
    <t>Gasleitung ab Gasraum</t>
  </si>
  <si>
    <t>Gasstrasse Kessel</t>
  </si>
  <si>
    <t>Öltank</t>
  </si>
  <si>
    <t>Ölförderungsleitung</t>
  </si>
  <si>
    <t>Ölstrasse Kessel</t>
  </si>
  <si>
    <t>4. Wärme- / Kälteerzeugung</t>
  </si>
  <si>
    <t>Wärmespeicher</t>
  </si>
  <si>
    <t>Kältespeicher</t>
  </si>
  <si>
    <t>5. Kaminanlage</t>
  </si>
  <si>
    <t>Rauchgasreinigung</t>
  </si>
  <si>
    <t>Aschenaustragung</t>
  </si>
  <si>
    <t>6. Wärmeverteilung</t>
  </si>
  <si>
    <t>Heizungsverteiler</t>
  </si>
  <si>
    <t>Expansion (Wärme)</t>
  </si>
  <si>
    <t>Heizgruppen</t>
  </si>
  <si>
    <t>Übergabestationen Heizung</t>
  </si>
  <si>
    <t>Kälteverteiler</t>
  </si>
  <si>
    <t>Expansion (Kälte)</t>
  </si>
  <si>
    <t>Übergabestationen Kälte</t>
  </si>
  <si>
    <t>7. Wärme- / Kälteabgabe</t>
  </si>
  <si>
    <t>Heizkörper</t>
  </si>
  <si>
    <t>Bodenheizung</t>
  </si>
  <si>
    <t>TABS</t>
  </si>
  <si>
    <t>Luftheizapparate</t>
  </si>
  <si>
    <t>Lufterhitzeranschluss</t>
  </si>
  <si>
    <t>Luftkühleranschluss</t>
  </si>
  <si>
    <t>8. Sicherheit</t>
  </si>
  <si>
    <t>Gaswarnanlage</t>
  </si>
  <si>
    <t>Öltank Überwachung Erdreich</t>
  </si>
  <si>
    <t xml:space="preserve">Freonwarnanlage </t>
  </si>
  <si>
    <t>Brandmeldeanlage</t>
  </si>
  <si>
    <t>9. Sanitär</t>
  </si>
  <si>
    <t>Warmwasserspeicher</t>
  </si>
  <si>
    <t xml:space="preserve">Hauptverteiler Kaltwasser </t>
  </si>
  <si>
    <t>Verteiler Warmwasser</t>
  </si>
  <si>
    <t>Schmutzwasserleitungen</t>
  </si>
  <si>
    <t>Apparate</t>
  </si>
  <si>
    <t>BWW-Ladung</t>
  </si>
  <si>
    <t>KW, WW, Zirk.-Leitungen</t>
  </si>
  <si>
    <t>10. Lüftung</t>
  </si>
  <si>
    <t xml:space="preserve">Belüftung Zentrale </t>
  </si>
  <si>
    <t>Armaturen, Instrumente</t>
  </si>
  <si>
    <t>Kanäle</t>
  </si>
  <si>
    <t>11. Metallbauarbeiten</t>
  </si>
  <si>
    <t>Tore</t>
  </si>
  <si>
    <t>Türen</t>
  </si>
  <si>
    <t>Podeste</t>
  </si>
  <si>
    <t>Geländer</t>
  </si>
  <si>
    <t>Silodeckel</t>
  </si>
  <si>
    <t>12. Bauliches Zentrale</t>
  </si>
  <si>
    <t>Aushub</t>
  </si>
  <si>
    <t>Gebäudekostenanteil Zentrale</t>
  </si>
  <si>
    <t>Baumeisterarbeiten</t>
  </si>
  <si>
    <t>13. Wärmeverbund Baumeister</t>
  </si>
  <si>
    <t>Graben Fernleitung</t>
  </si>
  <si>
    <t>Graben Wasserfassung</t>
  </si>
  <si>
    <t>Graben Erdsondenanschluss</t>
  </si>
  <si>
    <t>Mauerdichtungen</t>
  </si>
  <si>
    <t>14. Wärmeverbund Leitungen</t>
  </si>
  <si>
    <t>Kalte Fernleitung</t>
  </si>
  <si>
    <t>Fernleitung Heizung</t>
  </si>
  <si>
    <t>Fernleitung Sanitär</t>
  </si>
  <si>
    <t>Anschlussleitungen kalte Fernl.</t>
  </si>
  <si>
    <t>Anschlussleitungen Heizung</t>
  </si>
  <si>
    <t>15. MSRL</t>
  </si>
  <si>
    <t>Feldgeräte</t>
  </si>
  <si>
    <t>Schaltschränke</t>
  </si>
  <si>
    <t>Leitsystem (HW+Dienstleist.)</t>
  </si>
  <si>
    <t>Inbetriebsetzung</t>
  </si>
  <si>
    <t>16. Elektro</t>
  </si>
  <si>
    <t>Baustromverteilung</t>
  </si>
  <si>
    <t>Demontagen</t>
  </si>
  <si>
    <t>Schaltschränke HV/UV</t>
  </si>
  <si>
    <t>Elektrotrasse</t>
  </si>
  <si>
    <t>Verkabelung</t>
  </si>
  <si>
    <t>Einspeisung</t>
  </si>
  <si>
    <t>Telefon, Netzwerkanschluss</t>
  </si>
  <si>
    <t>Bus-Verbindungen</t>
  </si>
  <si>
    <t>17. Baumeister</t>
  </si>
  <si>
    <t>Provisorien</t>
  </si>
  <si>
    <t>Abbrucharbeiten</t>
  </si>
  <si>
    <t>Kabelgräben</t>
  </si>
  <si>
    <t>Durchbrüche, Kernbohrungen</t>
  </si>
  <si>
    <t>Fundamente, Sockel</t>
  </si>
  <si>
    <t>Brandabschottungen</t>
  </si>
  <si>
    <t>Gerüste</t>
  </si>
  <si>
    <t>Kran, Pneukran</t>
  </si>
  <si>
    <t>18. Weiteres (ohne Baumeister)</t>
  </si>
  <si>
    <t>19. Baunebenkosten</t>
  </si>
  <si>
    <t>Demontagen (ohne Baumeister)</t>
  </si>
  <si>
    <t>Malerarbeiten</t>
  </si>
  <si>
    <t>Baureinigung</t>
  </si>
  <si>
    <t>Umgebungsarbeiten</t>
  </si>
  <si>
    <t>20. Unvorhergesehenes</t>
  </si>
  <si>
    <t>21. Honorare / Nebenkosten</t>
  </si>
  <si>
    <t>HLKKSE-Ingenieur gemäss LM 95</t>
  </si>
  <si>
    <t>Bauingenieur gemäss LM 95</t>
  </si>
  <si>
    <t>Bewilligungen</t>
  </si>
  <si>
    <t>QS (Planung, Ausführung)</t>
  </si>
  <si>
    <t>BO nach Inbetriebnahme</t>
  </si>
  <si>
    <t>BO periodisch</t>
  </si>
  <si>
    <t>HONORARE NACH KOSTENTARIF</t>
  </si>
  <si>
    <t>Honorarberechnung SIA 108 (Pos. 2-10, 14-16, 18, 19, ant. 20)</t>
  </si>
  <si>
    <t>Honorarberechtigte Baukosten</t>
  </si>
  <si>
    <t>B =</t>
  </si>
  <si>
    <t>p =</t>
  </si>
  <si>
    <t>Schwierigkeitsgrad</t>
  </si>
  <si>
    <t>n =</t>
  </si>
  <si>
    <t>Honorarberechnung SIA 102 (Pos. 1, 11, 12, 13, 17, ant. 20)</t>
  </si>
  <si>
    <t>HONORARE NACH LEISTUNGSMODELL</t>
  </si>
  <si>
    <t>Honorarberechnung SIA 112 Technisches</t>
  </si>
  <si>
    <t>4.</t>
  </si>
  <si>
    <t>5.</t>
  </si>
  <si>
    <t>Honorarberechnung SIA 112 Bauliches</t>
  </si>
  <si>
    <t>Verwendete</t>
  </si>
  <si>
    <t>Verwendet</t>
  </si>
  <si>
    <t>Elektrizität Wärmepumpen, HT</t>
  </si>
  <si>
    <t>Elektrizität Wärmepumpen, NT</t>
  </si>
  <si>
    <t>Wasserfassungsbau ARA</t>
  </si>
  <si>
    <t>Fundamente Rückkühler</t>
  </si>
  <si>
    <t>Thermische Sonnenkollektoren</t>
  </si>
  <si>
    <t>Kaminanlage / Abgasleitung 1</t>
  </si>
  <si>
    <t>Kaminanlage / Abgasleitung 2</t>
  </si>
  <si>
    <t>Stationäre Hebevorrichtungen</t>
  </si>
  <si>
    <t>Fluchteinrichtungen</t>
  </si>
  <si>
    <t>Zufahrt Schnitzelsilo</t>
  </si>
  <si>
    <t>WP Tarif = Normaltarif</t>
  </si>
  <si>
    <t>Nettobarwert</t>
  </si>
  <si>
    <t>(zum Invest. Zeitpunkt)</t>
  </si>
  <si>
    <t>Verlauf der Energiepreise (Index, 100% = Ausgangsjahr)</t>
  </si>
  <si>
    <t>Gestehungskosten Wärme</t>
  </si>
  <si>
    <t>Gestehungskosten Kälte</t>
  </si>
  <si>
    <t>Wärme</t>
  </si>
  <si>
    <t>Kälte</t>
  </si>
  <si>
    <t>Verlauf der jährlich anfallenden Energiekosten, ohne Anteil Kosten Umwelt</t>
  </si>
  <si>
    <t>Programmvorschlag</t>
  </si>
  <si>
    <t>Manuelle Eingabe</t>
  </si>
  <si>
    <t>Berechnung der Gestehungskosten bei Vorgabe von ein oder zwei Gestehungskosten</t>
  </si>
  <si>
    <t>Selektor</t>
  </si>
  <si>
    <t>Rp./kWh</t>
  </si>
  <si>
    <t>Gestehungskosten Elektrizität</t>
  </si>
  <si>
    <t>Gestehungskosten</t>
  </si>
  <si>
    <t>Energie-kosten</t>
  </si>
  <si>
    <t>Erzeugung</t>
  </si>
  <si>
    <t>Elektrizität*</t>
  </si>
  <si>
    <t>Total Stromverbrauch</t>
  </si>
  <si>
    <t>Bilanz Elektrizität</t>
  </si>
  <si>
    <t>Auswahl</t>
  </si>
  <si>
    <t>Berücksichtigung UW-Kosten</t>
  </si>
  <si>
    <t>(wählbar im Blatt "Projektdaten")</t>
  </si>
  <si>
    <t>*) Nur lokal erzeugte Elektrizität (netto)</t>
  </si>
  <si>
    <t>Standard</t>
  </si>
  <si>
    <t>WP = Normaltarif:</t>
  </si>
  <si>
    <t>Eigenleistungen ewz / AHB</t>
  </si>
  <si>
    <t>Total (Mittelwert)</t>
  </si>
  <si>
    <t>Z1 =</t>
  </si>
  <si>
    <t>Z2 =</t>
  </si>
  <si>
    <t>r =</t>
  </si>
  <si>
    <t>Grundfaktor für den Stundenaufwand, f(B,Z1,Z2)</t>
  </si>
  <si>
    <t>Teamfaktor</t>
  </si>
  <si>
    <t>i =</t>
  </si>
  <si>
    <t>Leistungsanteil in Prozenten</t>
  </si>
  <si>
    <t>q =</t>
  </si>
  <si>
    <t>Anpassungsfaktor an den konkreten Auftrag</t>
  </si>
  <si>
    <t>Koeffizient Z1</t>
  </si>
  <si>
    <t>Koeffizient Z2</t>
  </si>
  <si>
    <t>Faktor für Sonderleistungen</t>
  </si>
  <si>
    <t>Angebotener Stundensatz</t>
  </si>
  <si>
    <t>s =</t>
  </si>
  <si>
    <t>h =</t>
  </si>
  <si>
    <t>Berechntetes Honorar</t>
  </si>
  <si>
    <r>
      <t xml:space="preserve">UVG in % Bausumme </t>
    </r>
    <r>
      <rPr>
        <u/>
        <sz val="8"/>
        <rFont val="Arial"/>
        <family val="2"/>
      </rPr>
      <t>Technik</t>
    </r>
  </si>
  <si>
    <r>
      <t xml:space="preserve">UVG in % Bausumme </t>
    </r>
    <r>
      <rPr>
        <u/>
        <sz val="8"/>
        <rFont val="Arial"/>
        <family val="2"/>
      </rPr>
      <t>Bauliches</t>
    </r>
  </si>
  <si>
    <t>HLKKSE-Ingenieur nach sia 108</t>
  </si>
  <si>
    <t>Bauingenieur nach SIA 102</t>
  </si>
  <si>
    <t>Geologe, Akustiker, Fachingenieure</t>
  </si>
  <si>
    <t>Repro, Plot, Kopien, Spesen</t>
  </si>
  <si>
    <t>Wärmequellen für Absorptionskälte</t>
  </si>
  <si>
    <t>Wärmequellen für WP</t>
  </si>
  <si>
    <t>Abwärme</t>
  </si>
  <si>
    <t>Preis-steigerung (linear)</t>
  </si>
  <si>
    <t>Leistungs-preis 
(pro Jahr)</t>
  </si>
  <si>
    <t>Jahresarbeitszahl freie Kühlung</t>
  </si>
  <si>
    <t>HT</t>
  </si>
  <si>
    <t>Programmvorschlag Betrachtungsdauer:</t>
  </si>
  <si>
    <t>Netzbezug</t>
  </si>
  <si>
    <t>Verwendung als Nutzernergie</t>
  </si>
  <si>
    <t>Verwendet für Erzeugungsanlagen</t>
  </si>
  <si>
    <t>Eigenerzeugung</t>
  </si>
  <si>
    <t>Ins Netz rückgespiesen</t>
  </si>
  <si>
    <t>Total Stromverbrauch für Nutzenergie</t>
  </si>
  <si>
    <t>Total Stromverbrauch für Erzeugungsanlagen</t>
  </si>
  <si>
    <t>Total Eigenerzeugung</t>
  </si>
  <si>
    <t>Netto Eigenerzeugung (ohne Rückspeisung)</t>
  </si>
  <si>
    <t>Summe Netzbezug und Eigenerzeugung</t>
  </si>
  <si>
    <t>Total Netzbezug</t>
  </si>
  <si>
    <t>Netto Netzbezug und Eigenerz. (ohne Rückspeisung)</t>
  </si>
  <si>
    <t>Verwendung als Nutzenergie</t>
  </si>
  <si>
    <t>Quelle</t>
  </si>
  <si>
    <t>Bezeichnung</t>
  </si>
  <si>
    <t>Stadt</t>
  </si>
  <si>
    <t>Kanton</t>
  </si>
  <si>
    <t>Bund</t>
  </si>
  <si>
    <t>Wirtschaftlichkeitsrechnung</t>
  </si>
  <si>
    <t xml:space="preserve">Bauvorhaben: </t>
  </si>
  <si>
    <t xml:space="preserve">Fernwärme: </t>
  </si>
  <si>
    <t xml:space="preserve">Elektrizität: </t>
  </si>
  <si>
    <t>Auwahlliste Wirtschaftlichkeitsrechnung</t>
  </si>
  <si>
    <t>Energiebedarf MINERGIE</t>
  </si>
  <si>
    <t>El.-Produkt Selektor:</t>
  </si>
  <si>
    <t>FW.-Produkt Selektor:</t>
  </si>
  <si>
    <t>1. Honorare pauschal</t>
  </si>
  <si>
    <t>22. Betriebsführung</t>
  </si>
  <si>
    <t>Betriebsführung in % der Investitionen ohne Honorare</t>
  </si>
  <si>
    <t>Entsorgung (Asche, Schlamm etc.)</t>
  </si>
  <si>
    <t>Versicherungen</t>
  </si>
  <si>
    <t>Weiteres</t>
  </si>
  <si>
    <t>Primärenergie nicht erneuerbar</t>
  </si>
  <si>
    <t>Rückspeisung &lt;= Erzeugung</t>
  </si>
  <si>
    <t>Variante 2:</t>
  </si>
  <si>
    <t>Variante 3:</t>
  </si>
  <si>
    <t>Variante 4:</t>
  </si>
  <si>
    <t>Förder-beiträge</t>
  </si>
  <si>
    <t>WKP 
(Sommer/Minder)</t>
  </si>
  <si>
    <t>2.0a</t>
  </si>
  <si>
    <t>Gemäss Detailkostenzusammenstellung (Blatt "DK_Var1")</t>
  </si>
  <si>
    <t>Zwei Möglichkeiten zur Erfassung:</t>
  </si>
  <si>
    <t>Entweder</t>
  </si>
  <si>
    <r>
      <t xml:space="preserve">Detaillierte Erfassung nach vorgegebener Struktur
</t>
    </r>
    <r>
      <rPr>
        <sz val="9"/>
        <rFont val="Symbol"/>
        <family val="1"/>
        <charset val="2"/>
      </rPr>
      <t>®</t>
    </r>
    <r>
      <rPr>
        <sz val="9"/>
        <rFont val="Tahoma"/>
        <family val="2"/>
      </rPr>
      <t xml:space="preserve"> Blatt "DK_Var1"</t>
    </r>
  </si>
  <si>
    <t>Oder</t>
  </si>
  <si>
    <t>Freie Eingabe auf diesen Zeilen</t>
  </si>
  <si>
    <t>(von Blatt "Grunddaten")</t>
  </si>
  <si>
    <r>
      <rPr>
        <sz val="9"/>
        <rFont val="Symbol"/>
        <family val="1"/>
        <charset val="2"/>
      </rPr>
      <t>¬</t>
    </r>
    <r>
      <rPr>
        <sz val="9"/>
        <rFont val="Tahoma"/>
        <family val="2"/>
      </rPr>
      <t xml:space="preserve">             Summen werden hierher übertragen</t>
    </r>
  </si>
  <si>
    <t>Gemäss Detailkostenzusammenstellung (Blatt "DK_Var2")</t>
  </si>
  <si>
    <r>
      <t xml:space="preserve">Detaillierte Erfassung nach vorgegebener Struktur
</t>
    </r>
    <r>
      <rPr>
        <sz val="9"/>
        <rFont val="Symbol"/>
        <family val="1"/>
        <charset val="2"/>
      </rPr>
      <t>®</t>
    </r>
    <r>
      <rPr>
        <sz val="9"/>
        <rFont val="Tahoma"/>
        <family val="2"/>
      </rPr>
      <t xml:space="preserve"> Blatt "DK_Var2"</t>
    </r>
  </si>
  <si>
    <t>Gemäss Detailkostenzusammenstellung (Blatt "DK_Var3")</t>
  </si>
  <si>
    <t>Gemäss Detailkostenzusammenstellung (Blatt "DK_Var4")</t>
  </si>
  <si>
    <t>Erdsonden/Grundwasserfassung</t>
  </si>
  <si>
    <r>
      <t>Gestehungskosten</t>
    </r>
    <r>
      <rPr>
        <sz val="10"/>
        <rFont val="Arial"/>
        <family val="2"/>
      </rPr>
      <t xml:space="preserve"> für Wärme, Kälte und Elektrizität.</t>
    </r>
  </si>
  <si>
    <t>DK_Var1 /..2 /..3 /..4</t>
  </si>
  <si>
    <t xml:space="preserve">Detailkosten pro Variante (alternativ zur summarischen Eingabe in den Blättern WR_Var…)
</t>
  </si>
  <si>
    <t>Freie Eingabe in Tabelle unten</t>
  </si>
  <si>
    <t>Erfassung in Blatt "DK_Var1"</t>
  </si>
  <si>
    <t>WKP (Minder)</t>
  </si>
  <si>
    <t>Erfassung in Blatt "DK_Var2"</t>
  </si>
  <si>
    <t>Erfassung in Blatt "DK_Var3"</t>
  </si>
  <si>
    <t>Erfassung in Blatt "DK_Var4"</t>
  </si>
  <si>
    <t>2.0c</t>
  </si>
  <si>
    <t>2.0d</t>
  </si>
  <si>
    <t>Zusätzlicher Energieträger "technische Umweltwärme", Anergienetz.
Unterhaltskostensteigerung linear in % der Kosten im Ausgangsjahr
Verschiedene Fehlerbehebungen</t>
  </si>
  <si>
    <t>Zwei Alternativen zur Eingabe von Investitions- und Unterhaltskosten: Zusätzliches Blatt für die detaillierte Erfassung (DK_Var…) oder summarische Erfassung im Blatt WR_Var…
Kosmetische Anpassungen</t>
  </si>
  <si>
    <t>- Zusätzliche Energieträger
- Zusätzliche Erzeugungsanlagen
- Netzrückspeisung
- Detailliertere Angaben zu Investitionen
- Lineare Steigerung der Energiepreise
- Anpassung der Methodik zur Berechnung der Annuität (mittlere Jährliche Kosten)
- Berechnung der Gestehungspreise Wärme, Kälte, Elektrizität
Detailierter Beschrieb der Änderungen im separaten Dokument.</t>
  </si>
  <si>
    <t>Leistungen Umweltwärme</t>
  </si>
  <si>
    <t>linear</t>
  </si>
  <si>
    <t>Anschlussleistung Fernwärme</t>
  </si>
  <si>
    <t>TOTAL</t>
  </si>
  <si>
    <t>Wahl:</t>
  </si>
  <si>
    <t>FW-Leistungspreis</t>
  </si>
  <si>
    <t>Brennstoff XY</t>
  </si>
  <si>
    <t>Max. Leistungsbedarf:</t>
  </si>
  <si>
    <t>degressiv</t>
  </si>
  <si>
    <t>Leistungspreisberechnung Fernwärme: Fehler korrigiert (Berücksichtigung Absorptionskälte) und Wahl lineare oder degressive Berechnung eingeführt.
Leistungspreisberechnung Elektrizität: Neu automatisch analog Fernwärme</t>
  </si>
  <si>
    <t>Gesamttotal</t>
  </si>
  <si>
    <t>Inkl. Leitungsverluste =</t>
  </si>
  <si>
    <t>verluste</t>
  </si>
  <si>
    <t>Leitungs-</t>
  </si>
  <si>
    <t>Brauch-warmwasser</t>
  </si>
  <si>
    <t>Elektrische Hilfsenergie</t>
  </si>
  <si>
    <t>2.0e</t>
  </si>
  <si>
    <t>- Zusammenfassung der Summen pro Investitionskategorie oben auf jedem Detailblatt DK_Var...
- Leitungsverluste in % der erzeugten Wärme differenziert für Raumheizung und BWW auf EV_Var...
- Elektrische Hilfsenergien Leistung und Jahresverbrauch auf EV_Var...
- Angabe Bedarfsdeckung auf EV_Var... nicht nur in % sondern auch mit der Über-/Unterdeckung absolut in kWh/a
- Kleinere Verbesserungen Formatierung</t>
  </si>
  <si>
    <t>2.0f</t>
  </si>
  <si>
    <t>- Ergänzung Kommentar Hilfsenergien auf Blatt Projektdaten
- Leitungsverluste für Kühlenergie hinzugefügt
- Vereinfachung Berechnung Leitungsverluste, basierend auf Nutzenergiebedarf</t>
  </si>
  <si>
    <t>2.0g</t>
  </si>
  <si>
    <t>Brauchwarmwasser (inkl. Speicher- und Verteilverluste):</t>
  </si>
  <si>
    <t>Heizungsanschluss</t>
  </si>
  <si>
    <t>Lokales Produkt A</t>
  </si>
  <si>
    <t>Lokales Produkt B</t>
  </si>
  <si>
    <t>Lokales Produkt C</t>
  </si>
  <si>
    <t>Auswahlliste Elektriziät Übrige</t>
  </si>
  <si>
    <t>Auswahlliste Elektriziät Sadt Zürich</t>
  </si>
  <si>
    <t>Auswahlliste Fernwärme Stadt Zürich</t>
  </si>
  <si>
    <t>Auswahlliste Fernwärme Übrige</t>
  </si>
  <si>
    <t>Produktewahl: Stadt Zürich</t>
  </si>
  <si>
    <t>Umwelt-belastungspunkte</t>
  </si>
  <si>
    <t>Netzrückspeisung nicht erneuerbar</t>
  </si>
  <si>
    <t>Netzrückspeisung erneuerbar</t>
  </si>
  <si>
    <t>Reglement MINERGIE, Stand Januar 2014</t>
  </si>
  <si>
    <t>WKK</t>
  </si>
  <si>
    <t>Treibstoff</t>
  </si>
  <si>
    <t>PV</t>
  </si>
  <si>
    <t>Netzrückspeisung erneuerbar, HT</t>
  </si>
  <si>
    <t>Netzrückspeisung erneuerbar, NT</t>
  </si>
  <si>
    <t>Netzrückspeisung nicht erneuerbar, HT</t>
  </si>
  <si>
    <t>Netzrückspeisung nicht erneuerbar, NT</t>
  </si>
  <si>
    <t>Leistungspreis</t>
  </si>
  <si>
    <t xml:space="preserve">Förderbeiträge: </t>
  </si>
  <si>
    <t>Förderbeiträge berücksichtigen</t>
  </si>
  <si>
    <t>Förderbeiträge nicht berücksichtigen</t>
  </si>
  <si>
    <t>- Selektor "Stadt Zürich" für Produktewahl Elektrizität und Fernwärme eingebaut
- Berechnung "Energiepreis im Jahr …" gelöscht
- Zuschlag für Umweltkosten (KEPZ): Neue Werte (KBOB); für Stromprodukte Stadt Zürich = 0
- Im Blatt Grunddaten zwei zusätzliche Zeilen für lokale Stromprodukte eingefügt
- Wirtschaftlichkeitsdaten der Energieträger aktualisiert
- Netzrückspeisung: Unterschiedliche Tarife für erneuerbare und nicht erneuerbare Energieträger
- Netzrückspeisung wird bei Berechnung der Ökodaten (Erstellung und Betrieb) abgezogen
- Semantik angepasst: Selektor "Förderbeiträge" wirkt sich nicht nur auf die Gestehungskosten aus</t>
  </si>
  <si>
    <t>Produktewahl Elektrizität (Strommix) und Fernwärme</t>
  </si>
  <si>
    <t>Berücksichtigung Förderbeiträge</t>
  </si>
  <si>
    <t>Allfällige Netzrückspeisung aus Eigenstromerzeugung</t>
  </si>
  <si>
    <r>
      <t xml:space="preserve">Allfällige Förderbeiträge </t>
    </r>
    <r>
      <rPr>
        <vertAlign val="superscript"/>
        <sz val="10"/>
        <rFont val="Arial"/>
        <family val="2"/>
      </rPr>
      <t>1)</t>
    </r>
  </si>
  <si>
    <t>Zusammenfassung</t>
  </si>
  <si>
    <t>[%]</t>
  </si>
  <si>
    <r>
      <rPr>
        <b/>
        <sz val="10"/>
        <rFont val="Arial"/>
        <family val="2"/>
      </rPr>
      <t>Investitionskosten und allfällige Förderbeiträge</t>
    </r>
    <r>
      <rPr>
        <sz val="10"/>
        <rFont val="Arial"/>
        <family val="2"/>
      </rPr>
      <t>. Ob letztere berücksichtigt werden oder nicht, kann im Tool eingestellt werden.</t>
    </r>
  </si>
  <si>
    <t>[UBP/kWh]</t>
  </si>
  <si>
    <t>(mit Partikelfilter)</t>
  </si>
  <si>
    <t>KBOB Empfehlung "Ökobilanzdaten im Baubereich" 2009/1:2014</t>
  </si>
  <si>
    <r>
      <t>Primärenergiebedarf</t>
    </r>
    <r>
      <rPr>
        <sz val="10"/>
        <rFont val="Arial"/>
        <family val="2"/>
      </rPr>
      <t>, aufgeteilt in Graue Energie für die Erstellung</t>
    </r>
    <r>
      <rPr>
        <sz val="10"/>
        <rFont val="Arial"/>
        <family val="2"/>
      </rPr>
      <t xml:space="preserve"> sowie Betriebsenergie</t>
    </r>
    <r>
      <rPr>
        <sz val="10"/>
        <rFont val="Arial"/>
        <family val="2"/>
      </rPr>
      <t xml:space="preserve"> nicht erneuerbar, erneuerbar und erneuerbar am Standort</t>
    </r>
  </si>
  <si>
    <r>
      <t>Treibhausgasemissionen (CO</t>
    </r>
    <r>
      <rPr>
        <b/>
        <vertAlign val="subscript"/>
        <sz val="10"/>
        <rFont val="Arial"/>
        <family val="2"/>
      </rPr>
      <t>2</t>
    </r>
    <r>
      <rPr>
        <b/>
        <sz val="10"/>
        <rFont val="Arial"/>
        <family val="2"/>
      </rPr>
      <t>-Äquivalente)</t>
    </r>
    <r>
      <rPr>
        <sz val="10"/>
        <rFont val="Arial"/>
        <family val="2"/>
      </rPr>
      <t>, aufgeteilt in Erstellung</t>
    </r>
    <r>
      <rPr>
        <sz val="10"/>
        <rFont val="Arial"/>
        <family val="2"/>
      </rPr>
      <t xml:space="preserve"> und Betrieb</t>
    </r>
  </si>
  <si>
    <t>Bei Bedarf können eigene Daten für regionale, leitungs-gebundene Energieträger eingegeben werden</t>
  </si>
  <si>
    <t>Qualitative Vergleichskriterien einfügen</t>
  </si>
  <si>
    <t>[kWh/kWh]</t>
  </si>
  <si>
    <t>Investitions-ausgaben</t>
  </si>
  <si>
    <t>[CHF]</t>
  </si>
  <si>
    <t>Nutzungs-dauer</t>
  </si>
  <si>
    <t>Annui-täts-faktor</t>
  </si>
  <si>
    <t>[CHF/a]</t>
  </si>
  <si>
    <r>
      <t>Betrag</t>
    </r>
    <r>
      <rPr>
        <sz val="8"/>
        <rFont val="Arial"/>
        <family val="2"/>
      </rPr>
      <t xml:space="preserve"> [CHF]</t>
    </r>
  </si>
  <si>
    <t>[Rp./kWh]</t>
  </si>
  <si>
    <t>Heutige jährliche Energiekosten</t>
  </si>
  <si>
    <t xml:space="preserve"> über die Betr.dauer</t>
  </si>
  <si>
    <t>Instand-haltungs-kosten</t>
  </si>
  <si>
    <t>UBP / a</t>
  </si>
  <si>
    <t>Nach Tarif "nicht erneuerbar"</t>
  </si>
  <si>
    <t>Nach Tarif "erneuerbar"</t>
  </si>
  <si>
    <t>Investitions-kosten</t>
  </si>
  <si>
    <t>2.0β</t>
  </si>
  <si>
    <t>Produktewahl Stadt Zürich:</t>
  </si>
  <si>
    <t>Annuitäts-faktor</t>
  </si>
  <si>
    <t>pauschal</t>
  </si>
  <si>
    <t xml:space="preserve"> Instandhaltungskosten [CHF]</t>
  </si>
  <si>
    <t xml:space="preserve"> Energiekosten [CHF]</t>
  </si>
  <si>
    <t xml:space="preserve"> Betriebskosten [CHF]</t>
  </si>
  <si>
    <t xml:space="preserve"> Total [CHF]</t>
  </si>
  <si>
    <t>Betrag [CHF]</t>
  </si>
  <si>
    <r>
      <t>Wärme</t>
    </r>
    <r>
      <rPr>
        <sz val="8"/>
        <rFont val="Arial"/>
        <family val="2"/>
      </rPr>
      <t xml:space="preserve"> [Rp./kWh]</t>
    </r>
  </si>
  <si>
    <r>
      <t>Kälte</t>
    </r>
    <r>
      <rPr>
        <sz val="8"/>
        <rFont val="Arial"/>
        <family val="2"/>
      </rPr>
      <t xml:space="preserve"> [Rp./kWh]</t>
    </r>
  </si>
  <si>
    <r>
      <t>Elektrizität</t>
    </r>
    <r>
      <rPr>
        <sz val="8"/>
        <rFont val="Arial"/>
        <family val="2"/>
      </rPr>
      <t xml:space="preserve"> [Rp./kWh]</t>
    </r>
  </si>
  <si>
    <t>% Inv.</t>
  </si>
  <si>
    <r>
      <t>Gestehungskosten Nutzenergie</t>
    </r>
    <r>
      <rPr>
        <sz val="8"/>
        <rFont val="Arial"/>
        <family val="2"/>
      </rPr>
      <t xml:space="preserve"> [Rp./kWh]</t>
    </r>
  </si>
  <si>
    <t>Instandhaltungskostensteigerung (real)</t>
  </si>
  <si>
    <t>Verlauf der jährlichen Instandhaltungskosten</t>
  </si>
  <si>
    <t>Verlauf der jährlichen Intandhaltungskosten</t>
  </si>
  <si>
    <t>2.0</t>
  </si>
  <si>
    <t>Neu in Version 2.0</t>
  </si>
  <si>
    <t>i</t>
  </si>
  <si>
    <t>Produktewahl Elektrizität und Fernwärme: Zusätzlicher Selektor "Stadt Zürich" zur Vorgabe der verfügbaren Produkte</t>
  </si>
  <si>
    <t>Zusätzliche Einstellungen für die Wirtschaftlichkeitsrechnung:</t>
  </si>
  <si>
    <t>- Förderbeiträge berücksichtigen oder nicht</t>
  </si>
  <si>
    <t>Die Energiepreissteigerung wird neu linear berechnet</t>
  </si>
  <si>
    <t>Tarife für Netzrückspeisung (siehe EV_Var…)</t>
  </si>
  <si>
    <t>Elektrizitätstarife aufgeteilt in Energie, Netznutzung und Abgaben</t>
  </si>
  <si>
    <t>Zusätzliche, frei definierbare Energieträger: Bis zu 3 lokale Stromprodukte, ein Brennstoff, ein lokales Fernwärmeprodukt, ein  Anergienetz</t>
  </si>
  <si>
    <t>Beim Leistungspreis der Fernwärme kann neu zwischen linearer und degressiver Berechnungsmethode gewählt werden</t>
  </si>
  <si>
    <t>Aktualisierte Energiepreise</t>
  </si>
  <si>
    <t>Aktualisierte Umweltfaktoren (KBOB Empfehlung 2009/1:2014)</t>
  </si>
  <si>
    <t>KBOB-Empfehlung 2014/1 "Wirtschaftlichkeitsrechnung im Hochbau"</t>
  </si>
  <si>
    <t>Zusätzliche Wärme-/Kälteerzeuger: Gasmotorwärmepumpe, Absorptionskältemaschine</t>
  </si>
  <si>
    <t>Vorgaben für Jahresnutzungsgrade und -arbeitszahlen sowie Erträge von Solaranlagen (siehe EV_Var…)</t>
  </si>
  <si>
    <t>Vorgaben für Jahresutzungsgrade und -arbeitszahlen sowie Erträge von Solaranlagen (aus Blatt Grunddaten), welche überschrieben werden können</t>
  </si>
  <si>
    <t>Möglichkeit zur Berücksichtigung der Leitungsverluste (in % der Nutzwärme) zum Vergleich zentraler und dezentraler Arealversorgungen</t>
  </si>
  <si>
    <t>Möglichkeit zur Erfassung eines variantenspezifischen elektrischen Hilfsenergiebedarfs</t>
  </si>
  <si>
    <t>Für die freie Kühlung kann neu ebenfalls eine Jahresarbeitszahl eingegeben werden (elektro-thermischer Verstärkungsfaktor)</t>
  </si>
  <si>
    <t>Eingabe des max. Leistungsbedarfs für die Elektrizität ab Netz zwecks  Berechnung der Leistungskosten (siehe WR_Var...)</t>
  </si>
  <si>
    <t>Bei Eigenstromproduktion kann die ins Netz zurückgespeiste Energiemenge angegeben werden (siehe Berechnungen)</t>
  </si>
  <si>
    <t>Die Leistungskosten für die Elektrizität werden neu automatisch berechnet. Hierzu muss im Blatt EV_Var… der maximale Leistungsbedarf eingegeben werden.</t>
  </si>
  <si>
    <t>Berechnung der Gestehungskosten für die erzeugte Nutzenergie. Bei mehr als einer Energieart (z.B. Wärme und Kälte) wird ein Durchschnitt angegeben, der überschrieben werden kann. In diesem Fall passen sich die Kosten für die andere(n) Energieart(en) automatisch an.</t>
  </si>
  <si>
    <t xml:space="preserve">Wahlmöglichkeit für summarische Aufstellung der Anlagen (wie bisher) oder detaillierte Erfassung (siehe DK_Var…) </t>
  </si>
  <si>
    <t>Berechnung der Honorare nach SIA-Honorarordnung</t>
  </si>
  <si>
    <t>Erfassung der Kosten für die Betriebsführung</t>
  </si>
  <si>
    <t>Diese Blätter sind neu. Alternativ zur summarischen Aufstellung auf den Blättern WR_Var… können hier die Anlagen detailliert erfasst werden.</t>
  </si>
  <si>
    <t>Vordefinierte Struktur (mit Ergänzungszeilen) für die Erfassung aller für die Erstellung der Anlagen notwendigen Leistungen</t>
  </si>
  <si>
    <t>Darstellung der Gestehungskosten (siehe WR_Var…)</t>
  </si>
  <si>
    <t>Die Förderbeiträge werden nicht mehr hier eingegeben, sondern auf den Blättern WR_Var...</t>
  </si>
  <si>
    <t>Umweltbelastung (UBP)</t>
  </si>
  <si>
    <t>Die ins Netz zurückgespeiste Elektrizität (siehe EV_Var…) wird zum definierten Tarif (siehe Grunddaten) bei den Energiekosten in Abzug gebracht.</t>
  </si>
  <si>
    <t>- Primärenergie nicht erneuerbar</t>
  </si>
  <si>
    <t>- Gestehungskosten für Wärme, Kälte und Elektrizität</t>
  </si>
  <si>
    <t>Die Gestehungskosten werden in einer zusätzlichen Säulengrafik dargestellt</t>
  </si>
  <si>
    <t>Auf der Übersichtsseite werden neu aufgeführt:</t>
  </si>
  <si>
    <t>Für die ins Netz zurückgespeiste Elektrizität (siehe EV_Var…) werden nach Massgabe der Produktionsart (PV oder WKK) und deren Anteil an der Netzrückspeisung Abzüge bei der Umweltbelastung (Primärenergie, Treibhausgasemmissionen, Umweltbelastungspunkte) eingerechnet.</t>
  </si>
  <si>
    <r>
      <t xml:space="preserve">- Formelfehler bei der Berechnung des Endenergiebedarfs Ab-/Umweltwärme korrigiert
- Formelfehler bei der Berechnung der Annuitätsfaktoren auf den Blättern DK_Var2..4 korrigiert
- Berücksichtigung Bedarfszahlen bei der Berechnung der Gestehungskosten entfernt
- Auf dem Blatt Ergebnisse Gestehungskosten an den Schluss gestellt
- Ökobilanzdaten der Energieträger gemäss neuer Version KBOB2009/1:2014
- Heizölpreis korrigiert (Berechnungsfehler)
- Auf den Blättern WR_Var... Pauschale für Instandhaltungskosten wieder eingeführt
- Diverse redaktionelle Änderungen und Formatierungsanpassungen
</t>
    </r>
    <r>
      <rPr>
        <i/>
        <sz val="10"/>
        <rFont val="Arial"/>
        <family val="2"/>
      </rPr>
      <t>- Blätter DK_Var...: Falsche Verknüpfung bei den honorarberechtigten Baukosten SIA 108 korrigiert</t>
    </r>
  </si>
  <si>
    <t>Wärmeverbund XY</t>
  </si>
  <si>
    <r>
      <t>Jährliche Kosten</t>
    </r>
    <r>
      <rPr>
        <sz val="10"/>
        <rFont val="Arial"/>
        <family val="2"/>
      </rPr>
      <t>, aufgeteilt in Finanzierungs-, Instandhaltungs- und Energiekosten sowie kalkulatorische Energiepreiszuschläge (KEPZ), welche die externen Umweltkosten abbilden. Ob letztere berücksichtigt werden oder nicht, kann im Tool eingestellt werden.</t>
    </r>
  </si>
  <si>
    <t>Jährliche Kosten</t>
  </si>
  <si>
    <t>Überschreibbare Vorgaben für Nutzungsdauer und Instandhaltungskosten (in % der Investitionskosten)</t>
  </si>
  <si>
    <t>Wirtschaftlichkeitsrechnung pro Variante
Berechnung der jährlichen Finanzierungs-, Instandhaltungs- und Energiekosten sowie der Gestehungspreise</t>
  </si>
  <si>
    <r>
      <rPr>
        <vertAlign val="superscript"/>
        <sz val="8"/>
        <rFont val="Arial"/>
        <family val="2"/>
      </rPr>
      <t>1)</t>
    </r>
    <r>
      <rPr>
        <sz val="10"/>
        <rFont val="Arial"/>
        <family val="2"/>
      </rPr>
      <t xml:space="preserve"> Ob die hier eingegebenen Förderbeiträge für die Berechnung der Finanzierungskosten und</t>
    </r>
  </si>
  <si>
    <t>der Gestehungspreise berücksichtigt werden oder nicht, kann mit einem Selektor auf dem Blatt "Projektdaten" eingestellt werden.</t>
  </si>
  <si>
    <t>Die Förderbeiträge werden neu hier eingegeben. Ob diese bei der Berechnung der Finanzierungskosten berücksichtigt werden oder nicht, kann auf dem Blatt Projekdaten gewählt werden.</t>
  </si>
  <si>
    <t>Finanzierungs- und Instandhaltungskosten</t>
  </si>
  <si>
    <t>Finanzie-rungskosten</t>
  </si>
  <si>
    <r>
      <t>Instandhaltungskosten</t>
    </r>
    <r>
      <rPr>
        <sz val="8"/>
        <rFont val="Arial"/>
        <family val="2"/>
      </rPr>
      <t xml:space="preserve">
(inkl. Überwachung)</t>
    </r>
  </si>
  <si>
    <t>Finanzierungskosten mit Förderbeiträgen</t>
  </si>
  <si>
    <t>ohne externe Kosten</t>
  </si>
  <si>
    <t>externe Kosten</t>
  </si>
  <si>
    <t>Finanzierungskosten</t>
  </si>
  <si>
    <t>Finanzierungs- und Instandhaltungskosten detailliert</t>
  </si>
  <si>
    <t>Mittlere jährl. Kosten</t>
  </si>
  <si>
    <t xml:space="preserve"> Finanzierungskosten [CHF]</t>
  </si>
  <si>
    <t>Finanzie-rungs-kosten</t>
  </si>
  <si>
    <t>Externe Kosten</t>
  </si>
  <si>
    <t>Approximative Kosten für Über-wachung und Instandhaltung</t>
  </si>
  <si>
    <t>Mehr Zeilen für die Erfassung der Anlagen und Eingabe der Überwachungs- und Instandhaltungskosten jeweils auf der selben Zeile.</t>
  </si>
  <si>
    <r>
      <t>Instandhaltungs-kosten</t>
    </r>
    <r>
      <rPr>
        <sz val="8"/>
        <rFont val="Arial"/>
        <family val="2"/>
      </rPr>
      <t xml:space="preserve"> (inkl. Überw.)</t>
    </r>
  </si>
  <si>
    <r>
      <t>Instandhaltungskosten</t>
    </r>
    <r>
      <rPr>
        <sz val="8"/>
        <rFont val="Arial"/>
        <family val="2"/>
      </rPr>
      <t xml:space="preserve"> (inkl. Überwachung)</t>
    </r>
  </si>
  <si>
    <t>- Externe Kosten berücksichtigen oder nicht</t>
  </si>
  <si>
    <t>Berücksichtigung der externen Kosten (KEPZ)</t>
  </si>
  <si>
    <t xml:space="preserve">Externe Kosten: </t>
  </si>
  <si>
    <t>Externe Kosten berücksichtigen</t>
  </si>
  <si>
    <t>Externe Kosten nicht berücksichtigen</t>
  </si>
  <si>
    <t>Kalkulationszinssatz (real)</t>
  </si>
  <si>
    <t>Kalkulatorische Energiepreiszuschläge (KEPZ)</t>
  </si>
  <si>
    <t>Total externe Kosten (KEPZ)</t>
  </si>
  <si>
    <t>Berücksichtigung externe Kosten</t>
  </si>
  <si>
    <t xml:space="preserve"> Externe Kosten [CHF]</t>
  </si>
  <si>
    <t>Nutzungsdauer</t>
  </si>
  <si>
    <t>Energiepreise, Kostensteige-rungsraten und Kalkulations-zinssatz können bei Bedarf überschrieben werden</t>
  </si>
  <si>
    <t>Kalkulationszinssatz, real:</t>
  </si>
  <si>
    <t>Energiepreissteigerung (linear)</t>
  </si>
  <si>
    <t>www.erz.ch/zuerichwaerme</t>
  </si>
  <si>
    <r>
      <t>Wirtschaftlichkeit</t>
    </r>
    <r>
      <rPr>
        <sz val="9"/>
        <rFont val="Arial"/>
        <family val="2"/>
      </rPr>
      <t xml:space="preserve"> (alle Preise inkl. MWSt. und CO</t>
    </r>
    <r>
      <rPr>
        <vertAlign val="subscript"/>
        <sz val="9"/>
        <rFont val="Arial"/>
        <family val="2"/>
      </rPr>
      <t>2</t>
    </r>
    <r>
      <rPr>
        <sz val="9"/>
        <rFont val="Arial"/>
        <family val="2"/>
      </rPr>
      <t>-Abgabe)</t>
    </r>
  </si>
  <si>
    <t>Heizöl extraleicht</t>
  </si>
  <si>
    <t>www.stadt-zuerich.ch/statistik → Themen → Wirtschaft → Konsumentenpreise → Durchschnittspreise</t>
  </si>
  <si>
    <t>www.kbob.ch → Publikationen</t>
  </si>
  <si>
    <r>
      <t>P</t>
    </r>
    <r>
      <rPr>
        <vertAlign val="subscript"/>
        <sz val="9"/>
        <rFont val="Arial"/>
        <family val="2"/>
      </rPr>
      <t>Öl</t>
    </r>
    <r>
      <rPr>
        <sz val="9"/>
        <rFont val="Arial"/>
        <family val="2"/>
      </rPr>
      <t xml:space="preserve"> = Heizölpreis (s. unten) exkl. MWSt und CO</t>
    </r>
    <r>
      <rPr>
        <vertAlign val="subscript"/>
        <sz val="9"/>
        <rFont val="Arial"/>
        <family val="2"/>
      </rPr>
      <t>2</t>
    </r>
    <r>
      <rPr>
        <sz val="9"/>
        <rFont val="Arial"/>
        <family val="2"/>
      </rPr>
      <t>-Abgabe:</t>
    </r>
  </si>
  <si>
    <t>gemäss Statistik Zürich (Liefermenge 6001 - 9000l):</t>
  </si>
  <si>
    <t>Anderer
Brennstoff</t>
  </si>
  <si>
    <t>Preise</t>
  </si>
  <si>
    <t>bis 20t/a:</t>
  </si>
  <si>
    <t>ab 21t/a bis 200t/a:</t>
  </si>
  <si>
    <t>ab 200t/a:</t>
  </si>
  <si>
    <t>/t</t>
  </si>
  <si>
    <t>ewz-Produkte,</t>
  </si>
  <si>
    <t>Tarif ZH-NNB1; Effizienzbonus (10%) berücksichtigt</t>
  </si>
  <si>
    <t>Quellen</t>
  </si>
  <si>
    <t>www.minergie.ch/minergie</t>
  </si>
  <si>
    <t>Reglement MINERGIE-P, Stand Januar 2013</t>
  </si>
  <si>
    <t>www.minergie.ch/minergie-p</t>
  </si>
  <si>
    <t>Reglement MINERGIE,</t>
  </si>
  <si>
    <t>Stand Januar 2014</t>
  </si>
  <si>
    <t>Grunddaten Wirtschaftlichkeit und Ökologie</t>
  </si>
  <si>
    <t>Grunddaten Wirtschaftlichkeit und Ökologie - Quellenangaben</t>
  </si>
  <si>
    <t>Diverse Vorgaben</t>
  </si>
  <si>
    <r>
      <t>Umweltdaten</t>
    </r>
    <r>
      <rPr>
        <b/>
        <sz val="8"/>
        <rFont val="Arial Narrow"/>
        <family val="2"/>
      </rPr>
      <t xml:space="preserve"> (Primärenergiefaktoren, Treibhausgasemissionen, Umweltbelastungspunkte)</t>
    </r>
  </si>
  <si>
    <t>Energie 360° AG: Durchschnittspreis Stadt Zürich, inkl. Transport (exkl. MWSt)</t>
  </si>
  <si>
    <t>MB2032_001  Baugrubenaushub inkl. Abtransport 30km</t>
  </si>
  <si>
    <r>
      <t>MB2032_035  Betonwand bis K32, roh, 20 cm, B 90 kg/m</t>
    </r>
    <r>
      <rPr>
        <vertAlign val="superscript"/>
        <sz val="9"/>
        <rFont val="Arial"/>
        <family val="2"/>
      </rPr>
      <t>3</t>
    </r>
  </si>
  <si>
    <r>
      <t>MB2032_005  Betondecke bis 6m Spannweite, 25cm, Fe 85kg/m</t>
    </r>
    <r>
      <rPr>
        <vertAlign val="superscript"/>
        <sz val="9"/>
        <rFont val="Arial"/>
        <family val="2"/>
      </rPr>
      <t>3</t>
    </r>
  </si>
  <si>
    <t>Primärenergie (PEI)</t>
  </si>
  <si>
    <t>MB2032_217  Solarstromanlage</t>
  </si>
  <si>
    <r>
      <t>MB2032_200  Wärmeerzeuger, spez. Leistungsbedarf 10 W/m</t>
    </r>
    <r>
      <rPr>
        <vertAlign val="superscript"/>
        <sz val="9"/>
        <rFont val="Arial"/>
        <family val="2"/>
      </rPr>
      <t>2</t>
    </r>
  </si>
  <si>
    <r>
      <t>MB2032_208  Erdsonden, spez. Leistungsbedarf 10 W/m</t>
    </r>
    <r>
      <rPr>
        <vertAlign val="superscript"/>
        <sz val="9"/>
        <rFont val="Arial"/>
        <family val="2"/>
      </rPr>
      <t>2</t>
    </r>
  </si>
  <si>
    <t>MB2032_212  Sonnenkollektoren, Warmwasser MFH</t>
  </si>
  <si>
    <t xml:space="preserve">www.bauteilkatalog.ch → Kataloge → Bauteile SIA MB 2032 </t>
  </si>
  <si>
    <t>Neu in Version 2.1</t>
  </si>
  <si>
    <t>Die Energiepreise wurden aktualisiert</t>
  </si>
  <si>
    <t>Die Umweltdaten wurden überprüft und teilweise angepasst</t>
  </si>
  <si>
    <t>Die Darstellung wurde teilweise überarbeitet</t>
  </si>
  <si>
    <t>Kälteverbund XY</t>
  </si>
  <si>
    <t>Verbundwärme
/-kälte</t>
  </si>
  <si>
    <t>Neuer Abwassertank (Abwasser-WP)</t>
  </si>
  <si>
    <t>Zusammensetzung:</t>
  </si>
  <si>
    <t>Zürich Wärme"</t>
  </si>
  <si>
    <t>Dokumentation "Bewährt, sauber und sicher -</t>
  </si>
  <si>
    <t>Ökobilanz:</t>
  </si>
  <si>
    <t>Fernwärmerechner</t>
  </si>
  <si>
    <t>http://treeze.ch/de/rechner/fernwaermerechner/</t>
  </si>
  <si>
    <t>ewz.basis</t>
  </si>
  <si>
    <t>(Veröffentlichung geplant)</t>
  </si>
  <si>
    <t>Verwaltungsmix</t>
  </si>
  <si>
    <t>ewz.basis (=ewz.naturpower)</t>
  </si>
  <si>
    <t>Für ewz.basis sind die Daten von ewz.naturpower eingesetzt</t>
  </si>
  <si>
    <t>Nicht naturemade-star zertifizierte Anteile mit CH-Verbrauchermix gerechnet</t>
  </si>
  <si>
    <t>Zusätzliche Pfade für Direktnutzung von Wärme bzw. Kälte aus einem Wärme- bzw. Kälteverbund. Damit kann z.B. eine Contracting-Lösung mit einer konventionell betriebenen Anlage verglichen werden.</t>
  </si>
  <si>
    <t>Zusätzlicher Energieträger: Kälteverbund (siehe unten)</t>
  </si>
  <si>
    <t>Zusätzlicher Energieträger: Kälteverbund (siehe oben)</t>
  </si>
  <si>
    <t>- Direkte Nutzung der Wärme aus einem Wärmeverbund ergänzt
- Anschluss an einen Kälteverbund ergänzt
- Fehlende Berücksichtigung der Anergienutzung bei der MINERGIE-Berechnung korrigiert
- Fehler bei der MINERGIE-Berechnung der Fernwärme für die Varianten 2 bis 4 korrigiert
- Grunddaten überprüft und angepasst sowie Darstellung auf Blatt Grunddaten überarbeitet</t>
  </si>
  <si>
    <t>2.1</t>
  </si>
  <si>
    <r>
      <t>Umweltbelastungspunkte (UBP)</t>
    </r>
    <r>
      <rPr>
        <sz val="10"/>
        <rFont val="Arial"/>
        <family val="2"/>
      </rPr>
      <t>, aufgeteilt in Erstellung</t>
    </r>
    <r>
      <rPr>
        <sz val="10"/>
        <rFont val="Arial"/>
        <family val="2"/>
      </rPr>
      <t xml:space="preserve"> und Betrieb</t>
    </r>
  </si>
  <si>
    <t>Fernwärme XY</t>
  </si>
  <si>
    <t>Stadt Zürich 
Verwaltungsmix</t>
  </si>
  <si>
    <t>www.ewz.ch → services → dokumentencenter → Energie beziehen</t>
  </si>
  <si>
    <t>Energie- und Netznutzungstarife von ewz, gültig ab 1.1.2016</t>
  </si>
  <si>
    <t>Energie 360° AG, Preisstand: Januar 2016</t>
  </si>
  <si>
    <t>www.energie360.ch → Energie  → Erdgas/Biogas → Wärme</t>
  </si>
  <si>
    <t>Versickerungsgalerie/-brunnen</t>
  </si>
  <si>
    <t>Schnitzel-/Pelletsilo</t>
  </si>
  <si>
    <t>Schnitzel-/pelletsförderung</t>
  </si>
  <si>
    <t>Hydr. Einbindung Wärmeerzeugung</t>
  </si>
  <si>
    <t>Hydr. Einbindung Kälteerzeugung</t>
  </si>
  <si>
    <t>Gasmotor-Wärmepumpe</t>
  </si>
  <si>
    <t>Absorbtionskälteanlage</t>
  </si>
  <si>
    <t>Kältegruppen</t>
  </si>
  <si>
    <t>KVS-WRG Lüftung</t>
  </si>
  <si>
    <t>ewz - Stadt Zürich, Umweltdeklaration 2014 für Stromprodukte</t>
  </si>
  <si>
    <t>Durchschnitt der eingekauften Stromprodukte, bezogen auf das Jahr 2014:</t>
  </si>
  <si>
    <t>Lüftungsgeräte / Monobloc</t>
  </si>
  <si>
    <t>SIA, 2015</t>
  </si>
  <si>
    <t>Durchschnittspreis der letzten 3 Jahre (Dez. 12 - Nov. 15)</t>
  </si>
  <si>
    <t>Neu in Version 2.2</t>
  </si>
  <si>
    <t>Die Vorgaben für die Nutzungsdauern und die Instandhaltungs-kosten wurden überprüft und teilweise angepasst</t>
  </si>
  <si>
    <t>Die Positionen in der Gruppe "4. Wärme- / Kälteerzeugung" wurden der Struktur der Blätter EV_Var… angepasst</t>
  </si>
  <si>
    <t>Tarif Zürich Wärme, Ausgabe 1. Jan. 2016</t>
  </si>
  <si>
    <t>Leistungspreis-Faktor (Indexstand Nov. 2015 = 107.1 Punkte):</t>
  </si>
  <si>
    <r>
      <t>CO</t>
    </r>
    <r>
      <rPr>
        <vertAlign val="subscript"/>
        <sz val="9"/>
        <rFont val="Arial"/>
        <family val="2"/>
      </rPr>
      <t>2</t>
    </r>
    <r>
      <rPr>
        <sz val="9"/>
        <rFont val="Arial"/>
        <family val="2"/>
      </rPr>
      <t>-Anteil Emissionshandelssystem</t>
    </r>
    <r>
      <rPr>
        <sz val="9"/>
        <rFont val="Arial Narrow"/>
        <family val="2"/>
      </rPr>
      <t xml:space="preserve"> (nur Handling-Charge)</t>
    </r>
    <r>
      <rPr>
        <sz val="9"/>
        <rFont val="Arial"/>
        <family val="2"/>
      </rPr>
      <t>:</t>
    </r>
  </si>
  <si>
    <t>2.2</t>
  </si>
  <si>
    <t>Biogas - Durchschnitt CH</t>
  </si>
  <si>
    <t>Biogas - Energie360° (naturemade star)</t>
  </si>
  <si>
    <t>Durchschnitt CH</t>
  </si>
  <si>
    <t>Energie 360° (naturemade star)</t>
  </si>
  <si>
    <t>Energie 360° AG, Umweltdeklaration 2016, Biogas</t>
  </si>
  <si>
    <t>Energiepreis-zuschlag (KEPZ)</t>
  </si>
  <si>
    <t>Arbeitspreis inkl. Zuschlag</t>
  </si>
  <si>
    <t>Preisanteil Netznutzung</t>
  </si>
  <si>
    <t xml:space="preserve">Biogas: </t>
  </si>
  <si>
    <t>Auswahlliste Biogas</t>
  </si>
  <si>
    <t>Bei Biogas wird neu zwischen "Durchschnitt CH" und "Energie
360° (naturemade star)" unterschieden</t>
  </si>
  <si>
    <t>Es wurde eine zusätzliche Produktewahl für Biogas hinzugefügt</t>
  </si>
  <si>
    <t>Heizöl, Erdgas, Biogas</t>
  </si>
  <si>
    <t>Holz</t>
  </si>
  <si>
    <r>
      <t xml:space="preserve">- Blatt Projektdaten: Auswahl Biogas-Produkt eingefügt
- Blatt Grunddaten: Grunddaten überprüft und angepasst, Biogas - Energie 360° eingefügt
- Blätter EV_Var..: Fehlerhinweis (rote Schrift) bei fehlender Angabe Leistungsbedarf Elektrizität
- Blätter DK_Var..: Vorgaben Nutzungsdauern und Instandhaltungskosten überprüft und angepasst
- Blätter DK_Var3&amp;4: Falsche Verknüpfung der Variantenbezeichnung korrigiert
</t>
    </r>
    <r>
      <rPr>
        <i/>
        <sz val="10"/>
        <rFont val="Arial"/>
        <family val="2"/>
      </rPr>
      <t>- Fehler bei Grenzwertberechnung Minergie Neubau und Minergie Umbau korrigiert
- Falsche Minergie-Gewichtung für Biogas korrigiert (1.0 statt 0.7)</t>
    </r>
  </si>
</sst>
</file>

<file path=xl/styles.xml><?xml version="1.0" encoding="utf-8"?>
<styleSheet xmlns="http://schemas.openxmlformats.org/spreadsheetml/2006/main" xmlns:mc="http://schemas.openxmlformats.org/markup-compatibility/2006" xmlns:x14ac="http://schemas.microsoft.com/office/spreadsheetml/2009/9/ac" mc:Ignorable="x14ac">
  <numFmts count="46">
    <numFmt numFmtId="43" formatCode="_ * #,##0.00_ ;_ * \-#,##0.00_ ;_ * &quot;-&quot;??_ ;_ @_ "/>
    <numFmt numFmtId="164" formatCode="&quot;Fr.&quot;\ #,##0.00;[Red]&quot;Fr.&quot;\ \-#,##0.00"/>
    <numFmt numFmtId="165" formatCode="[$-807]d/\ mmmm\ yyyy;@"/>
    <numFmt numFmtId="166" formatCode="0.0\ &quot;%&quot;"/>
    <numFmt numFmtId="167" formatCode="\ \ 0.0\ &quot;%&quot;"/>
    <numFmt numFmtId="168" formatCode="#,##0\ &quot;Fr.  &quot;"/>
    <numFmt numFmtId="169" formatCode="#,##0\ &quot;Fr. &quot;"/>
    <numFmt numFmtId="170" formatCode="#,##0\ &quot;Jahre&quot;"/>
    <numFmt numFmtId="171" formatCode="0\ &quot;Jahre&quot;"/>
    <numFmt numFmtId="172" formatCode="0.0\ &quot;Fr./100 kg&quot;"/>
    <numFmt numFmtId="173" formatCode="0.0\ &quot;%)&quot;"/>
    <numFmt numFmtId="174" formatCode="#,##0\ &quot;kg/a&quot;"/>
    <numFmt numFmtId="175" formatCode="0.0000"/>
    <numFmt numFmtId="176" formatCode="0.00\ &quot;%&quot;"/>
    <numFmt numFmtId="177" formatCode="0.000"/>
    <numFmt numFmtId="178" formatCode="#,##0\ &quot;Fr.&quot;"/>
    <numFmt numFmtId="179" formatCode="#,##0\ &quot;kWh/a &quot;"/>
    <numFmt numFmtId="180" formatCode="0.0"/>
    <numFmt numFmtId="181" formatCode="\ \ \ \ &quot; &quot;"/>
    <numFmt numFmtId="182" formatCode="#,##0\ &quot;Fr.       &quot;"/>
    <numFmt numFmtId="183" formatCode="0.0\ &quot;m&quot;"/>
    <numFmt numFmtId="184" formatCode="dd/mm/yy;@"/>
    <numFmt numFmtId="185" formatCode="#,##0.0"/>
    <numFmt numFmtId="186" formatCode="0.0%"/>
    <numFmt numFmtId="187" formatCode="&quot;Anteil: &quot;0%"/>
    <numFmt numFmtId="188" formatCode="_ * #,##0_ ;_ * \-#,##0_ ;_ * &quot;-&quot;??_ ;_ @_ "/>
    <numFmt numFmtId="189" formatCode="_ * #,##0.0000_ ;_ * \-#,##0.0000_ ;_ * &quot;-&quot;??_ ;_ @_ "/>
    <numFmt numFmtId="190" formatCode="#,##0\.\-"/>
    <numFmt numFmtId="191" formatCode="0.0\ \m\3"/>
    <numFmt numFmtId="192" formatCode="d/m/yy"/>
    <numFmt numFmtId="193" formatCode="0.\-"/>
    <numFmt numFmtId="194" formatCode="&quot;ᴓ &quot;#,##0"/>
    <numFmt numFmtId="195" formatCode="_ * #,##0.0_ ;_ * \-#,##0.0_ ;_ * &quot;-&quot;??_ ;_ @_ "/>
    <numFmt numFmtId="196" formatCode="#,##0\ &quot;kW&quot;"/>
    <numFmt numFmtId="197" formatCode="\+\ #,##0\ &quot;kWh/a&quot;;\-\ #,##0\ &quot;kWh/a&quot;"/>
    <numFmt numFmtId="198" formatCode="0%;\-0%;0%"/>
    <numFmt numFmtId="199" formatCode="#,##0\.\-\ \ "/>
    <numFmt numFmtId="200" formatCode="0.00%\ \ "/>
    <numFmt numFmtId="201" formatCode="0.0\ \ "/>
    <numFmt numFmtId="202" formatCode="0.0%\ "/>
    <numFmt numFmtId="203" formatCode="0\ \ "/>
    <numFmt numFmtId="204" formatCode="&quot;ᴓ &quot;#,##0\ \ "/>
    <numFmt numFmtId="205" formatCode="0.00%\ \ \ "/>
    <numFmt numFmtId="206" formatCode="&quot;CHF&quot;\ #,##0.00&quot; /100l&quot;"/>
    <numFmt numFmtId="207" formatCode="&quot;CHF&quot;\ #,##0.00&quot; /MWh&quot;"/>
    <numFmt numFmtId="208" formatCode="#,##0.00_ ;\-#,##0.00\ "/>
  </numFmts>
  <fonts count="125" x14ac:knownFonts="1">
    <font>
      <sz val="10"/>
      <name val="Arial"/>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Arial"/>
      <family val="2"/>
    </font>
    <font>
      <sz val="11"/>
      <name val="Arial"/>
      <family val="2"/>
    </font>
    <font>
      <b/>
      <sz val="12"/>
      <name val="Arial"/>
      <family val="2"/>
    </font>
    <font>
      <sz val="10"/>
      <name val="Arial"/>
      <family val="2"/>
    </font>
    <font>
      <b/>
      <sz val="11"/>
      <name val="Arial"/>
      <family val="2"/>
    </font>
    <font>
      <sz val="9"/>
      <name val="Arial"/>
      <family val="2"/>
    </font>
    <font>
      <sz val="10"/>
      <name val="Arial Narrow"/>
      <family val="2"/>
    </font>
    <font>
      <vertAlign val="subscript"/>
      <sz val="10"/>
      <name val="Arial Narrow"/>
      <family val="2"/>
    </font>
    <font>
      <b/>
      <sz val="10"/>
      <name val="Arial"/>
      <family val="2"/>
    </font>
    <font>
      <sz val="9"/>
      <color indexed="81"/>
      <name val="Tahoma"/>
      <family val="2"/>
    </font>
    <font>
      <b/>
      <sz val="10"/>
      <name val="Arial Narrow"/>
      <family val="2"/>
    </font>
    <font>
      <sz val="10"/>
      <name val="MS Sans Serif"/>
      <family val="2"/>
    </font>
    <font>
      <sz val="10"/>
      <name val="Helv"/>
    </font>
    <font>
      <sz val="8"/>
      <name val="Arial"/>
      <family val="2"/>
    </font>
    <font>
      <sz val="10"/>
      <color theme="0" tint="-0.34998626667073579"/>
      <name val="Arial"/>
      <family val="2"/>
    </font>
    <font>
      <b/>
      <sz val="11"/>
      <color rgb="FF00B050"/>
      <name val="Wingdings"/>
      <charset val="2"/>
    </font>
    <font>
      <b/>
      <sz val="11"/>
      <color rgb="FFFFFF00"/>
      <name val="Wingdings"/>
      <charset val="2"/>
    </font>
    <font>
      <b/>
      <sz val="11"/>
      <color rgb="FFFF0000"/>
      <name val="Wingdings"/>
      <charset val="2"/>
    </font>
    <font>
      <sz val="11"/>
      <color theme="1"/>
      <name val="Calibri"/>
      <family val="2"/>
      <scheme val="minor"/>
    </font>
    <font>
      <sz val="10"/>
      <color theme="1"/>
      <name val="Arial"/>
      <family val="2"/>
    </font>
    <font>
      <sz val="10"/>
      <color indexed="8"/>
      <name val="Arial"/>
      <family val="2"/>
    </font>
    <font>
      <sz val="10"/>
      <color indexed="9"/>
      <name val="Arial"/>
      <family val="2"/>
    </font>
    <font>
      <sz val="8"/>
      <color indexed="8"/>
      <name val="Arial"/>
      <family val="2"/>
    </font>
    <font>
      <sz val="8"/>
      <color indexed="9"/>
      <name val="Arial"/>
      <family val="2"/>
    </font>
    <font>
      <sz val="8"/>
      <color indexed="10"/>
      <name val="Arial"/>
      <family val="2"/>
    </font>
    <font>
      <b/>
      <sz val="8"/>
      <name val="Arial"/>
      <family val="2"/>
    </font>
    <font>
      <b/>
      <sz val="14"/>
      <name val="Arial"/>
      <family val="2"/>
    </font>
    <font>
      <sz val="14"/>
      <name val="Arial"/>
      <family val="2"/>
    </font>
    <font>
      <b/>
      <sz val="8"/>
      <color indexed="9"/>
      <name val="Arial"/>
      <family val="2"/>
    </font>
    <font>
      <b/>
      <sz val="12"/>
      <color indexed="8"/>
      <name val="Arial"/>
      <family val="2"/>
    </font>
    <font>
      <b/>
      <sz val="12"/>
      <color indexed="9"/>
      <name val="Arial"/>
      <family val="2"/>
    </font>
    <font>
      <b/>
      <sz val="15"/>
      <color indexed="8"/>
      <name val="Arial"/>
      <family val="2"/>
    </font>
    <font>
      <sz val="12"/>
      <color indexed="18"/>
      <name val="Arial"/>
      <family val="2"/>
    </font>
    <font>
      <sz val="11"/>
      <color indexed="9"/>
      <name val="Arial"/>
      <family val="2"/>
    </font>
    <font>
      <b/>
      <vertAlign val="subscript"/>
      <sz val="10"/>
      <name val="Arial"/>
      <family val="2"/>
    </font>
    <font>
      <vertAlign val="subscript"/>
      <sz val="10"/>
      <name val="Arial"/>
      <family val="2"/>
    </font>
    <font>
      <b/>
      <sz val="12"/>
      <name val="Arial Narrow"/>
      <family val="2"/>
    </font>
    <font>
      <vertAlign val="superscript"/>
      <sz val="10"/>
      <name val="Arial"/>
      <family val="2"/>
    </font>
    <font>
      <vertAlign val="superscript"/>
      <sz val="10"/>
      <name val="Arial Narrow"/>
      <family val="2"/>
    </font>
    <font>
      <sz val="10"/>
      <color rgb="FFFF0000"/>
      <name val="Arial"/>
      <family val="2"/>
    </font>
    <font>
      <sz val="10"/>
      <color theme="0" tint="-0.249977111117893"/>
      <name val="Arial"/>
      <family val="2"/>
    </font>
    <font>
      <sz val="9"/>
      <color theme="0" tint="-0.34998626667073579"/>
      <name val="Arial"/>
      <family val="2"/>
    </font>
    <font>
      <sz val="10"/>
      <color theme="1" tint="0.34998626667073579"/>
      <name val="Arial Narrow"/>
      <family val="2"/>
    </font>
    <font>
      <b/>
      <sz val="11"/>
      <color rgb="FF00B050"/>
      <name val="Arial"/>
      <family val="2"/>
    </font>
    <font>
      <b/>
      <sz val="10"/>
      <color rgb="FF00B050"/>
      <name val="Arial"/>
      <family val="2"/>
    </font>
    <font>
      <i/>
      <sz val="10"/>
      <name val="Arial"/>
      <family val="2"/>
    </font>
    <font>
      <b/>
      <i/>
      <sz val="10"/>
      <color rgb="FF00B050"/>
      <name val="Arial"/>
      <family val="2"/>
    </font>
    <font>
      <b/>
      <i/>
      <sz val="10"/>
      <name val="Arial Narrow"/>
      <family val="2"/>
    </font>
    <font>
      <sz val="10"/>
      <color rgb="FF002060"/>
      <name val="Calibri"/>
      <family val="2"/>
      <scheme val="minor"/>
    </font>
    <font>
      <sz val="8.5"/>
      <name val="Arial"/>
      <family val="2"/>
    </font>
    <font>
      <sz val="12"/>
      <name val="Arial"/>
      <family val="2"/>
    </font>
    <font>
      <b/>
      <sz val="20"/>
      <name val="Arial"/>
      <family val="2"/>
    </font>
    <font>
      <vertAlign val="superscript"/>
      <sz val="8"/>
      <name val="Arial"/>
      <family val="2"/>
    </font>
    <font>
      <b/>
      <sz val="10"/>
      <color theme="0"/>
      <name val="Arial"/>
      <family val="2"/>
    </font>
    <font>
      <u/>
      <sz val="10"/>
      <color theme="10"/>
      <name val="Arial"/>
      <family val="2"/>
    </font>
    <font>
      <b/>
      <sz val="10"/>
      <color theme="0" tint="-0.499984740745262"/>
      <name val="Arial"/>
      <family val="2"/>
    </font>
    <font>
      <sz val="10"/>
      <color theme="0" tint="-0.499984740745262"/>
      <name val="Arial"/>
      <family val="2"/>
    </font>
    <font>
      <vertAlign val="superscript"/>
      <sz val="10"/>
      <color theme="0" tint="-0.499984740745262"/>
      <name val="Arial"/>
      <family val="2"/>
    </font>
    <font>
      <sz val="10"/>
      <color theme="0" tint="-0.499984740745262"/>
      <name val="Arial Narrow"/>
      <family val="2"/>
    </font>
    <font>
      <sz val="10"/>
      <color theme="0" tint="-0.499984740745262"/>
      <name val="Calibri"/>
      <family val="2"/>
      <scheme val="minor"/>
    </font>
    <font>
      <sz val="10"/>
      <color theme="1" tint="0.34998626667073579"/>
      <name val="Arial"/>
      <family val="2"/>
    </font>
    <font>
      <sz val="8"/>
      <name val="Arial Narrow"/>
      <family val="2"/>
    </font>
    <font>
      <i/>
      <sz val="10"/>
      <name val="Arial Narrow"/>
      <family val="2"/>
    </font>
    <font>
      <sz val="10"/>
      <color theme="0"/>
      <name val="Arial Narrow"/>
      <family val="2"/>
    </font>
    <font>
      <sz val="10"/>
      <name val="Arial"/>
      <family val="2"/>
    </font>
    <font>
      <b/>
      <sz val="9"/>
      <name val="Arial"/>
      <family val="2"/>
    </font>
    <font>
      <sz val="9"/>
      <color indexed="8"/>
      <name val="Arial"/>
      <family val="2"/>
    </font>
    <font>
      <sz val="9"/>
      <color indexed="9"/>
      <name val="Arial"/>
      <family val="2"/>
    </font>
    <font>
      <sz val="10"/>
      <color theme="0" tint="-4.9989318521683403E-2"/>
      <name val="Arial"/>
      <family val="2"/>
    </font>
    <font>
      <vertAlign val="subscript"/>
      <sz val="9"/>
      <name val="Arial"/>
      <family val="2"/>
    </font>
    <font>
      <sz val="9"/>
      <name val="Arial Narrow"/>
      <family val="2"/>
    </font>
    <font>
      <vertAlign val="subscript"/>
      <sz val="9"/>
      <name val="Arial Narrow"/>
      <family val="2"/>
    </font>
    <font>
      <vertAlign val="superscript"/>
      <sz val="9"/>
      <name val="Arial"/>
      <family val="2"/>
    </font>
    <font>
      <sz val="10"/>
      <color theme="1"/>
      <name val="Calibri"/>
      <family val="2"/>
      <scheme val="minor"/>
    </font>
    <font>
      <sz val="8"/>
      <color theme="1"/>
      <name val="Arial"/>
      <family val="2"/>
    </font>
    <font>
      <sz val="14"/>
      <color theme="1"/>
      <name val="Arial"/>
      <family val="2"/>
    </font>
    <font>
      <b/>
      <sz val="8"/>
      <color theme="1"/>
      <name val="Arial"/>
      <family val="2"/>
    </font>
    <font>
      <sz val="8"/>
      <color theme="0" tint="-0.34998626667073579"/>
      <name val="Arial"/>
      <family val="2"/>
    </font>
    <font>
      <b/>
      <sz val="9"/>
      <color theme="0" tint="-0.249977111117893"/>
      <name val="Arial Narrow"/>
      <family val="2"/>
    </font>
    <font>
      <sz val="9"/>
      <color theme="0" tint="-0.249977111117893"/>
      <name val="Arial"/>
      <family val="2"/>
    </font>
    <font>
      <b/>
      <sz val="9"/>
      <color theme="0" tint="-0.249977111117893"/>
      <name val="Arial"/>
      <family val="2"/>
    </font>
    <font>
      <sz val="10"/>
      <name val="Arial"/>
      <family val="2"/>
    </font>
    <font>
      <sz val="9"/>
      <name val="Symbol"/>
      <family val="1"/>
      <charset val="2"/>
    </font>
    <font>
      <b/>
      <sz val="9"/>
      <color indexed="81"/>
      <name val="Tahoma"/>
      <family val="2"/>
    </font>
    <font>
      <b/>
      <sz val="11"/>
      <color indexed="8"/>
      <name val="Arial"/>
      <family val="2"/>
    </font>
    <font>
      <sz val="9"/>
      <color theme="9" tint="-0.499984740745262"/>
      <name val="Arial"/>
      <family val="2"/>
    </font>
    <font>
      <sz val="9"/>
      <name val="Calibri"/>
      <family val="2"/>
    </font>
    <font>
      <sz val="6"/>
      <name val="Arial"/>
      <family val="2"/>
    </font>
    <font>
      <u/>
      <sz val="8"/>
      <name val="Arial"/>
      <family val="2"/>
    </font>
    <font>
      <sz val="8"/>
      <color theme="0" tint="-0.249977111117893"/>
      <name val="Arial"/>
      <family val="2"/>
    </font>
    <font>
      <b/>
      <sz val="8"/>
      <color theme="0" tint="-0.249977111117893"/>
      <name val="Arial"/>
      <family val="2"/>
    </font>
    <font>
      <sz val="8"/>
      <color theme="1"/>
      <name val="Calibri"/>
      <family val="2"/>
      <scheme val="minor"/>
    </font>
    <font>
      <sz val="8"/>
      <color theme="9" tint="-0.499984740745262"/>
      <name val="Arial"/>
      <family val="2"/>
    </font>
    <font>
      <b/>
      <sz val="8"/>
      <color theme="9" tint="-0.499984740745262"/>
      <name val="Arial"/>
      <family val="2"/>
    </font>
    <font>
      <sz val="7"/>
      <name val="Arial"/>
      <family val="2"/>
    </font>
    <font>
      <sz val="10"/>
      <color theme="9" tint="-0.499984740745262"/>
      <name val="Arial Narrow"/>
      <family val="2"/>
    </font>
    <font>
      <sz val="8"/>
      <color rgb="FFFF0000"/>
      <name val="Arial"/>
      <family val="2"/>
    </font>
    <font>
      <sz val="8"/>
      <name val="Tahoma"/>
      <family val="2"/>
    </font>
    <font>
      <sz val="8"/>
      <color theme="1"/>
      <name val="Tahoma"/>
      <family val="2"/>
    </font>
    <font>
      <sz val="9"/>
      <name val="Tahoma"/>
      <family val="2"/>
    </font>
    <font>
      <b/>
      <sz val="10"/>
      <name val="Tahoma"/>
      <family val="2"/>
    </font>
    <font>
      <i/>
      <sz val="9"/>
      <name val="Tahoma"/>
      <family val="2"/>
    </font>
    <font>
      <sz val="9"/>
      <color theme="0" tint="-0.14999847407452621"/>
      <name val="Arial"/>
      <family val="2"/>
    </font>
    <font>
      <sz val="9"/>
      <color indexed="81"/>
      <name val="Symbol"/>
      <family val="1"/>
      <charset val="2"/>
    </font>
    <font>
      <u/>
      <sz val="9"/>
      <color indexed="81"/>
      <name val="Tahoma"/>
      <family val="2"/>
    </font>
    <font>
      <b/>
      <sz val="8"/>
      <color rgb="FFFF0000"/>
      <name val="Arial"/>
      <family val="2"/>
    </font>
    <font>
      <sz val="10"/>
      <color theme="1" tint="0.499984740745262"/>
      <name val="Arial"/>
      <family val="2"/>
    </font>
    <font>
      <sz val="10"/>
      <color theme="0" tint="-0.249977111117893"/>
      <name val="Webdings"/>
      <family val="1"/>
      <charset val="2"/>
    </font>
    <font>
      <sz val="9"/>
      <color indexed="81"/>
      <name val="Webdings"/>
      <family val="1"/>
      <charset val="2"/>
    </font>
    <font>
      <sz val="10"/>
      <color theme="10"/>
      <name val="Arial"/>
      <family val="2"/>
    </font>
    <font>
      <sz val="8"/>
      <color rgb="FF000000"/>
      <name val="Tahoma"/>
      <family val="2"/>
    </font>
    <font>
      <sz val="9"/>
      <color rgb="FFFF0000"/>
      <name val="Arial"/>
      <family val="2"/>
    </font>
    <font>
      <b/>
      <sz val="8"/>
      <name val="Arial Narrow"/>
      <family val="2"/>
    </font>
    <font>
      <u/>
      <sz val="9"/>
      <color theme="10"/>
      <name val="Arial"/>
      <family val="2"/>
    </font>
    <font>
      <sz val="9"/>
      <color indexed="81"/>
      <name val="Segoe UI"/>
      <family val="2"/>
    </font>
    <font>
      <b/>
      <sz val="9"/>
      <color rgb="FFFF0000"/>
      <name val="Arial"/>
      <family val="2"/>
    </font>
  </fonts>
  <fills count="27">
    <fill>
      <patternFill patternType="none"/>
    </fill>
    <fill>
      <patternFill patternType="gray125"/>
    </fill>
    <fill>
      <patternFill patternType="solid">
        <fgColor indexed="9"/>
      </patternFill>
    </fill>
    <fill>
      <patternFill patternType="solid">
        <fgColor theme="4"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theme="6" tint="0.59999389629810485"/>
        <bgColor indexed="64"/>
      </patternFill>
    </fill>
    <fill>
      <patternFill patternType="solid">
        <fgColor indexed="9"/>
        <bgColor indexed="64"/>
      </patternFill>
    </fill>
    <fill>
      <patternFill patternType="solid">
        <fgColor rgb="FFFFFF99"/>
        <bgColor indexed="22"/>
      </patternFill>
    </fill>
    <fill>
      <patternFill patternType="solid">
        <fgColor indexed="65"/>
        <bgColor indexed="22"/>
      </patternFill>
    </fill>
    <fill>
      <patternFill patternType="solid">
        <fgColor theme="0" tint="-4.9989318521683403E-2"/>
        <bgColor indexed="64"/>
      </patternFill>
    </fill>
    <fill>
      <patternFill patternType="solid">
        <fgColor rgb="FFFFFF00"/>
        <bgColor indexed="64"/>
      </patternFill>
    </fill>
    <fill>
      <patternFill patternType="solid">
        <fgColor theme="2"/>
        <bgColor indexed="22"/>
      </patternFill>
    </fill>
    <fill>
      <patternFill patternType="solid">
        <fgColor rgb="FF66FFFF"/>
        <bgColor indexed="64"/>
      </patternFill>
    </fill>
    <fill>
      <patternFill patternType="solid">
        <fgColor rgb="FF0070C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E4DFEC"/>
        <bgColor indexed="64"/>
      </patternFill>
    </fill>
    <fill>
      <patternFill patternType="solid">
        <fgColor theme="0"/>
        <bgColor indexed="64"/>
      </patternFill>
    </fill>
    <fill>
      <patternFill patternType="solid">
        <fgColor theme="0" tint="-0.14999847407452621"/>
        <bgColor indexed="64"/>
      </patternFill>
    </fill>
    <fill>
      <patternFill patternType="solid">
        <fgColor theme="9"/>
        <bgColor indexed="64"/>
      </patternFill>
    </fill>
  </fills>
  <borders count="341">
    <border>
      <left/>
      <right/>
      <top/>
      <bottom/>
      <diagonal/>
    </border>
    <border>
      <left style="medium">
        <color indexed="64"/>
      </left>
      <right/>
      <top style="medium">
        <color indexed="64"/>
      </top>
      <bottom/>
      <diagonal/>
    </border>
    <border>
      <left/>
      <right/>
      <top style="medium">
        <color indexed="64"/>
      </top>
      <bottom style="hair">
        <color indexed="64"/>
      </bottom>
      <diagonal/>
    </border>
    <border>
      <left style="medium">
        <color indexed="64"/>
      </left>
      <right/>
      <top/>
      <bottom/>
      <diagonal/>
    </border>
    <border>
      <left/>
      <right/>
      <top/>
      <bottom style="hair">
        <color indexed="64"/>
      </bottom>
      <diagonal/>
    </border>
    <border>
      <left style="thin">
        <color indexed="64"/>
      </left>
      <right/>
      <top/>
      <bottom style="hair">
        <color indexed="64"/>
      </bottom>
      <diagonal/>
    </border>
    <border>
      <left style="thin">
        <color indexed="64"/>
      </left>
      <right/>
      <top/>
      <bottom/>
      <diagonal/>
    </border>
    <border>
      <left style="medium">
        <color indexed="64"/>
      </left>
      <right/>
      <top/>
      <bottom style="thin">
        <color indexed="64"/>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style="medium">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bottom/>
      <diagonal/>
    </border>
    <border>
      <left style="medium">
        <color indexed="64"/>
      </left>
      <right/>
      <top/>
      <bottom style="hair">
        <color indexed="64"/>
      </bottom>
      <diagonal/>
    </border>
    <border>
      <left/>
      <right style="medium">
        <color indexed="64"/>
      </right>
      <top/>
      <bottom style="hair">
        <color indexed="64"/>
      </bottom>
      <diagonal/>
    </border>
    <border>
      <left style="thin">
        <color indexed="64"/>
      </left>
      <right style="medium">
        <color indexed="64"/>
      </right>
      <top/>
      <bottom/>
      <diagonal/>
    </border>
    <border>
      <left style="thin">
        <color indexed="64"/>
      </left>
      <right style="medium">
        <color indexed="64"/>
      </right>
      <top/>
      <bottom style="hair">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hair">
        <color indexed="64"/>
      </bottom>
      <diagonal/>
    </border>
    <border>
      <left style="medium">
        <color indexed="64"/>
      </left>
      <right/>
      <top style="thin">
        <color indexed="64"/>
      </top>
      <bottom style="hair">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style="hair">
        <color indexed="64"/>
      </right>
      <top/>
      <bottom style="thin">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right style="medium">
        <color indexed="64"/>
      </right>
      <top style="medium">
        <color indexed="64"/>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style="hair">
        <color indexed="64"/>
      </right>
      <top/>
      <bottom style="hair">
        <color indexed="64"/>
      </bottom>
      <diagonal/>
    </border>
    <border>
      <left/>
      <right style="hair">
        <color indexed="64"/>
      </right>
      <top/>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right/>
      <top style="hair">
        <color indexed="64"/>
      </top>
      <bottom/>
      <diagonal/>
    </border>
    <border>
      <left/>
      <right style="medium">
        <color indexed="64"/>
      </right>
      <top style="medium">
        <color indexed="64"/>
      </top>
      <bottom style="hair">
        <color indexed="64"/>
      </bottom>
      <diagonal/>
    </border>
    <border>
      <left/>
      <right style="thin">
        <color indexed="64"/>
      </right>
      <top/>
      <bottom/>
      <diagonal/>
    </border>
    <border>
      <left/>
      <right style="medium">
        <color indexed="64"/>
      </right>
      <top style="thin">
        <color indexed="64"/>
      </top>
      <bottom style="thin">
        <color indexed="64"/>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indexed="64"/>
      </left>
      <right style="medium">
        <color indexed="64"/>
      </right>
      <top style="thin">
        <color indexed="64"/>
      </top>
      <bottom style="medium">
        <color indexed="64"/>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style="hair">
        <color theme="0" tint="-0.34998626667073579"/>
      </top>
      <bottom style="hair">
        <color theme="0" tint="-0.34998626667073579"/>
      </bottom>
      <diagonal/>
    </border>
    <border>
      <left/>
      <right/>
      <top style="hair">
        <color theme="0" tint="-0.499984740745262"/>
      </top>
      <bottom style="hair">
        <color theme="0" tint="-0.499984740745262"/>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right/>
      <top/>
      <bottom style="thin">
        <color rgb="FF0070C0"/>
      </bottom>
      <diagonal/>
    </border>
    <border>
      <left/>
      <right/>
      <top style="thin">
        <color rgb="FF0070C0"/>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right/>
      <top style="hair">
        <color theme="0" tint="-0.499984740745262"/>
      </top>
      <bottom/>
      <diagonal/>
    </border>
    <border>
      <left/>
      <right style="thin">
        <color theme="0" tint="-0.499984740745262"/>
      </right>
      <top style="hair">
        <color theme="0" tint="-0.499984740745262"/>
      </top>
      <bottom/>
      <diagonal/>
    </border>
    <border>
      <left/>
      <right style="thin">
        <color theme="0" tint="-0.499984740745262"/>
      </right>
      <top/>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thin">
        <color indexed="64"/>
      </left>
      <right style="thin">
        <color indexed="64"/>
      </right>
      <top style="thin">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hair">
        <color indexed="64"/>
      </bottom>
      <diagonal/>
    </border>
    <border>
      <left/>
      <right style="thin">
        <color indexed="64"/>
      </right>
      <top/>
      <bottom style="hair">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right style="thin">
        <color indexed="64"/>
      </right>
      <top style="hair">
        <color indexed="64"/>
      </top>
      <bottom style="medium">
        <color indexed="64"/>
      </bottom>
      <diagonal/>
    </border>
    <border>
      <left style="hair">
        <color theme="0" tint="-0.499984740745262"/>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right style="thin">
        <color indexed="64"/>
      </right>
      <top style="thin">
        <color indexed="64"/>
      </top>
      <bottom style="thin">
        <color indexed="64"/>
      </bottom>
      <diagonal/>
    </border>
    <border>
      <left/>
      <right style="thin">
        <color indexed="64"/>
      </right>
      <top style="hair">
        <color indexed="64"/>
      </top>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hair">
        <color indexed="64"/>
      </right>
      <top style="thin">
        <color auto="1"/>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thin">
        <color auto="1"/>
      </top>
      <bottom/>
      <diagonal/>
    </border>
    <border>
      <left style="hair">
        <color auto="1"/>
      </left>
      <right/>
      <top/>
      <bottom/>
      <diagonal/>
    </border>
    <border>
      <left style="hair">
        <color auto="1"/>
      </left>
      <right/>
      <top/>
      <bottom style="hair">
        <color indexed="64"/>
      </bottom>
      <diagonal/>
    </border>
    <border>
      <left style="hair">
        <color auto="1"/>
      </left>
      <right/>
      <top style="hair">
        <color indexed="64"/>
      </top>
      <bottom/>
      <diagonal/>
    </border>
    <border>
      <left style="hair">
        <color auto="1"/>
      </left>
      <right/>
      <top/>
      <bottom style="thin">
        <color indexed="64"/>
      </bottom>
      <diagonal/>
    </border>
    <border>
      <left style="hair">
        <color auto="1"/>
      </left>
      <right/>
      <top style="thin">
        <color indexed="64"/>
      </top>
      <bottom style="hair">
        <color indexed="64"/>
      </bottom>
      <diagonal/>
    </border>
    <border>
      <left style="hair">
        <color auto="1"/>
      </left>
      <right/>
      <top style="hair">
        <color indexed="64"/>
      </top>
      <bottom style="hair">
        <color indexed="64"/>
      </bottom>
      <diagonal/>
    </border>
    <border>
      <left style="hair">
        <color auto="1"/>
      </left>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bottom style="thin">
        <color indexed="64"/>
      </bottom>
      <diagonal/>
    </border>
    <border>
      <left/>
      <right/>
      <top style="thin">
        <color theme="0" tint="-0.499984740745262"/>
      </top>
      <bottom/>
      <diagonal/>
    </border>
    <border>
      <left/>
      <right style="thin">
        <color theme="0" tint="-0.499984740745262"/>
      </right>
      <top style="thin">
        <color theme="0" tint="-0.499984740745262"/>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style="hair">
        <color theme="0" tint="-0.14993743705557422"/>
      </left>
      <right style="hair">
        <color theme="0" tint="-0.14993743705557422"/>
      </right>
      <top style="hair">
        <color theme="0" tint="-0.14993743705557422"/>
      </top>
      <bottom style="hair">
        <color theme="0" tint="-0.14993743705557422"/>
      </bottom>
      <diagonal/>
    </border>
    <border>
      <left style="medium">
        <color indexed="64"/>
      </left>
      <right/>
      <top style="medium">
        <color indexed="64"/>
      </top>
      <bottom style="medium">
        <color indexed="64"/>
      </bottom>
      <diagonal/>
    </border>
    <border>
      <left style="thin">
        <color indexed="64"/>
      </left>
      <right style="medium">
        <color indexed="64"/>
      </right>
      <top style="hair">
        <color indexed="64"/>
      </top>
      <bottom/>
      <diagonal/>
    </border>
    <border>
      <left style="hair">
        <color auto="1"/>
      </left>
      <right/>
      <top style="dotted">
        <color theme="0" tint="-0.24994659260841701"/>
      </top>
      <bottom style="dotted">
        <color theme="0" tint="-0.24994659260841701"/>
      </bottom>
      <diagonal/>
    </border>
    <border>
      <left/>
      <right/>
      <top style="dotted">
        <color theme="0" tint="-0.24994659260841701"/>
      </top>
      <bottom style="dotted">
        <color theme="0" tint="-0.24994659260841701"/>
      </bottom>
      <diagonal/>
    </border>
    <border>
      <left/>
      <right style="dotted">
        <color theme="0" tint="-0.24994659260841701"/>
      </right>
      <top style="dotted">
        <color theme="0" tint="-0.24994659260841701"/>
      </top>
      <bottom style="dotted">
        <color theme="0" tint="-0.24994659260841701"/>
      </bottom>
      <diagonal/>
    </border>
    <border>
      <left style="hair">
        <color theme="0" tint="-0.14993743705557422"/>
      </left>
      <right style="hair">
        <color theme="0" tint="-0.14993743705557422"/>
      </right>
      <top style="thin">
        <color theme="0" tint="-0.14993743705557422"/>
      </top>
      <bottom/>
      <diagonal/>
    </border>
    <border>
      <left style="hair">
        <color theme="0" tint="-0.14993743705557422"/>
      </left>
      <right style="hair">
        <color theme="0" tint="-0.14993743705557422"/>
      </right>
      <top/>
      <bottom style="hair">
        <color theme="0" tint="-0.14993743705557422"/>
      </bottom>
      <diagonal/>
    </border>
    <border>
      <left style="hair">
        <color theme="0" tint="-0.14993743705557422"/>
      </left>
      <right style="hair">
        <color theme="0" tint="-0.14993743705557422"/>
      </right>
      <top/>
      <bottom/>
      <diagonal/>
    </border>
    <border>
      <left style="thin">
        <color theme="0" tint="-0.14990691854609822"/>
      </left>
      <right/>
      <top style="thin">
        <color theme="0" tint="-0.14990691854609822"/>
      </top>
      <bottom/>
      <diagonal/>
    </border>
    <border>
      <left/>
      <right/>
      <top style="thin">
        <color theme="0" tint="-0.14990691854609822"/>
      </top>
      <bottom/>
      <diagonal/>
    </border>
    <border>
      <left/>
      <right style="thin">
        <color theme="0" tint="-0.14990691854609822"/>
      </right>
      <top style="thin">
        <color theme="0" tint="-0.14990691854609822"/>
      </top>
      <bottom/>
      <diagonal/>
    </border>
    <border>
      <left style="thin">
        <color theme="0" tint="-0.14990691854609822"/>
      </left>
      <right/>
      <top/>
      <bottom/>
      <diagonal/>
    </border>
    <border>
      <left/>
      <right style="thin">
        <color theme="0" tint="-0.14990691854609822"/>
      </right>
      <top/>
      <bottom/>
      <diagonal/>
    </border>
    <border>
      <left style="thin">
        <color auto="1"/>
      </left>
      <right style="hair">
        <color auto="1"/>
      </right>
      <top style="hair">
        <color auto="1"/>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right style="hair">
        <color theme="0" tint="-0.14993743705557422"/>
      </right>
      <top style="thin">
        <color theme="0" tint="-0.14993743705557422"/>
      </top>
      <bottom/>
      <diagonal/>
    </border>
    <border>
      <left/>
      <right style="hair">
        <color theme="0" tint="-0.14993743705557422"/>
      </right>
      <top/>
      <bottom/>
      <diagonal/>
    </border>
    <border>
      <left/>
      <right style="hair">
        <color theme="0" tint="-0.14993743705557422"/>
      </right>
      <top/>
      <bottom style="hair">
        <color theme="0" tint="-0.14993743705557422"/>
      </bottom>
      <diagonal/>
    </border>
    <border>
      <left/>
      <right style="hair">
        <color theme="0" tint="-0.14993743705557422"/>
      </right>
      <top style="hair">
        <color theme="0" tint="-0.14993743705557422"/>
      </top>
      <bottom style="hair">
        <color theme="0" tint="-0.14993743705557422"/>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right style="thin">
        <color theme="0" tint="-0.24994659260841701"/>
      </right>
      <top/>
      <bottom style="hair">
        <color theme="0" tint="-0.24994659260841701"/>
      </bottom>
      <diagonal/>
    </border>
    <border>
      <left style="thin">
        <color theme="0" tint="-0.24994659260841701"/>
      </left>
      <right/>
      <top style="hair">
        <color theme="0" tint="-0.24994659260841701"/>
      </top>
      <bottom/>
      <diagonal/>
    </border>
    <border>
      <left/>
      <right/>
      <top style="hair">
        <color theme="0" tint="-0.24994659260841701"/>
      </top>
      <bottom/>
      <diagonal/>
    </border>
    <border>
      <left/>
      <right style="thin">
        <color theme="0" tint="-0.24994659260841701"/>
      </right>
      <top style="hair">
        <color theme="0" tint="-0.24994659260841701"/>
      </top>
      <bottom/>
      <diagonal/>
    </border>
    <border>
      <left style="thin">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right style="thin">
        <color indexed="64"/>
      </right>
      <top style="thin">
        <color auto="1"/>
      </top>
      <bottom style="medium">
        <color auto="1"/>
      </bottom>
      <diagonal/>
    </border>
    <border>
      <left style="thin">
        <color indexed="64"/>
      </left>
      <right/>
      <top style="thin">
        <color auto="1"/>
      </top>
      <bottom style="medium">
        <color auto="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indexed="64"/>
      </left>
      <right style="thin">
        <color indexed="64"/>
      </right>
      <top style="hair">
        <color indexed="64"/>
      </top>
      <bottom style="medium">
        <color indexed="64"/>
      </bottom>
      <diagonal/>
    </border>
    <border>
      <left/>
      <right style="thin">
        <color indexed="64"/>
      </right>
      <top style="medium">
        <color indexed="64"/>
      </top>
      <bottom style="thin">
        <color indexed="64"/>
      </bottom>
      <diagonal/>
    </border>
    <border>
      <left/>
      <right style="thin">
        <color indexed="64"/>
      </right>
      <top/>
      <bottom style="medium">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bottom style="hair">
        <color theme="0" tint="-0.24994659260841701"/>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hair">
        <color indexed="64"/>
      </top>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top/>
      <bottom style="medium">
        <color indexed="64"/>
      </bottom>
      <diagonal/>
    </border>
    <border>
      <left/>
      <right style="hair">
        <color indexed="64"/>
      </right>
      <top style="thin">
        <color indexed="64"/>
      </top>
      <bottom style="thin">
        <color indexed="64"/>
      </bottom>
      <diagonal/>
    </border>
    <border>
      <left style="hair">
        <color auto="1"/>
      </left>
      <right/>
      <top style="thin">
        <color indexed="64"/>
      </top>
      <bottom style="thin">
        <color indexed="64"/>
      </bottom>
      <diagonal/>
    </border>
    <border>
      <left style="thin">
        <color theme="0" tint="-0.14990691854609822"/>
      </left>
      <right/>
      <top style="thin">
        <color theme="0" tint="-0.14990691854609822"/>
      </top>
      <bottom style="thin">
        <color theme="0" tint="-0.14990691854609822"/>
      </bottom>
      <diagonal/>
    </border>
    <border>
      <left/>
      <right/>
      <top style="thin">
        <color theme="0" tint="-0.14990691854609822"/>
      </top>
      <bottom style="thin">
        <color theme="0" tint="-0.14990691854609822"/>
      </bottom>
      <diagonal/>
    </border>
    <border>
      <left/>
      <right style="thin">
        <color theme="0" tint="-0.14990691854609822"/>
      </right>
      <top style="thin">
        <color theme="0" tint="-0.14990691854609822"/>
      </top>
      <bottom style="thin">
        <color theme="0" tint="-0.14990691854609822"/>
      </bottom>
      <diagonal/>
    </border>
    <border>
      <left style="hair">
        <color theme="0" tint="-0.14993743705557422"/>
      </left>
      <right style="hair">
        <color theme="0" tint="-0.14993743705557422"/>
      </right>
      <top style="thin">
        <color theme="0" tint="-0.1498764000366222"/>
      </top>
      <bottom style="thin">
        <color theme="0" tint="-0.14993743705557422"/>
      </bottom>
      <diagonal/>
    </border>
    <border>
      <left style="hair">
        <color theme="0" tint="-0.14993743705557422"/>
      </left>
      <right style="thin">
        <color theme="0" tint="-0.1498764000366222"/>
      </right>
      <top style="thin">
        <color theme="0" tint="-0.1498764000366222"/>
      </top>
      <bottom style="thin">
        <color theme="0" tint="-0.14993743705557422"/>
      </bottom>
      <diagonal/>
    </border>
    <border>
      <left style="hair">
        <color theme="0" tint="-0.14993743705557422"/>
      </left>
      <right style="thin">
        <color theme="0" tint="-0.1498764000366222"/>
      </right>
      <top style="thin">
        <color theme="0" tint="-0.14993743705557422"/>
      </top>
      <bottom/>
      <diagonal/>
    </border>
    <border>
      <left style="hair">
        <color theme="0" tint="-0.14993743705557422"/>
      </left>
      <right style="thin">
        <color theme="0" tint="-0.1498764000366222"/>
      </right>
      <top/>
      <bottom/>
      <diagonal/>
    </border>
    <border>
      <left style="hair">
        <color theme="0" tint="-0.14993743705557422"/>
      </left>
      <right style="thin">
        <color theme="0" tint="-0.1498764000366222"/>
      </right>
      <top/>
      <bottom style="hair">
        <color theme="0" tint="-0.14993743705557422"/>
      </bottom>
      <diagonal/>
    </border>
    <border>
      <left style="hair">
        <color theme="0" tint="-0.14993743705557422"/>
      </left>
      <right style="thin">
        <color theme="0" tint="-0.1498764000366222"/>
      </right>
      <top style="hair">
        <color theme="0" tint="-0.14993743705557422"/>
      </top>
      <bottom style="hair">
        <color theme="0" tint="-0.14993743705557422"/>
      </bottom>
      <diagonal/>
    </border>
    <border>
      <left style="thin">
        <color theme="0" tint="-0.1498764000366222"/>
      </left>
      <right/>
      <top style="thin">
        <color theme="0" tint="-0.1498764000366222"/>
      </top>
      <bottom/>
      <diagonal/>
    </border>
    <border>
      <left/>
      <right/>
      <top style="thin">
        <color theme="0" tint="-0.1498764000366222"/>
      </top>
      <bottom/>
      <diagonal/>
    </border>
    <border>
      <left/>
      <right style="thin">
        <color theme="0" tint="-0.1498764000366222"/>
      </right>
      <top style="thin">
        <color theme="0" tint="-0.1498764000366222"/>
      </top>
      <bottom/>
      <diagonal/>
    </border>
    <border>
      <left style="thin">
        <color theme="0" tint="-0.1498764000366222"/>
      </left>
      <right/>
      <top/>
      <bottom style="thin">
        <color theme="0" tint="-0.1498764000366222"/>
      </bottom>
      <diagonal/>
    </border>
    <border>
      <left/>
      <right/>
      <top/>
      <bottom style="thin">
        <color theme="0" tint="-0.1498764000366222"/>
      </bottom>
      <diagonal/>
    </border>
    <border>
      <left/>
      <right style="thin">
        <color theme="0" tint="-0.1498764000366222"/>
      </right>
      <top/>
      <bottom style="thin">
        <color theme="0" tint="-0.1498764000366222"/>
      </bottom>
      <diagonal/>
    </border>
    <border>
      <left style="thin">
        <color theme="0" tint="-0.1498764000366222"/>
      </left>
      <right/>
      <top/>
      <bottom/>
      <diagonal/>
    </border>
    <border>
      <left/>
      <right style="thin">
        <color theme="0" tint="-0.1498764000366222"/>
      </right>
      <top/>
      <bottom/>
      <diagonal/>
    </border>
    <border>
      <left/>
      <right style="hair">
        <color theme="0" tint="-0.14993743705557422"/>
      </right>
      <top style="thin">
        <color theme="0" tint="-0.1498764000366222"/>
      </top>
      <bottom style="thin">
        <color theme="0" tint="-0.14993743705557422"/>
      </bottom>
      <diagonal/>
    </border>
    <border>
      <left style="thin">
        <color theme="0" tint="-0.14993743705557422"/>
      </left>
      <right style="thin">
        <color theme="0" tint="-0.1498764000366222"/>
      </right>
      <top style="thin">
        <color theme="0" tint="-0.1498764000366222"/>
      </top>
      <bottom/>
      <diagonal/>
    </border>
    <border>
      <left style="thin">
        <color theme="0" tint="-0.14993743705557422"/>
      </left>
      <right style="thin">
        <color theme="0" tint="-0.1498764000366222"/>
      </right>
      <top/>
      <bottom/>
      <diagonal/>
    </border>
    <border>
      <left style="thin">
        <color theme="0" tint="-0.14993743705557422"/>
      </left>
      <right style="thin">
        <color theme="0" tint="-0.1498764000366222"/>
      </right>
      <top/>
      <bottom style="thin">
        <color theme="0" tint="-0.14993743705557422"/>
      </bottom>
      <diagonal/>
    </border>
    <border>
      <left style="thin">
        <color theme="0" tint="-0.14993743705557422"/>
      </left>
      <right style="thin">
        <color theme="0" tint="-0.1498764000366222"/>
      </right>
      <top style="thin">
        <color theme="0" tint="-0.14993743705557422"/>
      </top>
      <bottom/>
      <diagonal/>
    </border>
    <border>
      <left style="thin">
        <color theme="0" tint="-0.14993743705557422"/>
      </left>
      <right style="thin">
        <color theme="0" tint="-0.1498764000366222"/>
      </right>
      <top/>
      <bottom style="hair">
        <color theme="0" tint="-0.14990691854609822"/>
      </bottom>
      <diagonal/>
    </border>
    <border>
      <left style="thin">
        <color theme="0" tint="-0.14993743705557422"/>
      </left>
      <right style="thin">
        <color theme="0" tint="-0.1498764000366222"/>
      </right>
      <top style="hair">
        <color theme="0" tint="-0.14990691854609822"/>
      </top>
      <bottom style="hair">
        <color theme="0" tint="-0.14990691854609822"/>
      </bottom>
      <diagonal/>
    </border>
    <border>
      <left style="thin">
        <color theme="0" tint="-0.14993743705557422"/>
      </left>
      <right style="thin">
        <color theme="0" tint="-0.1498764000366222"/>
      </right>
      <top style="hair">
        <color theme="0" tint="-0.14990691854609822"/>
      </top>
      <bottom/>
      <diagonal/>
    </border>
    <border>
      <left style="thin">
        <color theme="0" tint="-0.1498764000366222"/>
      </left>
      <right/>
      <top style="thin">
        <color theme="0" tint="-0.14990691854609822"/>
      </top>
      <bottom style="hair">
        <color theme="0" tint="-0.1498458815271462"/>
      </bottom>
      <diagonal/>
    </border>
    <border>
      <left style="thin">
        <color theme="0" tint="-0.14993743705557422"/>
      </left>
      <right style="thin">
        <color theme="0" tint="-0.1498764000366222"/>
      </right>
      <top style="thin">
        <color theme="0" tint="-0.14990691854609822"/>
      </top>
      <bottom style="hair">
        <color theme="0" tint="-0.1498458815271462"/>
      </bottom>
      <diagonal/>
    </border>
    <border>
      <left style="thin">
        <color theme="0" tint="-0.1498764000366222"/>
      </left>
      <right/>
      <top style="hair">
        <color theme="0" tint="-0.1498458815271462"/>
      </top>
      <bottom style="thin">
        <color theme="0" tint="-0.14990691854609822"/>
      </bottom>
      <diagonal/>
    </border>
    <border>
      <left style="thin">
        <color theme="0" tint="-0.14993743705557422"/>
      </left>
      <right style="thin">
        <color theme="0" tint="-0.1498764000366222"/>
      </right>
      <top style="hair">
        <color theme="0" tint="-0.1498458815271462"/>
      </top>
      <bottom style="thin">
        <color theme="0" tint="-0.14990691854609822"/>
      </bottom>
      <diagonal/>
    </border>
    <border>
      <left style="thin">
        <color theme="0" tint="-0.1498764000366222"/>
      </left>
      <right/>
      <top style="hair">
        <color theme="0" tint="-0.1498458815271462"/>
      </top>
      <bottom style="hair">
        <color theme="0" tint="-0.1498458815271462"/>
      </bottom>
      <diagonal/>
    </border>
    <border>
      <left style="thin">
        <color theme="0" tint="-0.14993743705557422"/>
      </left>
      <right style="thin">
        <color theme="0" tint="-0.1498764000366222"/>
      </right>
      <top style="hair">
        <color theme="0" tint="-0.1498458815271462"/>
      </top>
      <bottom style="hair">
        <color theme="0" tint="-0.1498458815271462"/>
      </bottom>
      <diagonal/>
    </border>
    <border>
      <left style="thin">
        <color theme="0" tint="-0.14993743705557422"/>
      </left>
      <right style="thin">
        <color theme="0" tint="-0.1498764000366222"/>
      </right>
      <top style="hair">
        <color theme="0" tint="-0.14990691854609822"/>
      </top>
      <bottom style="thin">
        <color theme="0" tint="-0.1498458815271462"/>
      </bottom>
      <diagonal/>
    </border>
    <border>
      <left/>
      <right style="hair">
        <color theme="0" tint="-0.14993743705557422"/>
      </right>
      <top style="hair">
        <color theme="0" tint="-0.14993743705557422"/>
      </top>
      <bottom style="thin">
        <color theme="0" tint="-0.1498458815271462"/>
      </bottom>
      <diagonal/>
    </border>
    <border>
      <left style="hair">
        <color theme="0" tint="-0.14993743705557422"/>
      </left>
      <right style="hair">
        <color theme="0" tint="-0.14993743705557422"/>
      </right>
      <top style="hair">
        <color theme="0" tint="-0.14993743705557422"/>
      </top>
      <bottom style="thin">
        <color theme="0" tint="-0.1498458815271462"/>
      </bottom>
      <diagonal/>
    </border>
    <border>
      <left style="hair">
        <color theme="0" tint="-0.14993743705557422"/>
      </left>
      <right style="thin">
        <color theme="0" tint="-0.1498764000366222"/>
      </right>
      <top style="hair">
        <color theme="0" tint="-0.14993743705557422"/>
      </top>
      <bottom style="thin">
        <color theme="0" tint="-0.1498458815271462"/>
      </bottom>
      <diagonal/>
    </border>
    <border>
      <left style="thin">
        <color theme="0" tint="-0.1498764000366222"/>
      </left>
      <right style="thin">
        <color theme="0" tint="-0.14993743705557422"/>
      </right>
      <top style="hair">
        <color theme="0" tint="-0.1498458815271462"/>
      </top>
      <bottom/>
      <diagonal/>
    </border>
    <border>
      <left style="thin">
        <color theme="0" tint="-0.1498764000366222"/>
      </left>
      <right style="thin">
        <color theme="0" tint="-0.14993743705557422"/>
      </right>
      <top/>
      <bottom style="hair">
        <color theme="0" tint="-0.1498458815271462"/>
      </bottom>
      <diagonal/>
    </border>
    <border>
      <left style="thin">
        <color theme="0" tint="-0.1498764000366222"/>
      </left>
      <right style="thin">
        <color theme="0" tint="-0.14993743705557422"/>
      </right>
      <top/>
      <bottom/>
      <diagonal/>
    </border>
    <border>
      <left style="thin">
        <color theme="0" tint="-0.1498764000366222"/>
      </left>
      <right style="thin">
        <color theme="0" tint="-0.14993743705557422"/>
      </right>
      <top/>
      <bottom style="thin">
        <color theme="0" tint="-0.1498458815271462"/>
      </bottom>
      <diagonal/>
    </border>
    <border>
      <left style="thin">
        <color theme="0" tint="-0.1498764000366222"/>
      </left>
      <right style="thin">
        <color theme="0" tint="-0.14993743705557422"/>
      </right>
      <top style="thin">
        <color theme="0" tint="-0.14993743705557422"/>
      </top>
      <bottom/>
      <diagonal/>
    </border>
    <border>
      <left style="thin">
        <color theme="0" tint="-0.14990691854609822"/>
      </left>
      <right/>
      <top/>
      <bottom style="thin">
        <color theme="0" tint="-0.1498764000366222"/>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bottom style="thin">
        <color indexed="64"/>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24994659260841701"/>
      </bottom>
      <diagonal/>
    </border>
    <border>
      <left style="thin">
        <color indexed="64"/>
      </left>
      <right/>
      <top style="medium">
        <color indexed="64"/>
      </top>
      <bottom style="thin">
        <color indexed="64"/>
      </bottom>
      <diagonal/>
    </border>
    <border>
      <left style="thin">
        <color rgb="FFE4DFEC"/>
      </left>
      <right/>
      <top style="thin">
        <color rgb="FFE4DFEC"/>
      </top>
      <bottom style="thin">
        <color rgb="FFE4DFEC"/>
      </bottom>
      <diagonal/>
    </border>
    <border>
      <left/>
      <right/>
      <top style="thin">
        <color rgb="FFE4DFEC"/>
      </top>
      <bottom style="thin">
        <color rgb="FFE4DFEC"/>
      </bottom>
      <diagonal/>
    </border>
    <border>
      <left/>
      <right style="thin">
        <color rgb="FFE4DFEC"/>
      </right>
      <top style="thin">
        <color rgb="FFE4DFEC"/>
      </top>
      <bottom style="thin">
        <color rgb="FFE4DFEC"/>
      </bottom>
      <diagonal/>
    </border>
    <border>
      <left style="thin">
        <color rgb="FFE4DFEC"/>
      </left>
      <right/>
      <top style="thin">
        <color rgb="FFE4DFEC"/>
      </top>
      <bottom/>
      <diagonal/>
    </border>
    <border>
      <left/>
      <right/>
      <top style="thin">
        <color rgb="FFE4DFEC"/>
      </top>
      <bottom/>
      <diagonal/>
    </border>
    <border>
      <left/>
      <right style="thin">
        <color rgb="FFE4DFEC"/>
      </right>
      <top style="thin">
        <color rgb="FFE4DFEC"/>
      </top>
      <bottom/>
      <diagonal/>
    </border>
    <border>
      <left style="thin">
        <color rgb="FFE4DFEC"/>
      </left>
      <right/>
      <top/>
      <bottom style="thin">
        <color rgb="FFE4DFEC"/>
      </bottom>
      <diagonal/>
    </border>
    <border>
      <left/>
      <right/>
      <top/>
      <bottom style="thin">
        <color rgb="FFE4DFEC"/>
      </bottom>
      <diagonal/>
    </border>
    <border>
      <left/>
      <right style="thin">
        <color rgb="FFE4DFEC"/>
      </right>
      <top/>
      <bottom style="thin">
        <color rgb="FFE4DFEC"/>
      </bottom>
      <diagonal/>
    </border>
    <border>
      <left style="thin">
        <color theme="0" tint="-0.1498764000366222"/>
      </left>
      <right style="thin">
        <color theme="0" tint="-0.14993743705557422"/>
      </right>
      <top style="thin">
        <color theme="0" tint="-0.1498764000366222"/>
      </top>
      <bottom/>
      <diagonal/>
    </border>
    <border>
      <left style="thin">
        <color theme="0" tint="-0.1498764000366222"/>
      </left>
      <right style="thin">
        <color theme="0" tint="-0.14993743705557422"/>
      </right>
      <top/>
      <bottom style="thin">
        <color theme="0" tint="-0.14993743705557422"/>
      </bottom>
      <diagonal/>
    </border>
    <border>
      <left style="thin">
        <color theme="0" tint="-0.1498764000366222"/>
      </left>
      <right/>
      <top style="thin">
        <color theme="0" tint="-0.1498458815271462"/>
      </top>
      <bottom style="hair">
        <color theme="0" tint="-0.1498458815271462"/>
      </bottom>
      <diagonal/>
    </border>
    <border>
      <left style="thin">
        <color theme="0" tint="-0.14993743705557422"/>
      </left>
      <right style="thin">
        <color theme="0" tint="-0.1498764000366222"/>
      </right>
      <top style="thin">
        <color theme="0" tint="-0.1498458815271462"/>
      </top>
      <bottom style="hair">
        <color theme="0" tint="-0.1498458815271462"/>
      </bottom>
      <diagonal/>
    </border>
    <border>
      <left style="thin">
        <color theme="0" tint="-0.14993743705557422"/>
      </left>
      <right style="thin">
        <color theme="0" tint="-0.1498764000366222"/>
      </right>
      <top style="thin">
        <color theme="0" tint="-0.14990691854609822"/>
      </top>
      <bottom style="thin">
        <color theme="0" tint="-0.1498458815271462"/>
      </bottom>
      <diagonal/>
    </border>
    <border>
      <left/>
      <right style="thin">
        <color theme="0" tint="-0.14990691854609822"/>
      </right>
      <top/>
      <bottom style="thin">
        <color theme="0" tint="-0.1498764000366222"/>
      </bottom>
      <diagonal/>
    </border>
    <border>
      <left style="thin">
        <color indexed="64"/>
      </left>
      <right style="hair">
        <color indexed="64"/>
      </right>
      <top/>
      <bottom/>
      <diagonal/>
    </border>
    <border>
      <left style="hair">
        <color indexed="64"/>
      </left>
      <right style="thin">
        <color indexed="64"/>
      </right>
      <top/>
      <bottom/>
      <diagonal/>
    </border>
    <border>
      <left/>
      <right style="medium">
        <color indexed="64"/>
      </right>
      <top style="medium">
        <color indexed="64"/>
      </top>
      <bottom style="thin">
        <color indexed="64"/>
      </bottom>
      <diagonal/>
    </border>
    <border>
      <left style="medium">
        <color theme="6" tint="0.59996337778862885"/>
      </left>
      <right/>
      <top style="medium">
        <color theme="6" tint="0.59996337778862885"/>
      </top>
      <bottom style="medium">
        <color theme="6" tint="0.59996337778862885"/>
      </bottom>
      <diagonal/>
    </border>
    <border>
      <left/>
      <right/>
      <top style="medium">
        <color theme="6" tint="0.59996337778862885"/>
      </top>
      <bottom style="medium">
        <color theme="6" tint="0.59996337778862885"/>
      </bottom>
      <diagonal/>
    </border>
    <border>
      <left/>
      <right style="medium">
        <color theme="6" tint="0.59996337778862885"/>
      </right>
      <top style="medium">
        <color theme="6" tint="0.59996337778862885"/>
      </top>
      <bottom style="medium">
        <color theme="6" tint="0.59996337778862885"/>
      </bottom>
      <diagonal/>
    </border>
    <border>
      <left style="hair">
        <color indexed="64"/>
      </left>
      <right style="medium">
        <color indexed="64"/>
      </right>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style="medium">
        <color indexed="64"/>
      </right>
      <top/>
      <bottom style="hair">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auto="1"/>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hair">
        <color theme="0" tint="-0.499984740745262"/>
      </top>
      <bottom/>
      <diagonal/>
    </border>
    <border>
      <left style="thin">
        <color theme="0" tint="-0.499984740745262"/>
      </left>
      <right/>
      <top/>
      <bottom style="hair">
        <color theme="0" tint="-0.499984740745262"/>
      </bottom>
      <diagonal/>
    </border>
    <border>
      <left style="thin">
        <color theme="0" tint="-0.499984740745262"/>
      </left>
      <right/>
      <top/>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style="thin">
        <color theme="0" tint="-0.1498764000366222"/>
      </left>
      <right/>
      <top style="thin">
        <color theme="0" tint="-0.1498764000366222"/>
      </top>
      <bottom style="thin">
        <color theme="0" tint="-0.14990691854609822"/>
      </bottom>
      <diagonal/>
    </border>
    <border>
      <left/>
      <right/>
      <top style="thin">
        <color theme="0" tint="-0.1498764000366222"/>
      </top>
      <bottom style="thin">
        <color theme="0" tint="-0.14990691854609822"/>
      </bottom>
      <diagonal/>
    </border>
    <border>
      <left/>
      <right style="thin">
        <color theme="0" tint="-0.1498764000366222"/>
      </right>
      <top style="thin">
        <color theme="0" tint="-0.1498764000366222"/>
      </top>
      <bottom style="thin">
        <color theme="0" tint="-0.14990691854609822"/>
      </bottom>
      <diagonal/>
    </border>
    <border>
      <left style="thin">
        <color theme="0" tint="-0.1498764000366222"/>
      </left>
      <right/>
      <top style="thin">
        <color theme="0" tint="-0.14990691854609822"/>
      </top>
      <bottom/>
      <diagonal/>
    </border>
    <border>
      <left/>
      <right style="thin">
        <color theme="0" tint="-0.1498764000366222"/>
      </right>
      <top style="thin">
        <color theme="0" tint="-0.14990691854609822"/>
      </top>
      <bottom/>
      <diagonal/>
    </border>
    <border>
      <left style="dotted">
        <color theme="0" tint="-0.499984740745262"/>
      </left>
      <right/>
      <top style="thin">
        <color theme="0" tint="-0.499984740745262"/>
      </top>
      <bottom/>
      <diagonal/>
    </border>
    <border>
      <left/>
      <right style="dotted">
        <color theme="0" tint="-0.499984740745262"/>
      </right>
      <top style="thin">
        <color theme="0" tint="-0.499984740745262"/>
      </top>
      <bottom/>
      <diagonal/>
    </border>
    <border>
      <left style="dotted">
        <color theme="0" tint="-0.499984740745262"/>
      </left>
      <right/>
      <top style="hair">
        <color theme="0" tint="-0.499984740745262"/>
      </top>
      <bottom/>
      <diagonal/>
    </border>
    <border>
      <left/>
      <right style="dotted">
        <color theme="0" tint="-0.499984740745262"/>
      </right>
      <top style="hair">
        <color theme="0" tint="-0.499984740745262"/>
      </top>
      <bottom/>
      <diagonal/>
    </border>
    <border>
      <left style="dotted">
        <color theme="0" tint="-0.499984740745262"/>
      </left>
      <right/>
      <top/>
      <bottom style="hair">
        <color theme="0" tint="-0.499984740745262"/>
      </bottom>
      <diagonal/>
    </border>
    <border>
      <left/>
      <right style="dotted">
        <color theme="0" tint="-0.499984740745262"/>
      </right>
      <top/>
      <bottom style="hair">
        <color theme="0" tint="-0.499984740745262"/>
      </bottom>
      <diagonal/>
    </border>
    <border>
      <left style="dotted">
        <color theme="0" tint="-0.499984740745262"/>
      </left>
      <right/>
      <top/>
      <bottom/>
      <diagonal/>
    </border>
    <border>
      <left/>
      <right style="dotted">
        <color theme="0" tint="-0.499984740745262"/>
      </right>
      <top/>
      <bottom/>
      <diagonal/>
    </border>
    <border>
      <left style="dotted">
        <color theme="0" tint="-0.499984740745262"/>
      </left>
      <right/>
      <top style="hair">
        <color theme="0" tint="-0.499984740745262"/>
      </top>
      <bottom style="hair">
        <color theme="0" tint="-0.499984740745262"/>
      </bottom>
      <diagonal/>
    </border>
    <border>
      <left/>
      <right style="dotted">
        <color theme="0" tint="-0.499984740745262"/>
      </right>
      <top style="hair">
        <color theme="0" tint="-0.499984740745262"/>
      </top>
      <bottom style="hair">
        <color theme="0" tint="-0.499984740745262"/>
      </bottom>
      <diagonal/>
    </border>
    <border>
      <left style="dotted">
        <color theme="0" tint="-0.499984740745262"/>
      </left>
      <right/>
      <top/>
      <bottom style="thin">
        <color theme="0" tint="-0.499984740745262"/>
      </bottom>
      <diagonal/>
    </border>
    <border>
      <left/>
      <right style="dotted">
        <color theme="0" tint="-0.499984740745262"/>
      </right>
      <top/>
      <bottom style="thin">
        <color theme="0" tint="-0.49998474074526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right/>
      <top style="thin">
        <color rgb="FF0070C0"/>
      </top>
      <bottom style="thin">
        <color rgb="FF0070C0"/>
      </bottom>
      <diagonal/>
    </border>
  </borders>
  <cellStyleXfs count="10">
    <xf numFmtId="0" fontId="0" fillId="0" borderId="0"/>
    <xf numFmtId="0" fontId="20" fillId="0" borderId="0"/>
    <xf numFmtId="0" fontId="21" fillId="0" borderId="0"/>
    <xf numFmtId="0" fontId="27" fillId="0" borderId="0"/>
    <xf numFmtId="0" fontId="63" fillId="0" borderId="0" applyNumberFormat="0" applyFill="0" applyBorder="0" applyAlignment="0" applyProtection="0">
      <alignment vertical="top"/>
      <protection locked="0"/>
    </xf>
    <xf numFmtId="9" fontId="73" fillId="0" borderId="0" applyFont="0" applyFill="0" applyBorder="0" applyAlignment="0" applyProtection="0"/>
    <xf numFmtId="43" fontId="90" fillId="0" borderId="0" applyFont="0" applyFill="0" applyBorder="0" applyAlignment="0" applyProtection="0"/>
    <xf numFmtId="0" fontId="9" fillId="0" borderId="0"/>
    <xf numFmtId="191" fontId="9" fillId="7" borderId="6" applyNumberFormat="0" applyFont="0" applyBorder="0" applyAlignment="0">
      <alignment horizontal="center"/>
      <protection locked="0"/>
    </xf>
    <xf numFmtId="0" fontId="12" fillId="0" borderId="0"/>
  </cellStyleXfs>
  <cellXfs count="2914">
    <xf numFmtId="0" fontId="0" fillId="0" borderId="0" xfId="0"/>
    <xf numFmtId="0" fontId="10" fillId="0" borderId="0" xfId="0" applyFont="1"/>
    <xf numFmtId="0" fontId="0" fillId="0" borderId="0" xfId="0" applyAlignment="1">
      <alignment vertical="center"/>
    </xf>
    <xf numFmtId="0" fontId="14" fillId="0" borderId="0" xfId="0" applyFont="1" applyAlignment="1">
      <alignment horizontal="left" vertical="center" indent="1"/>
    </xf>
    <xf numFmtId="0" fontId="0" fillId="0" borderId="0" xfId="0" applyBorder="1"/>
    <xf numFmtId="0" fontId="0" fillId="4" borderId="0" xfId="0" applyFill="1" applyBorder="1"/>
    <xf numFmtId="0" fontId="23" fillId="4" borderId="0" xfId="0" applyFont="1" applyFill="1" applyBorder="1" applyAlignment="1">
      <alignment horizontal="right"/>
    </xf>
    <xf numFmtId="3" fontId="0" fillId="4" borderId="0" xfId="0" applyNumberFormat="1" applyFill="1" applyBorder="1" applyAlignment="1">
      <alignment horizontal="right" indent="1"/>
    </xf>
    <xf numFmtId="0" fontId="15" fillId="4" borderId="0" xfId="0" applyFont="1" applyFill="1" applyBorder="1" applyAlignment="1">
      <alignment horizontal="left"/>
    </xf>
    <xf numFmtId="3" fontId="0" fillId="4" borderId="0" xfId="0" applyNumberFormat="1" applyFill="1" applyBorder="1" applyAlignment="1">
      <alignment horizontal="right" indent="3"/>
    </xf>
    <xf numFmtId="3" fontId="12" fillId="4" borderId="0" xfId="0" applyNumberFormat="1" applyFont="1" applyFill="1" applyBorder="1" applyAlignment="1">
      <alignment horizontal="right" indent="3"/>
    </xf>
    <xf numFmtId="0" fontId="13" fillId="5" borderId="0" xfId="0" applyFont="1" applyFill="1" applyBorder="1" applyAlignment="1">
      <alignment horizontal="left" vertical="center"/>
    </xf>
    <xf numFmtId="0" fontId="15" fillId="4" borderId="0" xfId="0" applyFont="1" applyFill="1" applyBorder="1" applyAlignment="1">
      <alignment horizontal="center" vertical="top"/>
    </xf>
    <xf numFmtId="0" fontId="0" fillId="6" borderId="0" xfId="0" applyFill="1" applyBorder="1" applyAlignment="1">
      <alignment vertical="center"/>
    </xf>
    <xf numFmtId="0" fontId="12" fillId="0" borderId="0" xfId="0" applyFont="1" applyBorder="1" applyAlignment="1">
      <alignment vertical="center"/>
    </xf>
    <xf numFmtId="0" fontId="0" fillId="0" borderId="0" xfId="0" applyFill="1" applyBorder="1"/>
    <xf numFmtId="0" fontId="13" fillId="5" borderId="0" xfId="0" applyFont="1" applyFill="1" applyBorder="1" applyAlignment="1">
      <alignment horizontal="left" vertical="center"/>
    </xf>
    <xf numFmtId="0" fontId="12" fillId="6" borderId="0" xfId="0" applyFont="1" applyFill="1" applyBorder="1" applyAlignment="1">
      <alignment vertical="center"/>
    </xf>
    <xf numFmtId="0" fontId="0" fillId="6" borderId="0" xfId="0" applyFill="1" applyBorder="1"/>
    <xf numFmtId="0" fontId="0" fillId="3" borderId="0" xfId="0" applyFill="1" applyBorder="1" applyAlignment="1">
      <alignment vertical="center"/>
    </xf>
    <xf numFmtId="0" fontId="15" fillId="3" borderId="0" xfId="0" applyFont="1" applyFill="1" applyBorder="1" applyAlignment="1">
      <alignment horizontal="left" vertical="center"/>
    </xf>
    <xf numFmtId="0" fontId="11" fillId="0" borderId="0" xfId="0" applyFont="1" applyAlignment="1">
      <alignment vertical="top"/>
    </xf>
    <xf numFmtId="0" fontId="11" fillId="0" borderId="0" xfId="0" applyFont="1" applyBorder="1" applyAlignment="1">
      <alignment horizontal="left" vertical="center"/>
    </xf>
    <xf numFmtId="0" fontId="17" fillId="6" borderId="0" xfId="0" applyFont="1" applyFill="1" applyBorder="1" applyAlignment="1">
      <alignment vertical="center"/>
    </xf>
    <xf numFmtId="0" fontId="22" fillId="0" borderId="0" xfId="0" applyFont="1" applyAlignment="1">
      <alignment horizontal="left" vertical="center" indent="1"/>
    </xf>
    <xf numFmtId="0" fontId="17" fillId="4" borderId="50" xfId="0" applyFont="1" applyFill="1" applyBorder="1" applyAlignment="1">
      <alignment horizontal="center" vertical="center"/>
    </xf>
    <xf numFmtId="49" fontId="12" fillId="0" borderId="0" xfId="0" applyNumberFormat="1" applyFont="1" applyAlignment="1">
      <alignment vertical="center"/>
    </xf>
    <xf numFmtId="49" fontId="0" fillId="4" borderId="0" xfId="0" applyNumberFormat="1" applyFill="1"/>
    <xf numFmtId="49" fontId="0" fillId="0" borderId="0" xfId="0" applyNumberFormat="1"/>
    <xf numFmtId="49" fontId="0" fillId="0" borderId="0" xfId="0" applyNumberFormat="1" applyAlignment="1">
      <alignment vertical="center"/>
    </xf>
    <xf numFmtId="0" fontId="28" fillId="0" borderId="0" xfId="3" applyFont="1" applyAlignment="1">
      <alignment horizontal="left" vertical="center"/>
    </xf>
    <xf numFmtId="0" fontId="12" fillId="0" borderId="0" xfId="1" applyFont="1" applyFill="1" applyProtection="1">
      <protection hidden="1"/>
    </xf>
    <xf numFmtId="0" fontId="29" fillId="0" borderId="0" xfId="1" applyFont="1" applyFill="1" applyProtection="1">
      <protection hidden="1"/>
    </xf>
    <xf numFmtId="0" fontId="30" fillId="0" borderId="0" xfId="1" applyFont="1" applyFill="1" applyProtection="1">
      <protection hidden="1"/>
    </xf>
    <xf numFmtId="0" fontId="29" fillId="0" borderId="0" xfId="1" applyFont="1" applyFill="1" applyBorder="1" applyProtection="1">
      <protection hidden="1"/>
    </xf>
    <xf numFmtId="0" fontId="30" fillId="0" borderId="0" xfId="1" applyFont="1" applyFill="1" applyBorder="1" applyProtection="1">
      <protection hidden="1"/>
    </xf>
    <xf numFmtId="0" fontId="31" fillId="0" borderId="0" xfId="1" applyFont="1" applyFill="1" applyBorder="1" applyProtection="1">
      <protection hidden="1"/>
    </xf>
    <xf numFmtId="0" fontId="32" fillId="0" borderId="0" xfId="1" applyFont="1" applyFill="1" applyBorder="1" applyProtection="1">
      <protection hidden="1"/>
    </xf>
    <xf numFmtId="0" fontId="22" fillId="0" borderId="0" xfId="1" applyFont="1" applyFill="1" applyBorder="1" applyProtection="1"/>
    <xf numFmtId="0" fontId="12" fillId="0" borderId="0" xfId="1" applyFont="1" applyFill="1" applyBorder="1" applyProtection="1"/>
    <xf numFmtId="0" fontId="22" fillId="0" borderId="0" xfId="2" applyFont="1" applyProtection="1">
      <protection hidden="1"/>
    </xf>
    <xf numFmtId="0" fontId="32" fillId="0" borderId="0" xfId="2" applyFont="1" applyProtection="1">
      <protection hidden="1"/>
    </xf>
    <xf numFmtId="0" fontId="22" fillId="0" borderId="0" xfId="2" applyFont="1" applyBorder="1" applyProtection="1">
      <protection hidden="1"/>
    </xf>
    <xf numFmtId="0" fontId="12" fillId="0" borderId="0" xfId="2" applyFont="1" applyProtection="1">
      <protection hidden="1"/>
    </xf>
    <xf numFmtId="0" fontId="32" fillId="0" borderId="0" xfId="2" applyFont="1" applyFill="1" applyProtection="1">
      <protection hidden="1"/>
    </xf>
    <xf numFmtId="0" fontId="32" fillId="0" borderId="0" xfId="2" applyFont="1" applyAlignment="1" applyProtection="1">
      <alignment vertical="center"/>
      <protection hidden="1"/>
    </xf>
    <xf numFmtId="0" fontId="32" fillId="0" borderId="0" xfId="2" applyFont="1" applyFill="1" applyAlignment="1" applyProtection="1">
      <alignment vertical="center"/>
      <protection hidden="1"/>
    </xf>
    <xf numFmtId="0" fontId="38" fillId="0" borderId="0" xfId="2" applyFont="1" applyFill="1" applyProtection="1"/>
    <xf numFmtId="0" fontId="37" fillId="0" borderId="0" xfId="2" applyFont="1" applyFill="1" applyProtection="1">
      <protection hidden="1"/>
    </xf>
    <xf numFmtId="0" fontId="22" fillId="0" borderId="0" xfId="2" applyFont="1" applyAlignment="1" applyProtection="1">
      <alignment vertical="center"/>
      <protection hidden="1"/>
    </xf>
    <xf numFmtId="169" fontId="37" fillId="0" borderId="0" xfId="2" applyNumberFormat="1" applyFont="1" applyAlignment="1" applyProtection="1">
      <alignment horizontal="right"/>
      <protection hidden="1"/>
    </xf>
    <xf numFmtId="0" fontId="39" fillId="0" borderId="0" xfId="2" applyFont="1" applyProtection="1"/>
    <xf numFmtId="0" fontId="34" fillId="0" borderId="20" xfId="2" applyFont="1" applyBorder="1" applyAlignment="1" applyProtection="1">
      <alignment horizontal="left" vertical="center"/>
    </xf>
    <xf numFmtId="0" fontId="34" fillId="0" borderId="31" xfId="2" applyFont="1" applyBorder="1" applyProtection="1"/>
    <xf numFmtId="0" fontId="34" fillId="0" borderId="0" xfId="2" applyFont="1" applyProtection="1">
      <protection hidden="1"/>
    </xf>
    <xf numFmtId="0" fontId="37" fillId="0" borderId="0" xfId="2" applyFont="1" applyProtection="1">
      <protection hidden="1"/>
    </xf>
    <xf numFmtId="0" fontId="30" fillId="0" borderId="0" xfId="2" applyFont="1" applyProtection="1">
      <protection hidden="1"/>
    </xf>
    <xf numFmtId="0" fontId="22" fillId="0" borderId="31" xfId="2" applyFont="1" applyBorder="1" applyProtection="1"/>
    <xf numFmtId="0" fontId="35" fillId="0" borderId="0" xfId="2" applyFont="1" applyProtection="1"/>
    <xf numFmtId="3" fontId="22" fillId="0" borderId="0" xfId="2" applyNumberFormat="1" applyFont="1" applyAlignment="1" applyProtection="1">
      <alignment horizontal="center" vertical="center"/>
      <protection hidden="1"/>
    </xf>
    <xf numFmtId="0" fontId="22" fillId="0" borderId="0" xfId="2" applyFont="1" applyAlignment="1" applyProtection="1">
      <alignment vertical="center"/>
    </xf>
    <xf numFmtId="0" fontId="37" fillId="0" borderId="0" xfId="2" applyFont="1" applyFill="1" applyAlignment="1" applyProtection="1">
      <alignment vertical="center"/>
      <protection hidden="1"/>
    </xf>
    <xf numFmtId="0" fontId="37" fillId="2" borderId="0" xfId="2" applyFont="1" applyFill="1" applyProtection="1">
      <protection hidden="1"/>
    </xf>
    <xf numFmtId="0" fontId="30" fillId="0" borderId="0" xfId="2" applyFont="1" applyFill="1" applyProtection="1">
      <protection hidden="1"/>
    </xf>
    <xf numFmtId="0" fontId="12" fillId="0" borderId="0" xfId="2" applyFont="1" applyProtection="1"/>
    <xf numFmtId="0" fontId="34" fillId="0" borderId="20" xfId="2" applyFont="1" applyBorder="1" applyAlignment="1" applyProtection="1">
      <alignment vertical="center"/>
    </xf>
    <xf numFmtId="0" fontId="34" fillId="0" borderId="0" xfId="2" applyFont="1" applyAlignment="1" applyProtection="1">
      <alignment vertical="center"/>
      <protection hidden="1"/>
    </xf>
    <xf numFmtId="0" fontId="37" fillId="0" borderId="0" xfId="2" applyFont="1" applyAlignment="1" applyProtection="1">
      <alignment vertical="center"/>
      <protection hidden="1"/>
    </xf>
    <xf numFmtId="0" fontId="34" fillId="0" borderId="55" xfId="2" applyFont="1" applyBorder="1" applyAlignment="1" applyProtection="1">
      <alignment vertical="center"/>
    </xf>
    <xf numFmtId="0" fontId="34" fillId="0" borderId="31" xfId="2" applyFont="1" applyBorder="1" applyAlignment="1" applyProtection="1">
      <alignment vertical="center"/>
    </xf>
    <xf numFmtId="0" fontId="12" fillId="0" borderId="0" xfId="2" applyFont="1" applyAlignment="1" applyProtection="1">
      <alignment vertical="center"/>
      <protection hidden="1"/>
    </xf>
    <xf numFmtId="0" fontId="30" fillId="0" borderId="3" xfId="2" applyFont="1" applyBorder="1" applyAlignment="1" applyProtection="1">
      <alignment vertical="center"/>
      <protection hidden="1"/>
    </xf>
    <xf numFmtId="0" fontId="22" fillId="0" borderId="31" xfId="2" applyFont="1" applyBorder="1" applyAlignment="1" applyProtection="1">
      <alignment vertical="center"/>
    </xf>
    <xf numFmtId="0" fontId="22" fillId="0" borderId="0" xfId="2" applyFont="1" applyProtection="1"/>
    <xf numFmtId="0" fontId="37" fillId="0" borderId="0" xfId="2" applyFont="1" applyFill="1" applyProtection="1"/>
    <xf numFmtId="0" fontId="32" fillId="0" borderId="0" xfId="2" applyFont="1" applyFill="1" applyProtection="1"/>
    <xf numFmtId="0" fontId="11" fillId="0" borderId="0" xfId="2" applyFont="1" applyFill="1" applyProtection="1"/>
    <xf numFmtId="0" fontId="32" fillId="0" borderId="3" xfId="2" applyFont="1" applyBorder="1" applyProtection="1">
      <protection hidden="1"/>
    </xf>
    <xf numFmtId="0" fontId="37" fillId="0" borderId="0" xfId="2" applyFont="1" applyBorder="1" applyAlignment="1" applyProtection="1">
      <alignment horizontal="center"/>
      <protection hidden="1"/>
    </xf>
    <xf numFmtId="0" fontId="22" fillId="0" borderId="21" xfId="2" applyFont="1" applyBorder="1" applyProtection="1"/>
    <xf numFmtId="0" fontId="12" fillId="0" borderId="21" xfId="2" applyFont="1" applyBorder="1" applyProtection="1"/>
    <xf numFmtId="167" fontId="22" fillId="0" borderId="21" xfId="2" applyNumberFormat="1" applyFont="1" applyBorder="1" applyAlignment="1" applyProtection="1">
      <alignment horizontal="left"/>
    </xf>
    <xf numFmtId="0" fontId="40" fillId="0" borderId="0" xfId="2" applyFont="1" applyFill="1" applyProtection="1"/>
    <xf numFmtId="0" fontId="22" fillId="0" borderId="0" xfId="1" applyFont="1" applyProtection="1">
      <protection hidden="1"/>
    </xf>
    <xf numFmtId="0" fontId="12" fillId="0" borderId="0" xfId="1" applyFont="1" applyProtection="1">
      <protection hidden="1"/>
    </xf>
    <xf numFmtId="0" fontId="30" fillId="0" borderId="0" xfId="1" applyFont="1" applyProtection="1">
      <protection hidden="1"/>
    </xf>
    <xf numFmtId="0" fontId="22" fillId="0" borderId="0" xfId="1" applyFont="1" applyBorder="1" applyProtection="1">
      <protection hidden="1"/>
    </xf>
    <xf numFmtId="14" fontId="22" fillId="0" borderId="0" xfId="1" applyNumberFormat="1" applyFont="1" applyAlignment="1" applyProtection="1">
      <alignment horizontal="right"/>
      <protection hidden="1"/>
    </xf>
    <xf numFmtId="0" fontId="22" fillId="0" borderId="0" xfId="1" applyFont="1" applyAlignment="1" applyProtection="1">
      <alignment vertical="center"/>
      <protection hidden="1"/>
    </xf>
    <xf numFmtId="0" fontId="30" fillId="0" borderId="0" xfId="1" applyFont="1" applyFill="1" applyAlignment="1" applyProtection="1">
      <alignment vertical="center"/>
      <protection hidden="1"/>
    </xf>
    <xf numFmtId="0" fontId="22" fillId="0" borderId="42" xfId="1" applyFont="1" applyBorder="1" applyAlignment="1" applyProtection="1">
      <alignment vertical="center"/>
      <protection hidden="1"/>
    </xf>
    <xf numFmtId="0" fontId="34" fillId="0" borderId="42" xfId="1" applyFont="1" applyBorder="1" applyAlignment="1" applyProtection="1">
      <alignment horizontal="left" vertical="center"/>
      <protection hidden="1"/>
    </xf>
    <xf numFmtId="0" fontId="34" fillId="0" borderId="0" xfId="1" applyFont="1" applyBorder="1" applyAlignment="1" applyProtection="1">
      <alignment vertical="center"/>
      <protection hidden="1"/>
    </xf>
    <xf numFmtId="0" fontId="34" fillId="0" borderId="0" xfId="1" applyFont="1" applyAlignment="1" applyProtection="1">
      <alignment vertical="center"/>
      <protection hidden="1"/>
    </xf>
    <xf numFmtId="0" fontId="22" fillId="0" borderId="21" xfId="1" applyFont="1" applyBorder="1" applyProtection="1">
      <protection hidden="1"/>
    </xf>
    <xf numFmtId="0" fontId="12" fillId="0" borderId="0" xfId="1" applyFont="1" applyProtection="1"/>
    <xf numFmtId="0" fontId="22" fillId="0" borderId="0" xfId="1" applyFont="1" applyBorder="1" applyProtection="1"/>
    <xf numFmtId="0" fontId="22" fillId="0" borderId="0" xfId="1" applyFont="1" applyAlignment="1" applyProtection="1">
      <protection hidden="1"/>
    </xf>
    <xf numFmtId="0" fontId="34" fillId="0" borderId="8" xfId="1" applyFont="1" applyBorder="1" applyAlignment="1" applyProtection="1">
      <alignment horizontal="left" vertical="center"/>
      <protection hidden="1"/>
    </xf>
    <xf numFmtId="0" fontId="34" fillId="0" borderId="10" xfId="1" applyFont="1" applyBorder="1" applyAlignment="1" applyProtection="1">
      <alignment horizontal="left" vertical="center"/>
      <protection hidden="1"/>
    </xf>
    <xf numFmtId="0" fontId="12" fillId="0" borderId="21" xfId="1" applyFont="1" applyBorder="1" applyProtection="1">
      <protection hidden="1"/>
    </xf>
    <xf numFmtId="0" fontId="12" fillId="0" borderId="0" xfId="1" applyFont="1" applyBorder="1" applyProtection="1">
      <protection hidden="1"/>
    </xf>
    <xf numFmtId="0" fontId="22" fillId="0" borderId="0" xfId="1" applyNumberFormat="1" applyFont="1" applyBorder="1" applyProtection="1">
      <protection hidden="1"/>
    </xf>
    <xf numFmtId="174" fontId="22" fillId="0" borderId="0" xfId="1" applyNumberFormat="1" applyFont="1" applyBorder="1" applyProtection="1">
      <protection hidden="1"/>
    </xf>
    <xf numFmtId="0" fontId="36" fillId="0" borderId="0" xfId="1" applyFont="1" applyProtection="1">
      <protection hidden="1"/>
    </xf>
    <xf numFmtId="0" fontId="17" fillId="0" borderId="0" xfId="1" applyFont="1" applyBorder="1" applyProtection="1">
      <protection hidden="1"/>
    </xf>
    <xf numFmtId="0" fontId="36" fillId="0" borderId="0" xfId="1" applyFont="1" applyAlignment="1" applyProtection="1">
      <alignment horizontal="left"/>
      <protection hidden="1"/>
    </xf>
    <xf numFmtId="0" fontId="13" fillId="0" borderId="0" xfId="1" applyFont="1" applyBorder="1" applyProtection="1"/>
    <xf numFmtId="0" fontId="10" fillId="0" borderId="0" xfId="1" applyFont="1" applyProtection="1">
      <protection hidden="1"/>
    </xf>
    <xf numFmtId="0" fontId="42" fillId="0" borderId="0" xfId="1" applyFont="1" applyProtection="1">
      <protection hidden="1"/>
    </xf>
    <xf numFmtId="0" fontId="34" fillId="0" borderId="27" xfId="2" applyFont="1" applyBorder="1" applyAlignment="1" applyProtection="1">
      <alignment horizontal="left" vertical="center"/>
    </xf>
    <xf numFmtId="0" fontId="34" fillId="0" borderId="28" xfId="2" applyFont="1" applyBorder="1" applyAlignment="1" applyProtection="1">
      <alignment horizontal="center" vertical="center"/>
    </xf>
    <xf numFmtId="0" fontId="34" fillId="0" borderId="29" xfId="2" applyFont="1" applyBorder="1" applyAlignment="1" applyProtection="1">
      <alignment horizontal="center" vertical="center"/>
    </xf>
    <xf numFmtId="0" fontId="13" fillId="5" borderId="0" xfId="0" applyFont="1" applyFill="1" applyBorder="1" applyAlignment="1">
      <alignment horizontal="left" vertical="center"/>
    </xf>
    <xf numFmtId="49" fontId="17" fillId="8" borderId="0" xfId="0" applyNumberFormat="1" applyFont="1" applyFill="1" applyAlignment="1">
      <alignment vertical="center"/>
    </xf>
    <xf numFmtId="49" fontId="17" fillId="4" borderId="0" xfId="0" applyNumberFormat="1" applyFont="1" applyFill="1" applyAlignment="1">
      <alignment vertical="center"/>
    </xf>
    <xf numFmtId="0" fontId="10" fillId="0" borderId="0" xfId="0" applyNumberFormat="1" applyFont="1"/>
    <xf numFmtId="49" fontId="11" fillId="0" borderId="0" xfId="0" applyNumberFormat="1" applyFont="1"/>
    <xf numFmtId="0" fontId="10" fillId="0" borderId="0" xfId="0" applyNumberFormat="1" applyFont="1" applyAlignment="1">
      <alignment horizontal="right"/>
    </xf>
    <xf numFmtId="0" fontId="45" fillId="0" borderId="0" xfId="0" applyFont="1" applyBorder="1" applyAlignment="1">
      <alignment horizontal="left" vertical="center"/>
    </xf>
    <xf numFmtId="0" fontId="0" fillId="0" borderId="0" xfId="0" applyAlignment="1">
      <alignment vertical="top"/>
    </xf>
    <xf numFmtId="0" fontId="0" fillId="0" borderId="0" xfId="0" applyFill="1" applyAlignment="1">
      <alignment vertical="center"/>
    </xf>
    <xf numFmtId="0" fontId="0" fillId="0" borderId="0" xfId="0" applyFill="1" applyBorder="1" applyAlignment="1">
      <alignment vertical="center"/>
    </xf>
    <xf numFmtId="0" fontId="13" fillId="5" borderId="0" xfId="0" applyFont="1" applyFill="1" applyBorder="1" applyAlignment="1">
      <alignment horizontal="left" vertical="center"/>
    </xf>
    <xf numFmtId="0" fontId="34" fillId="2" borderId="41" xfId="2" applyFont="1" applyFill="1" applyBorder="1" applyAlignment="1" applyProtection="1">
      <alignment vertical="center"/>
    </xf>
    <xf numFmtId="0" fontId="12" fillId="0" borderId="0" xfId="1" applyFont="1" applyFill="1" applyAlignment="1" applyProtection="1">
      <alignment vertical="center"/>
      <protection hidden="1"/>
    </xf>
    <xf numFmtId="0" fontId="8" fillId="0" borderId="0" xfId="3" applyFont="1" applyAlignment="1">
      <alignment horizontal="left" vertical="center"/>
    </xf>
    <xf numFmtId="0" fontId="12" fillId="0" borderId="0" xfId="0" applyFont="1"/>
    <xf numFmtId="0" fontId="7" fillId="0" borderId="0" xfId="3" applyFont="1" applyAlignment="1">
      <alignment horizontal="left" vertical="center"/>
    </xf>
    <xf numFmtId="49" fontId="6" fillId="0" borderId="0" xfId="3" applyNumberFormat="1" applyFont="1" applyAlignment="1">
      <alignment horizontal="left" vertical="center"/>
    </xf>
    <xf numFmtId="0" fontId="6" fillId="0" borderId="0" xfId="3" applyFont="1" applyAlignment="1">
      <alignment horizontal="left" vertical="center"/>
    </xf>
    <xf numFmtId="0" fontId="17" fillId="0" borderId="51" xfId="0" applyFont="1" applyBorder="1" applyAlignment="1">
      <alignment horizontal="right" vertical="center" indent="1"/>
    </xf>
    <xf numFmtId="3" fontId="17" fillId="8" borderId="51" xfId="0" applyNumberFormat="1" applyFont="1" applyFill="1" applyBorder="1" applyAlignment="1">
      <alignment horizontal="right" vertical="center" indent="1"/>
    </xf>
    <xf numFmtId="3" fontId="0" fillId="0" borderId="51" xfId="0" applyNumberFormat="1" applyBorder="1" applyAlignment="1">
      <alignment horizontal="right" vertical="center" indent="1"/>
    </xf>
    <xf numFmtId="3" fontId="0" fillId="0" borderId="51" xfId="0" applyNumberFormat="1" applyFill="1" applyBorder="1" applyAlignment="1">
      <alignment horizontal="right" vertical="center" indent="1"/>
    </xf>
    <xf numFmtId="3" fontId="0" fillId="0" borderId="52" xfId="0" applyNumberFormat="1" applyBorder="1" applyAlignment="1">
      <alignment horizontal="right" vertical="center" indent="1"/>
    </xf>
    <xf numFmtId="0" fontId="13" fillId="5" borderId="0" xfId="0" applyFont="1" applyFill="1" applyBorder="1" applyAlignment="1">
      <alignment horizontal="left" vertical="center"/>
    </xf>
    <xf numFmtId="0" fontId="17" fillId="0" borderId="0" xfId="0" applyFont="1" applyFill="1" applyBorder="1" applyAlignment="1">
      <alignment vertical="center"/>
    </xf>
    <xf numFmtId="0" fontId="25" fillId="0" borderId="0" xfId="0" applyFont="1" applyFill="1" applyBorder="1" applyAlignment="1">
      <alignment horizontal="center" vertical="center"/>
    </xf>
    <xf numFmtId="49" fontId="19" fillId="0" borderId="0" xfId="0" applyNumberFormat="1" applyFont="1" applyFill="1" applyBorder="1" applyAlignment="1">
      <alignment horizontal="left" vertical="center" wrapText="1"/>
    </xf>
    <xf numFmtId="0" fontId="26"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0" fillId="0" borderId="91" xfId="0" applyBorder="1"/>
    <xf numFmtId="0" fontId="54" fillId="0" borderId="0" xfId="0" applyFont="1" applyFill="1" applyBorder="1" applyAlignment="1">
      <alignment horizontal="right" vertical="center" indent="1"/>
    </xf>
    <xf numFmtId="0" fontId="5" fillId="0" borderId="0" xfId="3" applyFont="1" applyAlignment="1">
      <alignment horizontal="left" vertical="center"/>
    </xf>
    <xf numFmtId="184" fontId="0" fillId="7" borderId="0" xfId="0" applyNumberFormat="1" applyFill="1" applyProtection="1">
      <protection locked="0"/>
    </xf>
    <xf numFmtId="3" fontId="0" fillId="7" borderId="0" xfId="0" applyNumberFormat="1" applyFill="1" applyProtection="1">
      <protection locked="0"/>
    </xf>
    <xf numFmtId="0" fontId="0" fillId="0" borderId="0" xfId="0" applyAlignment="1">
      <alignment horizontal="center"/>
    </xf>
    <xf numFmtId="0" fontId="57" fillId="0" borderId="0" xfId="0" applyFont="1" applyAlignment="1">
      <alignment horizontal="center" vertical="top" wrapText="1"/>
    </xf>
    <xf numFmtId="0" fontId="57" fillId="0" borderId="0" xfId="0" applyFont="1" applyAlignment="1">
      <alignment horizontal="center" vertical="top"/>
    </xf>
    <xf numFmtId="0" fontId="57" fillId="0" borderId="0" xfId="0" applyFont="1" applyAlignment="1">
      <alignment horizontal="center" vertical="top" wrapText="1"/>
    </xf>
    <xf numFmtId="0" fontId="57" fillId="0" borderId="0" xfId="0" applyFont="1" applyAlignment="1">
      <alignment horizontal="center" vertical="top"/>
    </xf>
    <xf numFmtId="0" fontId="17" fillId="0" borderId="0" xfId="0" applyFont="1"/>
    <xf numFmtId="0" fontId="58" fillId="0" borderId="0" xfId="0" applyFont="1"/>
    <xf numFmtId="0" fontId="23" fillId="0" borderId="0" xfId="0" applyFont="1" applyBorder="1" applyAlignment="1">
      <alignment horizontal="right" vertical="center"/>
    </xf>
    <xf numFmtId="0" fontId="23" fillId="0" borderId="0" xfId="0" applyFont="1" applyBorder="1" applyAlignment="1">
      <alignment horizontal="left" vertical="center"/>
    </xf>
    <xf numFmtId="0" fontId="11" fillId="0" borderId="0" xfId="0" applyFont="1"/>
    <xf numFmtId="0" fontId="0" fillId="0" borderId="94" xfId="0" applyBorder="1" applyAlignment="1">
      <alignment vertical="center"/>
    </xf>
    <xf numFmtId="0" fontId="0" fillId="0" borderId="97" xfId="0" applyBorder="1" applyAlignment="1">
      <alignment vertical="center"/>
    </xf>
    <xf numFmtId="0" fontId="17" fillId="0" borderId="101" xfId="0" applyFont="1" applyBorder="1" applyAlignment="1">
      <alignment vertical="center"/>
    </xf>
    <xf numFmtId="0" fontId="17" fillId="0" borderId="102" xfId="0" applyFont="1" applyBorder="1" applyAlignment="1">
      <alignment vertical="center"/>
    </xf>
    <xf numFmtId="0" fontId="17" fillId="13" borderId="0" xfId="0" applyFont="1" applyFill="1" applyAlignment="1">
      <alignment vertical="center"/>
    </xf>
    <xf numFmtId="0" fontId="17" fillId="0" borderId="100" xfId="0" applyFont="1" applyBorder="1" applyAlignment="1">
      <alignment horizontal="center" vertical="center"/>
    </xf>
    <xf numFmtId="0" fontId="17" fillId="0" borderId="101" xfId="0" applyFont="1" applyBorder="1" applyAlignment="1">
      <alignment horizontal="center" vertical="center"/>
    </xf>
    <xf numFmtId="0" fontId="10" fillId="0" borderId="0" xfId="1" applyFont="1" applyBorder="1" applyAlignment="1" applyProtection="1">
      <alignment horizontal="right"/>
      <protection hidden="1"/>
    </xf>
    <xf numFmtId="172" fontId="11" fillId="4" borderId="0" xfId="1" applyNumberFormat="1" applyFont="1" applyFill="1" applyBorder="1" applyAlignment="1" applyProtection="1">
      <alignment horizontal="left"/>
      <protection hidden="1"/>
    </xf>
    <xf numFmtId="0" fontId="12" fillId="7" borderId="0" xfId="0" applyFont="1" applyFill="1" applyProtection="1">
      <protection locked="0"/>
    </xf>
    <xf numFmtId="0" fontId="17" fillId="4" borderId="51" xfId="0" applyFont="1" applyFill="1" applyBorder="1" applyAlignment="1">
      <alignment horizontal="center" vertical="top" wrapText="1"/>
    </xf>
    <xf numFmtId="0" fontId="12" fillId="8" borderId="0" xfId="0" applyFont="1" applyFill="1" applyAlignment="1">
      <alignment horizontal="right" vertical="center"/>
    </xf>
    <xf numFmtId="0" fontId="12" fillId="8" borderId="0" xfId="0" applyFont="1" applyFill="1" applyAlignment="1">
      <alignment horizontal="left" vertical="center"/>
    </xf>
    <xf numFmtId="0" fontId="17" fillId="8" borderId="0" xfId="0" applyFont="1" applyFill="1" applyAlignment="1">
      <alignment horizontal="left" vertical="center"/>
    </xf>
    <xf numFmtId="0" fontId="33" fillId="0" borderId="0" xfId="1" applyFont="1" applyFill="1" applyAlignment="1" applyProtection="1">
      <alignment horizontal="left"/>
    </xf>
    <xf numFmtId="0" fontId="22" fillId="0" borderId="0" xfId="1" applyFont="1" applyProtection="1"/>
    <xf numFmtId="14" fontId="22" fillId="0" borderId="0" xfId="1" applyNumberFormat="1" applyFont="1" applyAlignment="1" applyProtection="1">
      <alignment horizontal="right"/>
    </xf>
    <xf numFmtId="0" fontId="0" fillId="0" borderId="0" xfId="0"/>
    <xf numFmtId="0" fontId="57" fillId="0" borderId="0" xfId="0" applyFont="1" applyAlignment="1">
      <alignment horizontal="center" vertical="top" wrapText="1"/>
    </xf>
    <xf numFmtId="0" fontId="0" fillId="0" borderId="0" xfId="0"/>
    <xf numFmtId="14" fontId="0" fillId="0" borderId="94" xfId="0" applyNumberFormat="1" applyBorder="1" applyAlignment="1">
      <alignment horizontal="center" vertical="center"/>
    </xf>
    <xf numFmtId="14" fontId="0" fillId="0" borderId="97" xfId="0" applyNumberFormat="1" applyBorder="1" applyAlignment="1">
      <alignment horizontal="center" vertical="center"/>
    </xf>
    <xf numFmtId="0" fontId="60" fillId="0" borderId="0" xfId="0" applyFont="1" applyAlignment="1">
      <alignment vertical="top"/>
    </xf>
    <xf numFmtId="0" fontId="17" fillId="0" borderId="0" xfId="0" applyFont="1" applyAlignment="1">
      <alignment vertical="top"/>
    </xf>
    <xf numFmtId="0" fontId="12" fillId="0" borderId="0" xfId="0" applyFont="1" applyAlignment="1">
      <alignment horizontal="left" vertical="top"/>
    </xf>
    <xf numFmtId="0" fontId="17" fillId="0" borderId="0" xfId="0" applyFont="1" applyAlignment="1">
      <alignment vertical="center"/>
    </xf>
    <xf numFmtId="0" fontId="12" fillId="0" borderId="0" xfId="0" applyFont="1" applyAlignment="1">
      <alignment vertical="top" wrapText="1"/>
    </xf>
    <xf numFmtId="0" fontId="12" fillId="0" borderId="0" xfId="0" applyFont="1" applyAlignment="1">
      <alignment vertical="top"/>
    </xf>
    <xf numFmtId="0" fontId="0" fillId="0" borderId="0" xfId="0"/>
    <xf numFmtId="0" fontId="63" fillId="0" borderId="0" xfId="4" applyFill="1" applyBorder="1" applyAlignment="1" applyProtection="1">
      <alignment vertical="center"/>
      <protection hidden="1"/>
    </xf>
    <xf numFmtId="0" fontId="65" fillId="0" borderId="87" xfId="0" applyFont="1" applyBorder="1" applyAlignment="1">
      <alignment vertical="center"/>
    </xf>
    <xf numFmtId="0" fontId="65" fillId="0" borderId="0" xfId="0" applyFont="1" applyAlignment="1">
      <alignment vertical="center"/>
    </xf>
    <xf numFmtId="0" fontId="65" fillId="0" borderId="0" xfId="0" applyFont="1" applyBorder="1" applyAlignment="1">
      <alignment vertical="center"/>
    </xf>
    <xf numFmtId="0" fontId="65" fillId="0" borderId="0" xfId="0" applyFont="1"/>
    <xf numFmtId="0" fontId="68" fillId="0" borderId="0" xfId="0" applyFont="1" applyBorder="1" applyAlignment="1">
      <alignment horizontal="center" vertical="top"/>
    </xf>
    <xf numFmtId="0" fontId="68" fillId="0" borderId="0" xfId="0" applyFont="1" applyAlignment="1">
      <alignment horizontal="center" vertical="top"/>
    </xf>
    <xf numFmtId="0" fontId="65" fillId="0" borderId="0" xfId="0" applyFont="1" applyBorder="1" applyAlignment="1">
      <alignment horizontal="right" vertical="center"/>
    </xf>
    <xf numFmtId="0" fontId="65" fillId="0" borderId="0" xfId="0" applyFont="1" applyBorder="1" applyAlignment="1">
      <alignment horizontal="left" vertical="center"/>
    </xf>
    <xf numFmtId="0" fontId="65" fillId="0" borderId="0" xfId="0" applyFont="1" applyBorder="1"/>
    <xf numFmtId="180" fontId="65" fillId="0" borderId="0" xfId="0" applyNumberFormat="1" applyFont="1" applyBorder="1" applyAlignment="1">
      <alignment horizontal="left" vertical="center"/>
    </xf>
    <xf numFmtId="0" fontId="65" fillId="0" borderId="85" xfId="0" applyFont="1" applyBorder="1" applyAlignment="1">
      <alignment vertical="center"/>
    </xf>
    <xf numFmtId="3" fontId="65" fillId="0" borderId="86" xfId="0" applyNumberFormat="1" applyFont="1" applyBorder="1" applyAlignment="1">
      <alignment vertical="center"/>
    </xf>
    <xf numFmtId="0" fontId="12" fillId="0" borderId="0" xfId="0" applyFont="1" applyFill="1" applyAlignment="1">
      <alignment vertical="center" wrapText="1"/>
    </xf>
    <xf numFmtId="0" fontId="12" fillId="15" borderId="0" xfId="0" applyFont="1" applyFill="1"/>
    <xf numFmtId="0" fontId="0" fillId="15" borderId="0" xfId="0" applyFill="1"/>
    <xf numFmtId="0" fontId="12" fillId="7" borderId="0" xfId="0" applyFont="1" applyFill="1"/>
    <xf numFmtId="0" fontId="0" fillId="7" borderId="0" xfId="0" applyFill="1"/>
    <xf numFmtId="0" fontId="12" fillId="6" borderId="0" xfId="0" applyFont="1" applyFill="1"/>
    <xf numFmtId="0" fontId="0" fillId="6" borderId="0" xfId="0" applyFill="1"/>
    <xf numFmtId="0" fontId="12" fillId="3" borderId="0" xfId="0" applyFont="1" applyFill="1"/>
    <xf numFmtId="0" fontId="0" fillId="3" borderId="0" xfId="0" applyFill="1"/>
    <xf numFmtId="0" fontId="0" fillId="0" borderId="0" xfId="0"/>
    <xf numFmtId="14" fontId="12" fillId="13" borderId="52" xfId="0" applyNumberFormat="1" applyFont="1" applyFill="1" applyBorder="1" applyAlignment="1">
      <alignment horizontal="center" vertical="center"/>
    </xf>
    <xf numFmtId="0" fontId="30" fillId="0" borderId="0" xfId="2" applyFont="1" applyBorder="1" applyAlignment="1" applyProtection="1">
      <alignment vertical="center"/>
      <protection hidden="1"/>
    </xf>
    <xf numFmtId="0" fontId="9" fillId="0" borderId="11" xfId="2" applyFont="1" applyBorder="1" applyAlignment="1" applyProtection="1">
      <alignment vertical="center"/>
    </xf>
    <xf numFmtId="0" fontId="34" fillId="0" borderId="126" xfId="2" applyFont="1" applyBorder="1" applyAlignment="1" applyProtection="1">
      <alignment horizontal="left" vertical="center"/>
    </xf>
    <xf numFmtId="0" fontId="22" fillId="0" borderId="0" xfId="2" applyFont="1" applyBorder="1" applyAlignment="1" applyProtection="1">
      <alignment vertical="center"/>
    </xf>
    <xf numFmtId="0" fontId="22" fillId="0" borderId="4" xfId="2" applyFont="1" applyBorder="1" applyAlignment="1" applyProtection="1">
      <alignment vertical="center"/>
    </xf>
    <xf numFmtId="0" fontId="34" fillId="0" borderId="4" xfId="2" applyFont="1" applyBorder="1" applyAlignment="1" applyProtection="1">
      <alignment vertical="center"/>
    </xf>
    <xf numFmtId="0" fontId="34" fillId="0" borderId="123" xfId="2" applyFont="1" applyBorder="1" applyAlignment="1" applyProtection="1">
      <alignment vertical="center"/>
    </xf>
    <xf numFmtId="0" fontId="34" fillId="0" borderId="21" xfId="2" applyFont="1" applyBorder="1" applyAlignment="1" applyProtection="1">
      <alignment vertical="center"/>
    </xf>
    <xf numFmtId="0" fontId="22" fillId="0" borderId="4" xfId="2" applyFont="1" applyBorder="1" applyProtection="1"/>
    <xf numFmtId="0" fontId="34" fillId="0" borderId="4" xfId="2" applyFont="1" applyBorder="1" applyProtection="1"/>
    <xf numFmtId="0" fontId="34" fillId="0" borderId="21" xfId="2" applyFont="1" applyBorder="1" applyAlignment="1" applyProtection="1">
      <alignment horizontal="left" vertical="center"/>
    </xf>
    <xf numFmtId="0" fontId="34" fillId="2" borderId="42" xfId="2" applyFont="1" applyFill="1" applyBorder="1" applyAlignment="1" applyProtection="1">
      <alignment vertical="center"/>
    </xf>
    <xf numFmtId="0" fontId="9" fillId="0" borderId="16" xfId="2" applyFont="1" applyBorder="1" applyAlignment="1" applyProtection="1">
      <alignment vertical="center"/>
    </xf>
    <xf numFmtId="0" fontId="22" fillId="0" borderId="7" xfId="2" applyFont="1" applyBorder="1" applyAlignment="1" applyProtection="1">
      <alignment vertical="center"/>
    </xf>
    <xf numFmtId="0" fontId="9" fillId="0" borderId="123" xfId="2" applyFont="1" applyBorder="1" applyAlignment="1" applyProtection="1">
      <alignment vertical="top"/>
    </xf>
    <xf numFmtId="0" fontId="9" fillId="0" borderId="8" xfId="2" applyFont="1" applyBorder="1" applyAlignment="1" applyProtection="1">
      <alignment vertical="top"/>
    </xf>
    <xf numFmtId="0" fontId="34" fillId="0" borderId="44" xfId="2" applyFont="1" applyBorder="1" applyAlignment="1" applyProtection="1">
      <alignment vertical="center"/>
    </xf>
    <xf numFmtId="167" fontId="34" fillId="0" borderId="60" xfId="2" applyNumberFormat="1" applyFont="1" applyBorder="1" applyAlignment="1" applyProtection="1">
      <alignment horizontal="center" vertical="center"/>
    </xf>
    <xf numFmtId="0" fontId="34" fillId="0" borderId="1" xfId="2" applyFont="1" applyBorder="1" applyAlignment="1" applyProtection="1">
      <alignment vertical="center"/>
    </xf>
    <xf numFmtId="0" fontId="22" fillId="0" borderId="125" xfId="2" applyFont="1" applyBorder="1" applyAlignment="1" applyProtection="1">
      <alignment vertical="center"/>
    </xf>
    <xf numFmtId="0" fontId="22" fillId="0" borderId="68" xfId="2" applyFont="1" applyBorder="1" applyAlignment="1" applyProtection="1">
      <alignment vertical="top"/>
    </xf>
    <xf numFmtId="0" fontId="22" fillId="0" borderId="128" xfId="2" applyFont="1" applyBorder="1" applyAlignment="1" applyProtection="1">
      <alignment vertical="top"/>
    </xf>
    <xf numFmtId="0" fontId="54" fillId="0" borderId="117" xfId="0" applyFont="1" applyBorder="1" applyAlignment="1">
      <alignment vertical="center"/>
    </xf>
    <xf numFmtId="49" fontId="56" fillId="0" borderId="117" xfId="0" applyNumberFormat="1" applyFont="1" applyFill="1" applyBorder="1" applyAlignment="1">
      <alignment horizontal="left" vertical="center" wrapText="1"/>
    </xf>
    <xf numFmtId="0" fontId="54" fillId="0" borderId="117" xfId="0" applyFont="1" applyFill="1" applyBorder="1" applyAlignment="1">
      <alignment vertical="center"/>
    </xf>
    <xf numFmtId="0" fontId="54" fillId="0" borderId="117" xfId="0" applyFont="1" applyFill="1" applyBorder="1"/>
    <xf numFmtId="0" fontId="55" fillId="0" borderId="131" xfId="0" applyFont="1" applyFill="1" applyBorder="1" applyAlignment="1">
      <alignment horizontal="center" vertical="center"/>
    </xf>
    <xf numFmtId="0" fontId="55" fillId="0" borderId="120" xfId="0" applyFont="1" applyFill="1" applyBorder="1" applyAlignment="1">
      <alignment horizontal="center" vertical="center"/>
    </xf>
    <xf numFmtId="49" fontId="56" fillId="0" borderId="120" xfId="0" applyNumberFormat="1" applyFont="1" applyFill="1" applyBorder="1" applyAlignment="1">
      <alignment horizontal="left" vertical="center" wrapText="1"/>
    </xf>
    <xf numFmtId="0" fontId="54" fillId="0" borderId="120" xfId="0" applyFont="1" applyFill="1" applyBorder="1" applyAlignment="1">
      <alignment vertical="center"/>
    </xf>
    <xf numFmtId="0" fontId="54" fillId="0" borderId="120" xfId="0" applyFont="1" applyFill="1" applyBorder="1"/>
    <xf numFmtId="0" fontId="71" fillId="0" borderId="120" xfId="0" applyFont="1" applyBorder="1" applyAlignment="1">
      <alignment vertical="center"/>
    </xf>
    <xf numFmtId="0" fontId="0" fillId="0" borderId="0" xfId="0"/>
    <xf numFmtId="0" fontId="57" fillId="0" borderId="0" xfId="0" applyFont="1" applyAlignment="1">
      <alignment horizontal="center" vertical="top" wrapText="1"/>
    </xf>
    <xf numFmtId="0" fontId="22" fillId="0" borderId="0" xfId="2" applyFont="1" applyFill="1" applyProtection="1">
      <protection hidden="1"/>
    </xf>
    <xf numFmtId="0" fontId="14" fillId="0" borderId="0" xfId="1" applyFont="1" applyFill="1" applyAlignment="1" applyProtection="1">
      <alignment vertical="center"/>
      <protection hidden="1"/>
    </xf>
    <xf numFmtId="0" fontId="75" fillId="0" borderId="0" xfId="1" applyFont="1" applyFill="1" applyAlignment="1" applyProtection="1">
      <alignment vertical="center"/>
      <protection hidden="1"/>
    </xf>
    <xf numFmtId="0" fontId="76" fillId="0" borderId="0" xfId="1" applyFont="1" applyFill="1" applyAlignment="1" applyProtection="1">
      <alignment vertical="center"/>
      <protection hidden="1"/>
    </xf>
    <xf numFmtId="0" fontId="29" fillId="0" borderId="0" xfId="1" applyFont="1" applyFill="1" applyAlignment="1" applyProtection="1">
      <alignment vertical="center"/>
      <protection hidden="1"/>
    </xf>
    <xf numFmtId="186" fontId="14" fillId="21" borderId="64" xfId="5" applyNumberFormat="1" applyFont="1" applyFill="1" applyBorder="1" applyAlignment="1" applyProtection="1">
      <alignment horizontal="center" vertical="center"/>
      <protection hidden="1"/>
    </xf>
    <xf numFmtId="0" fontId="14" fillId="0" borderId="0" xfId="1" applyFont="1" applyFill="1" applyAlignment="1" applyProtection="1">
      <alignment vertical="top"/>
      <protection hidden="1"/>
    </xf>
    <xf numFmtId="0" fontId="14" fillId="0" borderId="6" xfId="1" applyFont="1" applyFill="1" applyBorder="1" applyAlignment="1" applyProtection="1">
      <alignment vertical="top"/>
      <protection hidden="1"/>
    </xf>
    <xf numFmtId="0" fontId="14" fillId="0" borderId="0" xfId="1" applyFont="1" applyFill="1" applyBorder="1" applyAlignment="1" applyProtection="1">
      <alignment vertical="top"/>
      <protection hidden="1"/>
    </xf>
    <xf numFmtId="0" fontId="14" fillId="0" borderId="75" xfId="1" applyFont="1" applyFill="1" applyBorder="1" applyAlignment="1" applyProtection="1">
      <alignment vertical="top"/>
      <protection hidden="1"/>
    </xf>
    <xf numFmtId="0" fontId="14" fillId="0" borderId="0" xfId="1" applyFont="1" applyFill="1" applyBorder="1" applyAlignment="1" applyProtection="1">
      <alignment vertical="center"/>
      <protection hidden="1"/>
    </xf>
    <xf numFmtId="0" fontId="14" fillId="0" borderId="125" xfId="1" applyFont="1" applyFill="1" applyBorder="1" applyAlignment="1" applyProtection="1">
      <alignment vertical="top"/>
      <protection hidden="1"/>
    </xf>
    <xf numFmtId="0" fontId="14" fillId="0" borderId="134" xfId="1" applyFont="1" applyFill="1" applyBorder="1" applyAlignment="1" applyProtection="1">
      <alignment vertical="top"/>
      <protection hidden="1"/>
    </xf>
    <xf numFmtId="0" fontId="14" fillId="0" borderId="135" xfId="1" applyFont="1" applyBorder="1" applyAlignment="1">
      <alignment vertical="center"/>
    </xf>
    <xf numFmtId="0" fontId="14" fillId="0" borderId="16" xfId="1" applyFont="1" applyBorder="1" applyAlignment="1">
      <alignment vertical="center"/>
    </xf>
    <xf numFmtId="0" fontId="14" fillId="0" borderId="142" xfId="1" applyFont="1" applyBorder="1" applyAlignment="1">
      <alignment vertical="center"/>
    </xf>
    <xf numFmtId="0" fontId="14" fillId="0" borderId="48" xfId="1" applyFont="1" applyBorder="1" applyAlignment="1">
      <alignment vertical="center"/>
    </xf>
    <xf numFmtId="0" fontId="14" fillId="0" borderId="65" xfId="1" applyFont="1" applyBorder="1" applyAlignment="1">
      <alignment vertical="center"/>
    </xf>
    <xf numFmtId="0" fontId="14" fillId="0" borderId="143" xfId="1" applyFont="1" applyBorder="1" applyAlignment="1">
      <alignment vertical="center"/>
    </xf>
    <xf numFmtId="0" fontId="14" fillId="0" borderId="137" xfId="1" applyFont="1" applyBorder="1" applyAlignment="1">
      <alignment vertical="center"/>
    </xf>
    <xf numFmtId="0" fontId="14" fillId="0" borderId="123" xfId="1" applyFont="1" applyBorder="1" applyAlignment="1">
      <alignment vertical="center"/>
    </xf>
    <xf numFmtId="0" fontId="14" fillId="0" borderId="144" xfId="1" applyFont="1" applyBorder="1" applyAlignment="1">
      <alignment vertical="center"/>
    </xf>
    <xf numFmtId="0" fontId="14" fillId="0" borderId="0" xfId="1" applyFont="1" applyFill="1" applyAlignment="1" applyProtection="1">
      <alignment vertical="center"/>
      <protection hidden="1"/>
    </xf>
    <xf numFmtId="0" fontId="0" fillId="0" borderId="0" xfId="0"/>
    <xf numFmtId="0" fontId="0" fillId="0" borderId="0" xfId="0" applyProtection="1"/>
    <xf numFmtId="0" fontId="0" fillId="0" borderId="0" xfId="0"/>
    <xf numFmtId="0" fontId="83" fillId="0" borderId="0" xfId="1" applyFont="1" applyProtection="1"/>
    <xf numFmtId="0" fontId="83" fillId="0" borderId="0" xfId="1" applyFont="1" applyFill="1" applyProtection="1"/>
    <xf numFmtId="0" fontId="83" fillId="0" borderId="0" xfId="1" applyFont="1" applyFill="1" applyAlignment="1" applyProtection="1">
      <alignment horizontal="center"/>
    </xf>
    <xf numFmtId="0" fontId="5" fillId="0" borderId="0" xfId="1" applyFont="1" applyProtection="1"/>
    <xf numFmtId="0" fontId="82" fillId="0" borderId="0" xfId="0" applyFont="1" applyAlignment="1" applyProtection="1">
      <alignment horizontal="center" vertical="top"/>
    </xf>
    <xf numFmtId="0" fontId="5" fillId="0" borderId="0" xfId="0" applyFont="1" applyProtection="1"/>
    <xf numFmtId="0" fontId="4" fillId="0" borderId="0" xfId="1" applyFont="1" applyProtection="1"/>
    <xf numFmtId="0" fontId="4" fillId="0" borderId="0" xfId="1" applyFont="1" applyAlignment="1" applyProtection="1">
      <alignment horizontal="center"/>
    </xf>
    <xf numFmtId="0" fontId="83" fillId="0" borderId="0" xfId="1" applyFont="1" applyAlignment="1" applyProtection="1">
      <alignment horizontal="center"/>
    </xf>
    <xf numFmtId="0" fontId="84" fillId="0" borderId="0" xfId="1" applyFont="1" applyFill="1" applyAlignment="1" applyProtection="1">
      <alignment horizontal="left"/>
    </xf>
    <xf numFmtId="0" fontId="83" fillId="0" borderId="0" xfId="1" applyFont="1" applyFill="1" applyAlignment="1" applyProtection="1">
      <alignment vertical="center"/>
    </xf>
    <xf numFmtId="0" fontId="85" fillId="0" borderId="0" xfId="1" applyFont="1" applyFill="1" applyAlignment="1" applyProtection="1">
      <alignment vertical="center"/>
    </xf>
    <xf numFmtId="173" fontId="83" fillId="0" borderId="0" xfId="1" applyNumberFormat="1" applyFont="1" applyFill="1" applyBorder="1" applyAlignment="1" applyProtection="1">
      <alignment horizontal="center"/>
    </xf>
    <xf numFmtId="175" fontId="83" fillId="0" borderId="0" xfId="1" applyNumberFormat="1" applyFont="1" applyFill="1" applyBorder="1" applyAlignment="1" applyProtection="1">
      <alignment horizontal="center"/>
    </xf>
    <xf numFmtId="0" fontId="83" fillId="0" borderId="0" xfId="1" applyFont="1" applyAlignment="1" applyProtection="1">
      <alignment vertical="center"/>
    </xf>
    <xf numFmtId="0" fontId="83" fillId="0" borderId="0" xfId="1" applyFont="1" applyFill="1" applyAlignment="1" applyProtection="1">
      <alignment horizontal="center" vertical="center"/>
    </xf>
    <xf numFmtId="176" fontId="83" fillId="0" borderId="0" xfId="1" applyNumberFormat="1" applyFont="1" applyFill="1" applyBorder="1" applyAlignment="1" applyProtection="1">
      <alignment horizontal="center" vertical="center"/>
    </xf>
    <xf numFmtId="3" fontId="83" fillId="0" borderId="0" xfId="1" applyNumberFormat="1" applyFont="1" applyFill="1" applyAlignment="1" applyProtection="1">
      <alignment horizontal="center" vertical="center"/>
    </xf>
    <xf numFmtId="169" fontId="85" fillId="0" borderId="0" xfId="1" applyNumberFormat="1" applyFont="1" applyFill="1" applyBorder="1" applyAlignment="1" applyProtection="1">
      <alignment horizontal="right" vertical="center"/>
    </xf>
    <xf numFmtId="2" fontId="85" fillId="0" borderId="0" xfId="1" applyNumberFormat="1" applyFont="1" applyFill="1" applyAlignment="1" applyProtection="1">
      <alignment vertical="center"/>
    </xf>
    <xf numFmtId="0" fontId="83" fillId="9" borderId="0" xfId="1" applyFont="1" applyFill="1" applyAlignment="1" applyProtection="1">
      <alignment vertical="center"/>
    </xf>
    <xf numFmtId="0" fontId="83" fillId="0" borderId="0" xfId="1" applyFont="1" applyFill="1" applyBorder="1" applyAlignment="1" applyProtection="1">
      <alignment vertical="center"/>
    </xf>
    <xf numFmtId="169" fontId="34" fillId="0" borderId="0" xfId="1" applyNumberFormat="1" applyFont="1" applyBorder="1" applyAlignment="1" applyProtection="1">
      <alignment vertical="center"/>
      <protection hidden="1"/>
    </xf>
    <xf numFmtId="169" fontId="34" fillId="0" borderId="0" xfId="1" applyNumberFormat="1" applyFont="1" applyBorder="1" applyAlignment="1" applyProtection="1">
      <alignment horizontal="right" vertical="center"/>
      <protection hidden="1"/>
    </xf>
    <xf numFmtId="182" fontId="22" fillId="0" borderId="0" xfId="1" applyNumberFormat="1" applyFont="1" applyBorder="1" applyAlignment="1" applyProtection="1">
      <alignment vertical="center"/>
      <protection hidden="1"/>
    </xf>
    <xf numFmtId="0" fontId="83" fillId="0" borderId="0" xfId="0" applyFont="1" applyAlignment="1" applyProtection="1">
      <alignment horizontal="center" vertical="top"/>
    </xf>
    <xf numFmtId="0" fontId="83" fillId="0" borderId="0" xfId="0" applyFont="1" applyProtection="1"/>
    <xf numFmtId="0" fontId="83" fillId="0" borderId="0" xfId="1" applyFont="1" applyAlignment="1" applyProtection="1">
      <alignment horizontal="left"/>
    </xf>
    <xf numFmtId="0" fontId="9" fillId="0" borderId="0" xfId="2" applyFont="1" applyProtection="1">
      <protection hidden="1"/>
    </xf>
    <xf numFmtId="0" fontId="9" fillId="0" borderId="0" xfId="2" applyFont="1" applyAlignment="1" applyProtection="1">
      <alignment vertical="center"/>
      <protection hidden="1"/>
    </xf>
    <xf numFmtId="0" fontId="9" fillId="0" borderId="0" xfId="2" applyFont="1" applyFill="1" applyProtection="1">
      <protection hidden="1"/>
    </xf>
    <xf numFmtId="0" fontId="34" fillId="0" borderId="0" xfId="2" applyFont="1" applyFill="1" applyProtection="1">
      <protection hidden="1"/>
    </xf>
    <xf numFmtId="0" fontId="34" fillId="0" borderId="0" xfId="2" applyFont="1" applyFill="1" applyBorder="1" applyAlignment="1" applyProtection="1">
      <alignment horizontal="center"/>
      <protection hidden="1"/>
    </xf>
    <xf numFmtId="0" fontId="9" fillId="0" borderId="0" xfId="2" applyFont="1" applyFill="1" applyAlignment="1" applyProtection="1">
      <alignment vertical="center"/>
      <protection hidden="1"/>
    </xf>
    <xf numFmtId="168" fontId="9" fillId="0" borderId="0" xfId="2" applyNumberFormat="1" applyFont="1" applyFill="1" applyBorder="1" applyAlignment="1" applyProtection="1">
      <alignment vertical="center"/>
      <protection hidden="1"/>
    </xf>
    <xf numFmtId="169" fontId="34" fillId="0" borderId="0" xfId="2" applyNumberFormat="1" applyFont="1" applyFill="1" applyBorder="1" applyAlignment="1" applyProtection="1">
      <alignment vertical="center"/>
      <protection hidden="1"/>
    </xf>
    <xf numFmtId="0" fontId="34" fillId="0" borderId="0" xfId="2" applyFont="1" applyFill="1" applyAlignment="1" applyProtection="1">
      <alignment vertical="center"/>
      <protection hidden="1"/>
    </xf>
    <xf numFmtId="170" fontId="9" fillId="0" borderId="0" xfId="2" applyNumberFormat="1" applyFont="1" applyFill="1" applyAlignment="1" applyProtection="1">
      <alignment vertical="center"/>
      <protection hidden="1"/>
    </xf>
    <xf numFmtId="0" fontId="9" fillId="0" borderId="0" xfId="2" applyFont="1" applyAlignment="1" applyProtection="1">
      <alignment horizontal="right"/>
      <protection hidden="1"/>
    </xf>
    <xf numFmtId="171" fontId="9" fillId="0" borderId="0" xfId="2" applyNumberFormat="1" applyFont="1" applyFill="1" applyAlignment="1" applyProtection="1">
      <alignment horizontal="center"/>
      <protection hidden="1"/>
    </xf>
    <xf numFmtId="0" fontId="34" fillId="0" borderId="0" xfId="2" applyFont="1" applyAlignment="1" applyProtection="1">
      <alignment horizontal="right"/>
      <protection hidden="1"/>
    </xf>
    <xf numFmtId="171" fontId="34" fillId="0" borderId="0" xfId="2" applyNumberFormat="1" applyFont="1" applyFill="1" applyAlignment="1" applyProtection="1">
      <alignment horizontal="center"/>
      <protection hidden="1"/>
    </xf>
    <xf numFmtId="169" fontId="9" fillId="0" borderId="0" xfId="2" applyNumberFormat="1" applyFont="1" applyFill="1" applyBorder="1" applyAlignment="1" applyProtection="1">
      <alignment vertical="center"/>
      <protection hidden="1"/>
    </xf>
    <xf numFmtId="0" fontId="57" fillId="0" borderId="0" xfId="0" applyFont="1" applyAlignment="1" applyProtection="1">
      <alignment horizontal="center" vertical="top" wrapText="1"/>
      <protection hidden="1"/>
    </xf>
    <xf numFmtId="0" fontId="0" fillId="0" borderId="0" xfId="0" applyProtection="1">
      <protection hidden="1"/>
    </xf>
    <xf numFmtId="0" fontId="59" fillId="0" borderId="0" xfId="1" applyFont="1" applyFill="1" applyAlignment="1" applyProtection="1">
      <alignment horizontal="left"/>
      <protection hidden="1"/>
    </xf>
    <xf numFmtId="170" fontId="34" fillId="0" borderId="0" xfId="1" applyNumberFormat="1" applyFont="1" applyFill="1" applyBorder="1" applyAlignment="1" applyProtection="1">
      <alignment horizontal="center"/>
      <protection hidden="1"/>
    </xf>
    <xf numFmtId="0" fontId="9" fillId="0" borderId="0" xfId="1" applyFont="1" applyFill="1" applyBorder="1" applyAlignment="1" applyProtection="1">
      <alignment horizontal="right"/>
      <protection hidden="1"/>
    </xf>
    <xf numFmtId="10" fontId="31" fillId="0" borderId="0" xfId="1" applyNumberFormat="1" applyFont="1" applyFill="1" applyBorder="1" applyAlignment="1" applyProtection="1">
      <alignment horizontal="center"/>
      <protection hidden="1"/>
    </xf>
    <xf numFmtId="0" fontId="9" fillId="0" borderId="3" xfId="2" applyFont="1" applyBorder="1" applyAlignment="1" applyProtection="1">
      <alignment vertical="center"/>
    </xf>
    <xf numFmtId="0" fontId="86" fillId="0" borderId="0" xfId="1" applyFont="1" applyAlignment="1" applyProtection="1">
      <alignment horizontal="left" vertical="center"/>
    </xf>
    <xf numFmtId="0" fontId="86" fillId="0" borderId="0" xfId="1" applyFont="1" applyAlignment="1" applyProtection="1">
      <alignment vertical="center"/>
      <protection hidden="1"/>
    </xf>
    <xf numFmtId="0" fontId="88" fillId="0" borderId="0" xfId="1" applyFont="1" applyFill="1" applyAlignment="1" applyProtection="1">
      <alignment vertical="center"/>
      <protection hidden="1"/>
    </xf>
    <xf numFmtId="0" fontId="88" fillId="0" borderId="0" xfId="1" applyFont="1" applyFill="1" applyAlignment="1" applyProtection="1">
      <alignment vertical="top"/>
      <protection hidden="1"/>
    </xf>
    <xf numFmtId="0" fontId="88" fillId="0" borderId="0" xfId="1" applyFont="1" applyFill="1" applyBorder="1" applyAlignment="1" applyProtection="1">
      <alignment vertical="top"/>
      <protection hidden="1"/>
    </xf>
    <xf numFmtId="0" fontId="12" fillId="0" borderId="106" xfId="0" applyFont="1" applyBorder="1"/>
    <xf numFmtId="0" fontId="12" fillId="0" borderId="107" xfId="0" applyFont="1" applyBorder="1"/>
    <xf numFmtId="0" fontId="0" fillId="0" borderId="0" xfId="0"/>
    <xf numFmtId="0" fontId="0" fillId="0" borderId="163" xfId="0" applyBorder="1" applyAlignment="1">
      <alignment vertical="center"/>
    </xf>
    <xf numFmtId="180" fontId="65" fillId="0" borderId="164" xfId="0" applyNumberFormat="1" applyFont="1" applyBorder="1" applyAlignment="1">
      <alignment vertical="center"/>
    </xf>
    <xf numFmtId="0" fontId="65" fillId="0" borderId="165" xfId="0" applyFont="1" applyBorder="1" applyAlignment="1">
      <alignment vertical="center"/>
    </xf>
    <xf numFmtId="3" fontId="0" fillId="7" borderId="51" xfId="0" applyNumberFormat="1" applyFill="1" applyBorder="1" applyProtection="1">
      <protection locked="0"/>
    </xf>
    <xf numFmtId="3" fontId="0" fillId="7" borderId="52" xfId="0" applyNumberFormat="1" applyFill="1" applyBorder="1" applyProtection="1">
      <protection locked="0"/>
    </xf>
    <xf numFmtId="0" fontId="0" fillId="0" borderId="0" xfId="0" applyFill="1"/>
    <xf numFmtId="3" fontId="0" fillId="0" borderId="50" xfId="0" applyNumberFormat="1" applyFill="1" applyBorder="1" applyProtection="1"/>
    <xf numFmtId="0" fontId="0" fillId="0" borderId="0" xfId="0"/>
    <xf numFmtId="0" fontId="57" fillId="0" borderId="0" xfId="0" applyFont="1" applyAlignment="1" applyProtection="1">
      <alignment horizontal="center" vertical="top"/>
    </xf>
    <xf numFmtId="0" fontId="0" fillId="4" borderId="0" xfId="0" applyFill="1" applyProtection="1"/>
    <xf numFmtId="0" fontId="0" fillId="4" borderId="0" xfId="0" applyFill="1" applyAlignment="1" applyProtection="1">
      <alignment horizontal="left"/>
    </xf>
    <xf numFmtId="0" fontId="0" fillId="0" borderId="0" xfId="0" applyFill="1" applyProtection="1"/>
    <xf numFmtId="0" fontId="88" fillId="0" borderId="169" xfId="1" applyFont="1" applyFill="1" applyBorder="1" applyAlignment="1" applyProtection="1">
      <alignment vertical="top"/>
      <protection hidden="1"/>
    </xf>
    <xf numFmtId="0" fontId="88" fillId="0" borderId="170" xfId="1" applyFont="1" applyFill="1" applyBorder="1" applyAlignment="1" applyProtection="1">
      <alignment vertical="top"/>
      <protection hidden="1"/>
    </xf>
    <xf numFmtId="0" fontId="88" fillId="0" borderId="172" xfId="1" applyFont="1" applyFill="1" applyBorder="1" applyAlignment="1" applyProtection="1">
      <alignment vertical="top"/>
      <protection hidden="1"/>
    </xf>
    <xf numFmtId="0" fontId="11" fillId="4" borderId="0" xfId="1" applyNumberFormat="1" applyFont="1" applyFill="1" applyBorder="1" applyAlignment="1" applyProtection="1">
      <alignment horizontal="left"/>
      <protection hidden="1"/>
    </xf>
    <xf numFmtId="0" fontId="12" fillId="0" borderId="0" xfId="0" applyFont="1" applyProtection="1">
      <protection hidden="1"/>
    </xf>
    <xf numFmtId="49" fontId="0" fillId="0" borderId="93" xfId="0" applyNumberFormat="1" applyBorder="1" applyAlignment="1">
      <alignment horizontal="center" vertical="center"/>
    </xf>
    <xf numFmtId="49" fontId="0" fillId="0" borderId="96" xfId="0" applyNumberFormat="1" applyBorder="1" applyAlignment="1">
      <alignment horizontal="center" vertical="center"/>
    </xf>
    <xf numFmtId="49" fontId="12" fillId="13" borderId="56" xfId="0" applyNumberFormat="1" applyFont="1" applyFill="1" applyBorder="1" applyAlignment="1">
      <alignment horizontal="center" vertical="center"/>
    </xf>
    <xf numFmtId="0" fontId="13" fillId="0" borderId="0" xfId="2" applyFont="1" applyFill="1" applyProtection="1"/>
    <xf numFmtId="0" fontId="93" fillId="0" borderId="0" xfId="2" applyFont="1" applyFill="1" applyProtection="1"/>
    <xf numFmtId="1" fontId="34" fillId="11" borderId="17" xfId="2" applyNumberFormat="1" applyFont="1" applyFill="1" applyBorder="1" applyAlignment="1" applyProtection="1">
      <alignment horizontal="center" vertical="center"/>
    </xf>
    <xf numFmtId="1" fontId="34" fillId="11" borderId="34" xfId="2" applyNumberFormat="1" applyFont="1" applyFill="1" applyBorder="1" applyAlignment="1" applyProtection="1">
      <alignment horizontal="center" vertical="center"/>
    </xf>
    <xf numFmtId="0" fontId="0" fillId="0" borderId="95" xfId="0" applyBorder="1" applyAlignment="1">
      <alignment vertical="center" wrapText="1"/>
    </xf>
    <xf numFmtId="0" fontId="0" fillId="0" borderId="98" xfId="0" applyBorder="1" applyAlignment="1">
      <alignment vertical="center" wrapText="1"/>
    </xf>
    <xf numFmtId="0" fontId="14" fillId="0" borderId="0" xfId="1" applyFont="1" applyFill="1" applyAlignment="1" applyProtection="1">
      <alignment vertical="top"/>
      <protection hidden="1"/>
    </xf>
    <xf numFmtId="0" fontId="74" fillId="0" borderId="6" xfId="1" applyFont="1" applyFill="1" applyBorder="1" applyAlignment="1" applyProtection="1">
      <alignment vertical="top"/>
      <protection hidden="1"/>
    </xf>
    <xf numFmtId="0" fontId="74" fillId="0" borderId="0" xfId="1" applyFont="1" applyFill="1" applyBorder="1" applyAlignment="1" applyProtection="1">
      <alignment vertical="top"/>
      <protection hidden="1"/>
    </xf>
    <xf numFmtId="0" fontId="14" fillId="0" borderId="0" xfId="1" applyFont="1" applyFill="1" applyAlignment="1" applyProtection="1">
      <alignment vertical="top"/>
      <protection hidden="1"/>
    </xf>
    <xf numFmtId="0" fontId="14" fillId="0" borderId="135" xfId="1" applyFont="1" applyFill="1" applyBorder="1" applyAlignment="1" applyProtection="1">
      <alignment vertical="center"/>
      <protection hidden="1"/>
    </xf>
    <xf numFmtId="0" fontId="14" fillId="0" borderId="16" xfId="1" applyFont="1" applyFill="1" applyBorder="1" applyAlignment="1" applyProtection="1">
      <alignment vertical="center"/>
      <protection hidden="1"/>
    </xf>
    <xf numFmtId="0" fontId="75" fillId="0" borderId="142" xfId="1" applyFont="1" applyFill="1" applyBorder="1" applyAlignment="1" applyProtection="1">
      <alignment vertical="center"/>
      <protection hidden="1"/>
    </xf>
    <xf numFmtId="0" fontId="14" fillId="0" borderId="48" xfId="1" applyFont="1" applyFill="1" applyBorder="1" applyAlignment="1" applyProtection="1">
      <alignment vertical="center"/>
      <protection hidden="1"/>
    </xf>
    <xf numFmtId="0" fontId="14" fillId="0" borderId="65" xfId="1" applyFont="1" applyFill="1" applyBorder="1" applyAlignment="1" applyProtection="1">
      <alignment vertical="center"/>
      <protection hidden="1"/>
    </xf>
    <xf numFmtId="0" fontId="75" fillId="0" borderId="143" xfId="1" applyFont="1" applyFill="1" applyBorder="1" applyAlignment="1" applyProtection="1">
      <alignment vertical="center"/>
      <protection hidden="1"/>
    </xf>
    <xf numFmtId="0" fontId="14" fillId="0" borderId="137" xfId="1" applyFont="1" applyFill="1" applyBorder="1" applyAlignment="1" applyProtection="1">
      <alignment vertical="center"/>
      <protection hidden="1"/>
    </xf>
    <xf numFmtId="0" fontId="14" fillId="0" borderId="123" xfId="1" applyFont="1" applyFill="1" applyBorder="1" applyAlignment="1" applyProtection="1">
      <alignment vertical="center"/>
      <protection hidden="1"/>
    </xf>
    <xf numFmtId="0" fontId="75" fillId="0" borderId="144" xfId="1" applyFont="1" applyFill="1" applyBorder="1" applyAlignment="1" applyProtection="1">
      <alignment vertical="center"/>
      <protection hidden="1"/>
    </xf>
    <xf numFmtId="0" fontId="9" fillId="0" borderId="0" xfId="7" applyFont="1" applyFill="1" applyBorder="1" applyProtection="1"/>
    <xf numFmtId="0" fontId="34" fillId="0" borderId="64" xfId="7" applyFont="1" applyFill="1" applyBorder="1" applyProtection="1"/>
    <xf numFmtId="0" fontId="9" fillId="0" borderId="64" xfId="7" applyFont="1" applyFill="1" applyBorder="1" applyAlignment="1" applyProtection="1">
      <alignment horizontal="left"/>
    </xf>
    <xf numFmtId="0" fontId="9" fillId="0" borderId="64" xfId="7" applyFont="1" applyFill="1" applyBorder="1" applyProtection="1"/>
    <xf numFmtId="190" fontId="9" fillId="0" borderId="64" xfId="7" applyNumberFormat="1" applyFont="1" applyFill="1" applyBorder="1" applyAlignment="1" applyProtection="1">
      <alignment horizontal="center"/>
    </xf>
    <xf numFmtId="190" fontId="9" fillId="0" borderId="6" xfId="7" applyNumberFormat="1" applyFont="1" applyFill="1" applyBorder="1" applyAlignment="1" applyProtection="1">
      <alignment horizontal="right"/>
    </xf>
    <xf numFmtId="0" fontId="9" fillId="0" borderId="75" xfId="7" applyFont="1" applyFill="1" applyBorder="1" applyAlignment="1" applyProtection="1">
      <alignment horizontal="right"/>
    </xf>
    <xf numFmtId="190" fontId="34" fillId="0" borderId="6" xfId="7" applyNumberFormat="1" applyFont="1" applyFill="1" applyBorder="1" applyAlignment="1" applyProtection="1">
      <alignment horizontal="right"/>
    </xf>
    <xf numFmtId="180" fontId="9" fillId="7" borderId="6" xfId="8" applyNumberFormat="1" applyFont="1" applyBorder="1" applyAlignment="1" applyProtection="1">
      <alignment horizontal="right"/>
      <protection locked="0"/>
    </xf>
    <xf numFmtId="0" fontId="9" fillId="7" borderId="6" xfId="8" applyNumberFormat="1" applyFont="1" applyBorder="1" applyAlignment="1" applyProtection="1">
      <alignment horizontal="right"/>
      <protection locked="0"/>
    </xf>
    <xf numFmtId="0" fontId="9" fillId="0" borderId="75" xfId="7" applyFont="1" applyFill="1" applyBorder="1" applyAlignment="1" applyProtection="1">
      <alignment horizontal="left"/>
    </xf>
    <xf numFmtId="0" fontId="34" fillId="0" borderId="0" xfId="7" applyFont="1" applyFill="1" applyBorder="1" applyProtection="1"/>
    <xf numFmtId="0" fontId="9" fillId="0" borderId="133" xfId="7" applyFont="1" applyFill="1" applyBorder="1" applyAlignment="1" applyProtection="1">
      <alignment horizontal="left"/>
    </xf>
    <xf numFmtId="0" fontId="32" fillId="0" borderId="0" xfId="1" applyFont="1" applyProtection="1">
      <protection hidden="1"/>
    </xf>
    <xf numFmtId="0" fontId="9" fillId="0" borderId="0" xfId="1" applyFont="1" applyProtection="1">
      <protection hidden="1"/>
    </xf>
    <xf numFmtId="0" fontId="9" fillId="0" borderId="0" xfId="1" applyFont="1" applyAlignment="1" applyProtection="1">
      <alignment vertical="center"/>
      <protection hidden="1"/>
    </xf>
    <xf numFmtId="0" fontId="86" fillId="0" borderId="177" xfId="1" applyFont="1" applyBorder="1" applyAlignment="1" applyProtection="1">
      <alignment horizontal="center" vertical="center"/>
    </xf>
    <xf numFmtId="0" fontId="86" fillId="0" borderId="178" xfId="1" applyFont="1" applyBorder="1" applyAlignment="1" applyProtection="1">
      <alignment horizontal="center" vertical="center"/>
    </xf>
    <xf numFmtId="0" fontId="86" fillId="0" borderId="179" xfId="1" applyFont="1" applyBorder="1" applyAlignment="1" applyProtection="1">
      <alignment horizontal="center" vertical="center"/>
    </xf>
    <xf numFmtId="0" fontId="86" fillId="0" borderId="180" xfId="1" applyFont="1" applyBorder="1" applyAlignment="1" applyProtection="1">
      <alignment horizontal="center" vertical="center"/>
    </xf>
    <xf numFmtId="0" fontId="86" fillId="0" borderId="181" xfId="1" applyFont="1" applyBorder="1" applyAlignment="1" applyProtection="1">
      <alignment horizontal="center" vertical="center"/>
    </xf>
    <xf numFmtId="0" fontId="34" fillId="0" borderId="1" xfId="1" applyFont="1" applyBorder="1" applyAlignment="1" applyProtection="1">
      <alignment horizontal="left" vertical="center"/>
      <protection hidden="1"/>
    </xf>
    <xf numFmtId="0" fontId="34" fillId="0" borderId="3" xfId="1" applyFont="1" applyBorder="1" applyAlignment="1" applyProtection="1">
      <alignment horizontal="left" vertical="center"/>
      <protection hidden="1"/>
    </xf>
    <xf numFmtId="0" fontId="34" fillId="0" borderId="7" xfId="1" applyFont="1" applyBorder="1" applyAlignment="1" applyProtection="1">
      <alignment horizontal="center" vertical="center"/>
      <protection hidden="1"/>
    </xf>
    <xf numFmtId="0" fontId="34" fillId="0" borderId="41" xfId="1" applyFont="1" applyBorder="1" applyAlignment="1" applyProtection="1">
      <alignment horizontal="left" vertical="center"/>
      <protection hidden="1"/>
    </xf>
    <xf numFmtId="0" fontId="9" fillId="0" borderId="35" xfId="1" applyFont="1" applyBorder="1" applyAlignment="1" applyProtection="1">
      <alignment horizontal="center" vertical="center"/>
      <protection hidden="1"/>
    </xf>
    <xf numFmtId="0" fontId="9" fillId="0" borderId="42" xfId="1" applyFont="1" applyBorder="1" applyAlignment="1" applyProtection="1">
      <alignment horizontal="center" vertical="center"/>
      <protection hidden="1"/>
    </xf>
    <xf numFmtId="0" fontId="57" fillId="0" borderId="0" xfId="0" applyFont="1" applyAlignment="1">
      <alignment horizontal="center" vertical="top" wrapText="1"/>
    </xf>
    <xf numFmtId="164" fontId="83" fillId="0" borderId="0" xfId="1" applyNumberFormat="1" applyFont="1" applyFill="1" applyBorder="1" applyAlignment="1" applyProtection="1">
      <alignment horizontal="center" vertical="center"/>
    </xf>
    <xf numFmtId="0" fontId="14" fillId="0" borderId="0" xfId="1" applyFont="1" applyFill="1" applyAlignment="1" applyProtection="1">
      <alignment vertical="top"/>
      <protection hidden="1"/>
    </xf>
    <xf numFmtId="0" fontId="14" fillId="0" borderId="0" xfId="1" applyFont="1" applyFill="1" applyBorder="1" applyAlignment="1" applyProtection="1">
      <alignment horizontal="center" vertical="top" wrapText="1"/>
      <protection hidden="1"/>
    </xf>
    <xf numFmtId="0" fontId="0" fillId="0" borderId="0" xfId="0"/>
    <xf numFmtId="0" fontId="57" fillId="0" borderId="0" xfId="0" applyFont="1" applyAlignment="1">
      <alignment horizontal="center" vertical="top" wrapText="1"/>
    </xf>
    <xf numFmtId="0" fontId="83" fillId="0" borderId="0" xfId="1" applyFont="1" applyFill="1" applyAlignment="1" applyProtection="1">
      <alignment horizontal="left"/>
    </xf>
    <xf numFmtId="0" fontId="49" fillId="0" borderId="0" xfId="0" applyFont="1"/>
    <xf numFmtId="0" fontId="49" fillId="0" borderId="0" xfId="1" applyFont="1" applyFill="1" applyAlignment="1" applyProtection="1">
      <alignment vertical="center"/>
      <protection hidden="1"/>
    </xf>
    <xf numFmtId="0" fontId="49" fillId="0" borderId="0" xfId="1" applyFont="1" applyFill="1" applyProtection="1">
      <protection hidden="1"/>
    </xf>
    <xf numFmtId="0" fontId="98" fillId="0" borderId="190" xfId="1" applyFont="1" applyFill="1" applyBorder="1" applyAlignment="1" applyProtection="1">
      <alignment vertical="center"/>
    </xf>
    <xf numFmtId="0" fontId="88" fillId="0" borderId="191" xfId="1" applyFont="1" applyFill="1" applyBorder="1" applyAlignment="1" applyProtection="1">
      <alignment vertical="top"/>
      <protection hidden="1"/>
    </xf>
    <xf numFmtId="0" fontId="88" fillId="0" borderId="192" xfId="1" applyFont="1" applyFill="1" applyBorder="1" applyAlignment="1" applyProtection="1">
      <alignment vertical="top"/>
      <protection hidden="1"/>
    </xf>
    <xf numFmtId="0" fontId="88" fillId="0" borderId="193" xfId="1" applyFont="1" applyFill="1" applyBorder="1" applyAlignment="1" applyProtection="1">
      <alignment vertical="top"/>
      <protection hidden="1"/>
    </xf>
    <xf numFmtId="0" fontId="98" fillId="0" borderId="194" xfId="1" applyFont="1" applyFill="1" applyBorder="1" applyAlignment="1" applyProtection="1">
      <alignment horizontal="center" vertical="center"/>
    </xf>
    <xf numFmtId="0" fontId="98" fillId="0" borderId="195" xfId="1" applyFont="1" applyFill="1" applyBorder="1" applyAlignment="1" applyProtection="1">
      <alignment vertical="center"/>
    </xf>
    <xf numFmtId="0" fontId="83" fillId="0" borderId="0" xfId="1" applyNumberFormat="1" applyFont="1" applyFill="1" applyBorder="1" applyAlignment="1" applyProtection="1">
      <alignment horizontal="center" vertical="center"/>
    </xf>
    <xf numFmtId="0" fontId="85" fillId="0" borderId="0" xfId="1" applyNumberFormat="1" applyFont="1" applyFill="1" applyBorder="1" applyAlignment="1" applyProtection="1">
      <alignment horizontal="center" vertical="center"/>
    </xf>
    <xf numFmtId="0" fontId="83" fillId="0" borderId="0" xfId="1" applyNumberFormat="1" applyFont="1" applyFill="1" applyProtection="1"/>
    <xf numFmtId="0" fontId="83" fillId="0" borderId="0" xfId="1" applyNumberFormat="1" applyFont="1" applyFill="1" applyAlignment="1" applyProtection="1">
      <alignment horizontal="center"/>
    </xf>
    <xf numFmtId="0" fontId="83" fillId="0" borderId="0" xfId="1" applyNumberFormat="1" applyFont="1" applyProtection="1"/>
    <xf numFmtId="0" fontId="83" fillId="0" borderId="0" xfId="1" applyNumberFormat="1" applyFont="1" applyAlignment="1" applyProtection="1">
      <alignment horizontal="center"/>
    </xf>
    <xf numFmtId="0" fontId="34" fillId="0" borderId="0" xfId="1" applyNumberFormat="1" applyFont="1" applyAlignment="1" applyProtection="1">
      <alignment vertical="center"/>
      <protection hidden="1"/>
    </xf>
    <xf numFmtId="0" fontId="14" fillId="0" borderId="178" xfId="1" applyFont="1" applyFill="1" applyBorder="1" applyAlignment="1" applyProtection="1">
      <alignment vertical="top"/>
      <protection hidden="1"/>
    </xf>
    <xf numFmtId="1" fontId="88" fillId="0" borderId="204" xfId="1" applyNumberFormat="1" applyFont="1" applyFill="1" applyBorder="1" applyAlignment="1" applyProtection="1">
      <alignment vertical="top"/>
      <protection hidden="1"/>
    </xf>
    <xf numFmtId="1" fontId="88" fillId="0" borderId="201" xfId="1" applyNumberFormat="1" applyFont="1" applyFill="1" applyBorder="1" applyAlignment="1" applyProtection="1">
      <alignment vertical="top"/>
      <protection hidden="1"/>
    </xf>
    <xf numFmtId="0" fontId="88" fillId="0" borderId="213" xfId="1" applyFont="1" applyFill="1" applyBorder="1" applyAlignment="1" applyProtection="1">
      <alignment horizontal="center" vertical="top" wrapText="1"/>
      <protection hidden="1"/>
    </xf>
    <xf numFmtId="0" fontId="98" fillId="0" borderId="192" xfId="1" applyFont="1" applyFill="1" applyBorder="1" applyAlignment="1" applyProtection="1">
      <alignment vertical="center"/>
    </xf>
    <xf numFmtId="0" fontId="98" fillId="0" borderId="196" xfId="1" applyFont="1" applyBorder="1" applyAlignment="1" applyProtection="1">
      <alignment vertical="center"/>
      <protection hidden="1"/>
    </xf>
    <xf numFmtId="0" fontId="98" fillId="0" borderId="0" xfId="1" applyFont="1" applyBorder="1" applyAlignment="1" applyProtection="1">
      <alignment vertical="center"/>
      <protection hidden="1"/>
    </xf>
    <xf numFmtId="0" fontId="98" fillId="0" borderId="197" xfId="1" applyFont="1" applyBorder="1" applyAlignment="1" applyProtection="1">
      <alignment vertical="center"/>
      <protection hidden="1"/>
    </xf>
    <xf numFmtId="0" fontId="98" fillId="0" borderId="191" xfId="1" applyFont="1" applyFill="1" applyBorder="1" applyAlignment="1" applyProtection="1">
      <alignment horizontal="center" vertical="center"/>
    </xf>
    <xf numFmtId="0" fontId="98" fillId="0" borderId="193" xfId="1" applyFont="1" applyFill="1" applyBorder="1" applyAlignment="1" applyProtection="1">
      <alignment vertical="center"/>
    </xf>
    <xf numFmtId="188" fontId="98" fillId="0" borderId="204" xfId="6" applyNumberFormat="1" applyFont="1" applyFill="1" applyBorder="1" applyAlignment="1" applyProtection="1">
      <alignment vertical="center"/>
    </xf>
    <xf numFmtId="188" fontId="98" fillId="0" borderId="205" xfId="6" applyNumberFormat="1" applyFont="1" applyFill="1" applyBorder="1" applyAlignment="1" applyProtection="1">
      <alignment vertical="center"/>
    </xf>
    <xf numFmtId="188" fontId="98" fillId="0" borderId="201" xfId="6" applyNumberFormat="1" applyFont="1" applyFill="1" applyBorder="1" applyAlignment="1" applyProtection="1">
      <alignment vertical="center"/>
    </xf>
    <xf numFmtId="188" fontId="98" fillId="0" borderId="202" xfId="6" applyNumberFormat="1" applyFont="1" applyFill="1" applyBorder="1" applyAlignment="1" applyProtection="1">
      <alignment vertical="center"/>
    </xf>
    <xf numFmtId="0" fontId="98" fillId="0" borderId="191" xfId="1" applyFont="1" applyFill="1" applyBorder="1" applyAlignment="1" applyProtection="1">
      <alignment vertical="center"/>
    </xf>
    <xf numFmtId="188" fontId="98" fillId="0" borderId="210" xfId="6" applyNumberFormat="1" applyFont="1" applyFill="1" applyBorder="1" applyAlignment="1" applyProtection="1">
      <alignment vertical="center"/>
    </xf>
    <xf numFmtId="188" fontId="98" fillId="0" borderId="211" xfId="6" applyNumberFormat="1" applyFont="1" applyFill="1" applyBorder="1" applyAlignment="1" applyProtection="1">
      <alignment vertical="center"/>
    </xf>
    <xf numFmtId="188" fontId="98" fillId="0" borderId="212" xfId="6" applyNumberFormat="1" applyFont="1" applyFill="1" applyBorder="1" applyAlignment="1" applyProtection="1">
      <alignment vertical="center"/>
    </xf>
    <xf numFmtId="0" fontId="98" fillId="0" borderId="0" xfId="1" applyFont="1" applyFill="1" applyAlignment="1" applyProtection="1">
      <alignment horizontal="left"/>
    </xf>
    <xf numFmtId="0" fontId="99" fillId="0" borderId="0" xfId="1" applyFont="1" applyFill="1" applyAlignment="1" applyProtection="1">
      <alignment horizontal="left"/>
    </xf>
    <xf numFmtId="0" fontId="100" fillId="0" borderId="0" xfId="0" applyFont="1" applyAlignment="1" applyProtection="1">
      <alignment horizontal="center" vertical="top"/>
    </xf>
    <xf numFmtId="0" fontId="9" fillId="0" borderId="0" xfId="0" applyFont="1"/>
    <xf numFmtId="0" fontId="83" fillId="0" borderId="0" xfId="0" applyFont="1" applyBorder="1" applyAlignment="1" applyProtection="1">
      <alignment horizontal="right" vertical="center"/>
    </xf>
    <xf numFmtId="0" fontId="83" fillId="0" borderId="0" xfId="0" applyFont="1" applyBorder="1" applyAlignment="1" applyProtection="1">
      <alignment horizontal="left" vertical="center"/>
    </xf>
    <xf numFmtId="0" fontId="85" fillId="0" borderId="0" xfId="1" applyFont="1" applyFill="1" applyAlignment="1" applyProtection="1">
      <alignment horizontal="left"/>
    </xf>
    <xf numFmtId="0" fontId="83" fillId="0" borderId="0" xfId="1" applyFont="1" applyFill="1" applyAlignment="1" applyProtection="1"/>
    <xf numFmtId="0" fontId="83" fillId="0" borderId="0" xfId="1" applyFont="1" applyAlignment="1" applyProtection="1"/>
    <xf numFmtId="0" fontId="32" fillId="0" borderId="0" xfId="1" applyFont="1" applyAlignment="1" applyProtection="1">
      <protection hidden="1"/>
    </xf>
    <xf numFmtId="0" fontId="9" fillId="0" borderId="0" xfId="1" applyFont="1" applyAlignment="1" applyProtection="1">
      <protection hidden="1"/>
    </xf>
    <xf numFmtId="0" fontId="9" fillId="0" borderId="0" xfId="1" applyFont="1" applyAlignment="1" applyProtection="1">
      <alignment horizontal="left"/>
      <protection hidden="1"/>
    </xf>
    <xf numFmtId="0" fontId="32" fillId="0" borderId="0" xfId="1" applyFont="1" applyAlignment="1" applyProtection="1">
      <alignment vertical="center"/>
      <protection hidden="1"/>
    </xf>
    <xf numFmtId="0" fontId="32" fillId="0" borderId="0" xfId="1" applyNumberFormat="1" applyFont="1" applyProtection="1">
      <protection hidden="1"/>
    </xf>
    <xf numFmtId="0" fontId="9" fillId="0" borderId="0" xfId="1" applyNumberFormat="1" applyFont="1" applyProtection="1">
      <protection hidden="1"/>
    </xf>
    <xf numFmtId="43" fontId="9" fillId="0" borderId="0" xfId="1" applyNumberFormat="1" applyFont="1" applyProtection="1">
      <protection hidden="1"/>
    </xf>
    <xf numFmtId="0" fontId="9" fillId="0" borderId="0" xfId="1" applyNumberFormat="1" applyFont="1" applyAlignment="1" applyProtection="1">
      <alignment vertical="center"/>
      <protection hidden="1"/>
    </xf>
    <xf numFmtId="0" fontId="83" fillId="0" borderId="0" xfId="1" applyNumberFormat="1" applyFont="1" applyAlignment="1" applyProtection="1">
      <alignment vertical="center"/>
    </xf>
    <xf numFmtId="0" fontId="32" fillId="0" borderId="0" xfId="1" applyNumberFormat="1" applyFont="1" applyAlignment="1" applyProtection="1">
      <alignment vertical="center"/>
      <protection hidden="1"/>
    </xf>
    <xf numFmtId="0" fontId="9" fillId="0" borderId="0" xfId="1" applyFont="1" applyProtection="1"/>
    <xf numFmtId="0" fontId="32" fillId="0" borderId="0" xfId="1" applyFont="1" applyProtection="1"/>
    <xf numFmtId="2" fontId="98" fillId="0" borderId="198" xfId="1" applyNumberFormat="1" applyFont="1" applyFill="1" applyBorder="1" applyAlignment="1" applyProtection="1">
      <alignment vertical="top"/>
      <protection hidden="1"/>
    </xf>
    <xf numFmtId="2" fontId="98" fillId="0" borderId="199" xfId="1" applyNumberFormat="1" applyFont="1" applyFill="1" applyBorder="1" applyAlignment="1" applyProtection="1">
      <alignment vertical="top"/>
      <protection hidden="1"/>
    </xf>
    <xf numFmtId="2" fontId="98" fillId="0" borderId="196" xfId="1" applyNumberFormat="1" applyFont="1" applyFill="1" applyBorder="1" applyAlignment="1" applyProtection="1">
      <alignment vertical="top"/>
      <protection hidden="1"/>
    </xf>
    <xf numFmtId="2" fontId="98" fillId="0" borderId="0" xfId="1" applyNumberFormat="1" applyFont="1" applyFill="1" applyBorder="1" applyAlignment="1" applyProtection="1">
      <alignment vertical="top"/>
      <protection hidden="1"/>
    </xf>
    <xf numFmtId="2" fontId="98" fillId="0" borderId="197" xfId="1" applyNumberFormat="1" applyFont="1" applyFill="1" applyBorder="1" applyAlignment="1" applyProtection="1">
      <alignment vertical="top"/>
      <protection hidden="1"/>
    </xf>
    <xf numFmtId="2" fontId="98" fillId="0" borderId="201" xfId="1" applyNumberFormat="1" applyFont="1" applyFill="1" applyBorder="1" applyAlignment="1" applyProtection="1">
      <alignment vertical="top"/>
      <protection hidden="1"/>
    </xf>
    <xf numFmtId="2" fontId="98" fillId="0" borderId="202" xfId="1" applyNumberFormat="1" applyFont="1" applyFill="1" applyBorder="1" applyAlignment="1" applyProtection="1">
      <alignment vertical="top"/>
      <protection hidden="1"/>
    </xf>
    <xf numFmtId="2" fontId="98" fillId="0" borderId="203" xfId="1" applyNumberFormat="1" applyFont="1" applyFill="1" applyBorder="1" applyAlignment="1" applyProtection="1">
      <alignment vertical="top"/>
      <protection hidden="1"/>
    </xf>
    <xf numFmtId="2" fontId="98" fillId="0" borderId="204" xfId="1" applyNumberFormat="1" applyFont="1" applyFill="1" applyBorder="1" applyAlignment="1" applyProtection="1">
      <alignment vertical="top"/>
      <protection hidden="1"/>
    </xf>
    <xf numFmtId="2" fontId="98" fillId="0" borderId="205" xfId="1" applyNumberFormat="1" applyFont="1" applyFill="1" applyBorder="1" applyAlignment="1" applyProtection="1">
      <alignment vertical="top"/>
      <protection hidden="1"/>
    </xf>
    <xf numFmtId="2" fontId="98" fillId="0" borderId="206" xfId="1" applyNumberFormat="1" applyFont="1" applyFill="1" applyBorder="1" applyAlignment="1" applyProtection="1">
      <alignment vertical="top"/>
      <protection hidden="1"/>
    </xf>
    <xf numFmtId="2" fontId="98" fillId="0" borderId="207" xfId="1" applyNumberFormat="1" applyFont="1" applyFill="1" applyBorder="1" applyAlignment="1" applyProtection="1">
      <alignment vertical="top"/>
      <protection hidden="1"/>
    </xf>
    <xf numFmtId="2" fontId="98" fillId="0" borderId="208" xfId="1" applyNumberFormat="1" applyFont="1" applyFill="1" applyBorder="1" applyAlignment="1" applyProtection="1">
      <alignment vertical="top"/>
      <protection hidden="1"/>
    </xf>
    <xf numFmtId="2" fontId="98" fillId="0" borderId="209" xfId="1" applyNumberFormat="1" applyFont="1" applyFill="1" applyBorder="1" applyAlignment="1" applyProtection="1">
      <alignment vertical="top"/>
      <protection hidden="1"/>
    </xf>
    <xf numFmtId="2" fontId="98" fillId="0" borderId="210" xfId="1" applyNumberFormat="1" applyFont="1" applyFill="1" applyBorder="1" applyAlignment="1" applyProtection="1">
      <alignment vertical="top"/>
      <protection hidden="1"/>
    </xf>
    <xf numFmtId="2" fontId="98" fillId="0" borderId="211" xfId="1" applyNumberFormat="1" applyFont="1" applyFill="1" applyBorder="1" applyAlignment="1" applyProtection="1">
      <alignment vertical="top"/>
      <protection hidden="1"/>
    </xf>
    <xf numFmtId="2" fontId="98" fillId="0" borderId="212" xfId="1" applyNumberFormat="1" applyFont="1" applyFill="1" applyBorder="1" applyAlignment="1" applyProtection="1">
      <alignment vertical="top"/>
      <protection hidden="1"/>
    </xf>
    <xf numFmtId="188" fontId="98" fillId="0" borderId="205" xfId="6" applyNumberFormat="1" applyFont="1" applyBorder="1" applyAlignment="1" applyProtection="1">
      <alignment vertical="center"/>
    </xf>
    <xf numFmtId="188" fontId="98" fillId="0" borderId="205" xfId="6" applyNumberFormat="1" applyFont="1" applyBorder="1" applyAlignment="1" applyProtection="1">
      <alignment vertical="center"/>
      <protection hidden="1"/>
    </xf>
    <xf numFmtId="188" fontId="98" fillId="0" borderId="206" xfId="6" applyNumberFormat="1" applyFont="1" applyBorder="1" applyAlignment="1" applyProtection="1">
      <alignment vertical="center"/>
      <protection hidden="1"/>
    </xf>
    <xf numFmtId="188" fontId="98" fillId="0" borderId="202" xfId="6" applyNumberFormat="1" applyFont="1" applyBorder="1" applyAlignment="1" applyProtection="1">
      <alignment vertical="center"/>
    </xf>
    <xf numFmtId="188" fontId="98" fillId="0" borderId="202" xfId="6" applyNumberFormat="1" applyFont="1" applyBorder="1" applyAlignment="1" applyProtection="1">
      <alignment vertical="center"/>
      <protection hidden="1"/>
    </xf>
    <xf numFmtId="188" fontId="98" fillId="0" borderId="203" xfId="6" applyNumberFormat="1" applyFont="1" applyBorder="1" applyAlignment="1" applyProtection="1">
      <alignment vertical="center"/>
      <protection hidden="1"/>
    </xf>
    <xf numFmtId="188" fontId="98" fillId="0" borderId="207" xfId="6" applyNumberFormat="1" applyFont="1" applyFill="1" applyBorder="1" applyAlignment="1" applyProtection="1">
      <alignment vertical="center"/>
    </xf>
    <xf numFmtId="188" fontId="98" fillId="0" borderId="208" xfId="6" applyNumberFormat="1" applyFont="1" applyFill="1" applyBorder="1" applyAlignment="1" applyProtection="1">
      <alignment vertical="center"/>
    </xf>
    <xf numFmtId="188" fontId="98" fillId="0" borderId="208" xfId="6" applyNumberFormat="1" applyFont="1" applyBorder="1" applyAlignment="1" applyProtection="1">
      <alignment vertical="center"/>
    </xf>
    <xf numFmtId="188" fontId="98" fillId="0" borderId="208" xfId="6" applyNumberFormat="1" applyFont="1" applyBorder="1" applyAlignment="1" applyProtection="1">
      <alignment vertical="center"/>
      <protection hidden="1"/>
    </xf>
    <xf numFmtId="188" fontId="98" fillId="0" borderId="209" xfId="6" applyNumberFormat="1" applyFont="1" applyBorder="1" applyAlignment="1" applyProtection="1">
      <alignment vertical="center"/>
      <protection hidden="1"/>
    </xf>
    <xf numFmtId="188" fontId="98" fillId="0" borderId="209" xfId="6" applyNumberFormat="1" applyFont="1" applyFill="1" applyBorder="1" applyAlignment="1" applyProtection="1">
      <alignment vertical="center"/>
    </xf>
    <xf numFmtId="188" fontId="99" fillId="0" borderId="214" xfId="6" applyNumberFormat="1" applyFont="1" applyFill="1" applyBorder="1" applyAlignment="1" applyProtection="1">
      <alignment vertical="center"/>
    </xf>
    <xf numFmtId="188" fontId="99" fillId="0" borderId="215" xfId="6" applyNumberFormat="1" applyFont="1" applyFill="1" applyBorder="1" applyAlignment="1" applyProtection="1">
      <alignment vertical="center"/>
    </xf>
    <xf numFmtId="188" fontId="99" fillId="0" borderId="216" xfId="6" applyNumberFormat="1" applyFont="1" applyFill="1" applyBorder="1" applyAlignment="1" applyProtection="1">
      <alignment vertical="center"/>
    </xf>
    <xf numFmtId="195" fontId="98" fillId="0" borderId="194" xfId="6" applyNumberFormat="1" applyFont="1" applyBorder="1" applyAlignment="1" applyProtection="1">
      <alignment vertical="center"/>
      <protection hidden="1"/>
    </xf>
    <xf numFmtId="195" fontId="98" fillId="0" borderId="190" xfId="6" applyNumberFormat="1" applyFont="1" applyBorder="1" applyAlignment="1" applyProtection="1">
      <alignment vertical="center"/>
      <protection hidden="1"/>
    </xf>
    <xf numFmtId="188" fontId="98" fillId="0" borderId="194" xfId="6" applyNumberFormat="1" applyFont="1" applyBorder="1" applyAlignment="1" applyProtection="1">
      <alignment vertical="center"/>
      <protection hidden="1"/>
    </xf>
    <xf numFmtId="188" fontId="98" fillId="0" borderId="190" xfId="6" applyNumberFormat="1" applyFont="1" applyBorder="1" applyAlignment="1" applyProtection="1">
      <alignment vertical="center"/>
      <protection hidden="1"/>
    </xf>
    <xf numFmtId="0" fontId="9" fillId="0" borderId="0" xfId="1" applyNumberFormat="1" applyFont="1" applyFill="1" applyAlignment="1" applyProtection="1">
      <alignment vertical="center"/>
      <protection hidden="1"/>
    </xf>
    <xf numFmtId="188" fontId="98" fillId="0" borderId="0" xfId="6" applyNumberFormat="1" applyFont="1" applyBorder="1" applyAlignment="1" applyProtection="1">
      <alignment vertical="center"/>
      <protection hidden="1"/>
    </xf>
    <xf numFmtId="195" fontId="98" fillId="0" borderId="0" xfId="6" applyNumberFormat="1" applyFont="1" applyBorder="1" applyAlignment="1" applyProtection="1">
      <alignment vertical="center"/>
      <protection hidden="1"/>
    </xf>
    <xf numFmtId="195" fontId="98" fillId="0" borderId="179" xfId="6" applyNumberFormat="1" applyFont="1" applyBorder="1" applyAlignment="1" applyProtection="1">
      <alignment vertical="center"/>
      <protection hidden="1"/>
    </xf>
    <xf numFmtId="188" fontId="99" fillId="12" borderId="213" xfId="6" applyNumberFormat="1" applyFont="1" applyFill="1" applyBorder="1" applyAlignment="1" applyProtection="1">
      <alignment vertical="center"/>
      <protection hidden="1"/>
    </xf>
    <xf numFmtId="188" fontId="98" fillId="12" borderId="177" xfId="6" applyNumberFormat="1" applyFont="1" applyFill="1" applyBorder="1" applyAlignment="1" applyProtection="1">
      <alignment vertical="center"/>
      <protection hidden="1"/>
    </xf>
    <xf numFmtId="188" fontId="98" fillId="12" borderId="194" xfId="6" applyNumberFormat="1" applyFont="1" applyFill="1" applyBorder="1" applyAlignment="1" applyProtection="1">
      <alignment vertical="center"/>
      <protection hidden="1"/>
    </xf>
    <xf numFmtId="188" fontId="98" fillId="12" borderId="179" xfId="6" applyNumberFormat="1" applyFont="1" applyFill="1" applyBorder="1" applyAlignment="1" applyProtection="1">
      <alignment vertical="center"/>
      <protection hidden="1"/>
    </xf>
    <xf numFmtId="195" fontId="98" fillId="0" borderId="196" xfId="6" applyNumberFormat="1" applyFont="1" applyBorder="1" applyAlignment="1" applyProtection="1">
      <alignment vertical="center"/>
      <protection hidden="1"/>
    </xf>
    <xf numFmtId="188" fontId="99" fillId="12" borderId="179" xfId="6" applyNumberFormat="1" applyFont="1" applyFill="1" applyBorder="1" applyAlignment="1" applyProtection="1">
      <alignment vertical="center"/>
      <protection hidden="1"/>
    </xf>
    <xf numFmtId="188" fontId="98" fillId="12" borderId="178" xfId="6" applyNumberFormat="1" applyFont="1" applyFill="1" applyBorder="1" applyAlignment="1" applyProtection="1">
      <alignment vertical="center"/>
      <protection hidden="1"/>
    </xf>
    <xf numFmtId="0" fontId="98" fillId="0" borderId="192" xfId="1" applyFont="1" applyBorder="1" applyAlignment="1" applyProtection="1">
      <alignment horizontal="center"/>
      <protection hidden="1"/>
    </xf>
    <xf numFmtId="0" fontId="98" fillId="0" borderId="193" xfId="1" applyFont="1" applyBorder="1" applyAlignment="1" applyProtection="1">
      <alignment horizontal="center"/>
      <protection hidden="1"/>
    </xf>
    <xf numFmtId="0" fontId="98" fillId="0" borderId="219" xfId="1" applyFont="1" applyBorder="1" applyAlignment="1" applyProtection="1">
      <alignment horizontal="center"/>
      <protection hidden="1"/>
    </xf>
    <xf numFmtId="0" fontId="99" fillId="0" borderId="0" xfId="1" applyFont="1" applyProtection="1"/>
    <xf numFmtId="0" fontId="34" fillId="0" borderId="7" xfId="1" applyFont="1" applyBorder="1" applyAlignment="1" applyProtection="1">
      <alignment horizontal="left" vertical="center"/>
      <protection hidden="1"/>
    </xf>
    <xf numFmtId="0" fontId="9" fillId="0" borderId="37" xfId="1" applyFont="1" applyBorder="1" applyAlignment="1" applyProtection="1">
      <alignment vertical="center"/>
      <protection hidden="1"/>
    </xf>
    <xf numFmtId="0" fontId="22" fillId="0" borderId="71" xfId="1" applyFont="1" applyFill="1" applyBorder="1" applyAlignment="1" applyProtection="1">
      <alignment vertical="center"/>
      <protection hidden="1"/>
    </xf>
    <xf numFmtId="0" fontId="22" fillId="0" borderId="31" xfId="1" applyFont="1" applyFill="1" applyBorder="1" applyAlignment="1" applyProtection="1">
      <alignment vertical="center"/>
      <protection hidden="1"/>
    </xf>
    <xf numFmtId="0" fontId="9" fillId="0" borderId="71" xfId="1" applyFont="1" applyFill="1" applyBorder="1" applyAlignment="1" applyProtection="1">
      <alignment vertical="center"/>
      <protection hidden="1"/>
    </xf>
    <xf numFmtId="0" fontId="9" fillId="0" borderId="31" xfId="1" applyFont="1" applyFill="1" applyBorder="1" applyAlignment="1" applyProtection="1">
      <alignment vertical="center"/>
      <protection hidden="1"/>
    </xf>
    <xf numFmtId="181" fontId="22" fillId="0" borderId="66" xfId="1" applyNumberFormat="1" applyFont="1" applyBorder="1" applyAlignment="1" applyProtection="1">
      <alignment vertical="center"/>
      <protection hidden="1"/>
    </xf>
    <xf numFmtId="181" fontId="22" fillId="0" borderId="55" xfId="1" applyNumberFormat="1" applyFont="1" applyBorder="1" applyAlignment="1" applyProtection="1">
      <alignment vertical="center"/>
      <protection hidden="1"/>
    </xf>
    <xf numFmtId="0" fontId="34" fillId="0" borderId="1" xfId="1" applyFont="1" applyBorder="1" applyAlignment="1" applyProtection="1">
      <alignment horizontal="center" vertical="center"/>
      <protection hidden="1"/>
    </xf>
    <xf numFmtId="0" fontId="34" fillId="0" borderId="31" xfId="1" applyFont="1" applyBorder="1" applyAlignment="1" applyProtection="1">
      <alignment vertical="center"/>
      <protection hidden="1"/>
    </xf>
    <xf numFmtId="0" fontId="34" fillId="0" borderId="3" xfId="1" applyFont="1" applyBorder="1" applyAlignment="1" applyProtection="1">
      <alignment vertical="center"/>
      <protection hidden="1"/>
    </xf>
    <xf numFmtId="0" fontId="9" fillId="0" borderId="37" xfId="1" applyFont="1" applyFill="1" applyBorder="1" applyAlignment="1" applyProtection="1">
      <alignment vertical="center"/>
      <protection hidden="1"/>
    </xf>
    <xf numFmtId="0" fontId="9" fillId="0" borderId="66" xfId="1" applyFont="1" applyFill="1" applyBorder="1" applyAlignment="1" applyProtection="1">
      <alignment vertical="center"/>
      <protection hidden="1"/>
    </xf>
    <xf numFmtId="0" fontId="9" fillId="0" borderId="41" xfId="1" applyFont="1" applyFill="1" applyBorder="1" applyAlignment="1" applyProtection="1">
      <alignment vertical="center"/>
      <protection hidden="1"/>
    </xf>
    <xf numFmtId="0" fontId="11" fillId="4" borderId="0" xfId="1" applyFont="1" applyFill="1" applyAlignment="1" applyProtection="1">
      <alignment horizontal="left"/>
      <protection hidden="1"/>
    </xf>
    <xf numFmtId="0" fontId="0" fillId="0" borderId="0" xfId="0"/>
    <xf numFmtId="0" fontId="13" fillId="5" borderId="0" xfId="0" applyFont="1" applyFill="1" applyBorder="1" applyAlignment="1">
      <alignment horizontal="left" vertical="center"/>
    </xf>
    <xf numFmtId="0" fontId="101" fillId="10" borderId="5" xfId="1" applyNumberFormat="1" applyFont="1" applyFill="1" applyBorder="1" applyAlignment="1" applyProtection="1">
      <alignment horizontal="center" vertical="center"/>
      <protection locked="0"/>
    </xf>
    <xf numFmtId="0" fontId="101" fillId="10" borderId="6" xfId="1" applyNumberFormat="1" applyFont="1" applyFill="1" applyBorder="1" applyAlignment="1" applyProtection="1">
      <alignment horizontal="center" vertical="center"/>
      <protection locked="0"/>
    </xf>
    <xf numFmtId="0" fontId="22" fillId="0" borderId="0" xfId="1" applyFont="1" applyFill="1" applyAlignment="1" applyProtection="1">
      <protection hidden="1"/>
    </xf>
    <xf numFmtId="0" fontId="22" fillId="0" borderId="0" xfId="1" applyFont="1" applyFill="1" applyBorder="1" applyProtection="1">
      <protection hidden="1"/>
    </xf>
    <xf numFmtId="170" fontId="34" fillId="0" borderId="0" xfId="1" applyNumberFormat="1" applyFont="1" applyFill="1" applyAlignment="1" applyProtection="1">
      <alignment horizontal="center"/>
      <protection hidden="1"/>
    </xf>
    <xf numFmtId="0" fontId="22" fillId="0" borderId="0" xfId="1" applyFont="1" applyFill="1" applyAlignment="1" applyProtection="1">
      <alignment horizontal="right"/>
      <protection hidden="1"/>
    </xf>
    <xf numFmtId="0" fontId="22" fillId="0" borderId="0" xfId="1" applyFont="1" applyFill="1" applyProtection="1">
      <protection hidden="1"/>
    </xf>
    <xf numFmtId="185" fontId="0" fillId="0" borderId="51" xfId="0" applyNumberFormat="1" applyBorder="1" applyAlignment="1">
      <alignment horizontal="right" vertical="center" indent="1"/>
    </xf>
    <xf numFmtId="185" fontId="17" fillId="8" borderId="51" xfId="0" applyNumberFormat="1" applyFont="1" applyFill="1" applyBorder="1" applyAlignment="1">
      <alignment horizontal="right" vertical="center" indent="1"/>
    </xf>
    <xf numFmtId="0" fontId="57" fillId="0" borderId="0" xfId="0" applyFont="1" applyAlignment="1">
      <alignment horizontal="center" vertical="top" wrapText="1"/>
    </xf>
    <xf numFmtId="0" fontId="103" fillId="0" borderId="0" xfId="1" applyFont="1" applyProtection="1">
      <protection hidden="1"/>
    </xf>
    <xf numFmtId="0" fontId="9" fillId="0" borderId="0" xfId="1" applyFont="1" applyBorder="1" applyProtection="1">
      <protection hidden="1"/>
    </xf>
    <xf numFmtId="0" fontId="98" fillId="0" borderId="0" xfId="1" applyFont="1" applyBorder="1" applyProtection="1">
      <protection hidden="1"/>
    </xf>
    <xf numFmtId="186" fontId="98" fillId="0" borderId="0" xfId="5" applyNumberFormat="1" applyFont="1" applyProtection="1">
      <protection hidden="1"/>
    </xf>
    <xf numFmtId="0" fontId="99" fillId="0" borderId="83" xfId="1" applyFont="1" applyBorder="1" applyProtection="1"/>
    <xf numFmtId="0" fontId="98" fillId="0" borderId="83" xfId="1" applyFont="1" applyBorder="1" applyProtection="1">
      <protection hidden="1"/>
    </xf>
    <xf numFmtId="185" fontId="34" fillId="0" borderId="17" xfId="2" applyNumberFormat="1" applyFont="1" applyFill="1" applyBorder="1" applyAlignment="1" applyProtection="1">
      <alignment horizontal="right" vertical="center" indent="2"/>
      <protection hidden="1"/>
    </xf>
    <xf numFmtId="0" fontId="34" fillId="0" borderId="20" xfId="2" applyFont="1" applyBorder="1" applyProtection="1"/>
    <xf numFmtId="185" fontId="34" fillId="0" borderId="220" xfId="2" applyNumberFormat="1" applyFont="1" applyFill="1" applyBorder="1" applyAlignment="1" applyProtection="1">
      <alignment horizontal="right" vertical="center" indent="2"/>
      <protection hidden="1"/>
    </xf>
    <xf numFmtId="0" fontId="34" fillId="0" borderId="221" xfId="2" applyFont="1" applyBorder="1" applyAlignment="1" applyProtection="1">
      <alignment horizontal="left" vertical="center"/>
    </xf>
    <xf numFmtId="0" fontId="34" fillId="0" borderId="125" xfId="2" applyFont="1" applyBorder="1" applyProtection="1"/>
    <xf numFmtId="0" fontId="34" fillId="0" borderId="222" xfId="2" applyFont="1" applyBorder="1" applyProtection="1"/>
    <xf numFmtId="188" fontId="98" fillId="0" borderId="191" xfId="6" applyNumberFormat="1" applyFont="1" applyBorder="1" applyAlignment="1" applyProtection="1">
      <alignment vertical="center"/>
      <protection hidden="1"/>
    </xf>
    <xf numFmtId="188" fontId="98" fillId="0" borderId="192" xfId="6" applyNumberFormat="1" applyFont="1" applyBorder="1" applyAlignment="1" applyProtection="1">
      <alignment vertical="center"/>
      <protection hidden="1"/>
    </xf>
    <xf numFmtId="188" fontId="98" fillId="0" borderId="213" xfId="6" applyNumberFormat="1" applyFont="1" applyBorder="1" applyAlignment="1" applyProtection="1">
      <alignment vertical="center"/>
      <protection hidden="1"/>
    </xf>
    <xf numFmtId="181" fontId="9" fillId="0" borderId="71" xfId="1" applyNumberFormat="1" applyFont="1" applyBorder="1" applyAlignment="1" applyProtection="1">
      <alignment vertical="center"/>
      <protection hidden="1"/>
    </xf>
    <xf numFmtId="0" fontId="57" fillId="0" borderId="0" xfId="0" applyFont="1" applyAlignment="1">
      <alignment horizontal="center" vertical="top" wrapText="1"/>
    </xf>
    <xf numFmtId="164" fontId="83" fillId="0" borderId="0" xfId="0" applyNumberFormat="1" applyFont="1" applyProtection="1"/>
    <xf numFmtId="0" fontId="34" fillId="0" borderId="66" xfId="1" applyFont="1" applyBorder="1" applyAlignment="1" applyProtection="1">
      <alignment vertical="center"/>
      <protection hidden="1"/>
    </xf>
    <xf numFmtId="0" fontId="14" fillId="0" borderId="4" xfId="1" applyFont="1" applyFill="1" applyBorder="1" applyAlignment="1" applyProtection="1">
      <alignment vertical="center"/>
      <protection hidden="1"/>
    </xf>
    <xf numFmtId="178" fontId="31" fillId="0" borderId="0" xfId="1" applyNumberFormat="1" applyFont="1" applyFill="1" applyBorder="1" applyAlignment="1" applyProtection="1">
      <alignment vertical="center"/>
      <protection hidden="1"/>
    </xf>
    <xf numFmtId="0" fontId="9" fillId="0" borderId="0" xfId="1" applyFont="1" applyBorder="1" applyAlignment="1" applyProtection="1">
      <alignment vertical="center"/>
      <protection hidden="1"/>
    </xf>
    <xf numFmtId="166" fontId="9" fillId="0" borderId="0" xfId="1" applyNumberFormat="1" applyFont="1" applyBorder="1" applyAlignment="1" applyProtection="1">
      <alignment vertical="center"/>
      <protection hidden="1"/>
    </xf>
    <xf numFmtId="0" fontId="98" fillId="0" borderId="0" xfId="1" applyFont="1" applyFill="1" applyBorder="1" applyAlignment="1" applyProtection="1">
      <alignment vertical="center"/>
    </xf>
    <xf numFmtId="0" fontId="83" fillId="0" borderId="0" xfId="1" applyFont="1" applyFill="1" applyBorder="1" applyProtection="1"/>
    <xf numFmtId="0" fontId="83" fillId="0" borderId="0" xfId="1" applyFont="1" applyBorder="1" applyProtection="1"/>
    <xf numFmtId="0" fontId="98" fillId="0" borderId="190" xfId="1" applyFont="1" applyBorder="1" applyProtection="1">
      <protection hidden="1"/>
    </xf>
    <xf numFmtId="0" fontId="12" fillId="0" borderId="0" xfId="9"/>
    <xf numFmtId="49" fontId="12" fillId="0" borderId="0" xfId="9" applyNumberFormat="1"/>
    <xf numFmtId="0" fontId="57" fillId="0" borderId="0" xfId="9" applyFont="1" applyAlignment="1">
      <alignment horizontal="center" vertical="top" wrapText="1"/>
    </xf>
    <xf numFmtId="0" fontId="57" fillId="0" borderId="0" xfId="9" applyFont="1" applyAlignment="1">
      <alignment horizontal="center" vertical="top"/>
    </xf>
    <xf numFmtId="0" fontId="23" fillId="0" borderId="0" xfId="9" applyFont="1" applyBorder="1" applyAlignment="1">
      <alignment horizontal="right" vertical="center"/>
    </xf>
    <xf numFmtId="0" fontId="23" fillId="0" borderId="0" xfId="9" applyFont="1" applyBorder="1" applyAlignment="1">
      <alignment horizontal="left" vertical="center"/>
    </xf>
    <xf numFmtId="0" fontId="58" fillId="0" borderId="0" xfId="9" applyFont="1"/>
    <xf numFmtId="0" fontId="12" fillId="0" borderId="0" xfId="9" applyFont="1"/>
    <xf numFmtId="49" fontId="11" fillId="0" borderId="0" xfId="9" applyNumberFormat="1" applyFont="1" applyAlignment="1">
      <alignment vertical="top"/>
    </xf>
    <xf numFmtId="49" fontId="12" fillId="0" borderId="0" xfId="9" applyNumberFormat="1" applyAlignment="1">
      <alignment vertical="top"/>
    </xf>
    <xf numFmtId="0" fontId="12" fillId="0" borderId="0" xfId="9" applyAlignment="1">
      <alignment vertical="top"/>
    </xf>
    <xf numFmtId="0" fontId="10" fillId="0" borderId="0" xfId="9" applyNumberFormat="1" applyFont="1" applyAlignment="1">
      <alignment vertical="top"/>
    </xf>
    <xf numFmtId="49" fontId="13" fillId="4" borderId="0" xfId="9" applyNumberFormat="1" applyFont="1" applyFill="1" applyAlignment="1">
      <alignment vertical="center"/>
    </xf>
    <xf numFmtId="49" fontId="12" fillId="4" borderId="0" xfId="9" applyNumberFormat="1" applyFill="1" applyAlignment="1">
      <alignment vertical="center"/>
    </xf>
    <xf numFmtId="0" fontId="12" fillId="4" borderId="0" xfId="9" applyFill="1" applyAlignment="1">
      <alignment vertical="center"/>
    </xf>
    <xf numFmtId="0" fontId="12" fillId="4" borderId="0" xfId="9" applyFill="1"/>
    <xf numFmtId="49" fontId="12" fillId="0" borderId="0" xfId="9" applyNumberFormat="1" applyAlignment="1">
      <alignment vertical="center"/>
    </xf>
    <xf numFmtId="0" fontId="12" fillId="0" borderId="0" xfId="9" applyAlignment="1">
      <alignment vertical="center"/>
    </xf>
    <xf numFmtId="0" fontId="12" fillId="0" borderId="0" xfId="9" applyAlignment="1"/>
    <xf numFmtId="0" fontId="51" fillId="12" borderId="0" xfId="9" applyFont="1" applyFill="1" applyAlignment="1">
      <alignment horizontal="center" vertical="center"/>
    </xf>
    <xf numFmtId="49" fontId="12" fillId="0" borderId="0" xfId="9" applyNumberFormat="1" applyFont="1" applyAlignment="1">
      <alignment vertical="center"/>
    </xf>
    <xf numFmtId="0" fontId="12" fillId="12" borderId="0" xfId="9" applyFill="1" applyAlignment="1">
      <alignment vertical="center"/>
    </xf>
    <xf numFmtId="0" fontId="12" fillId="0" borderId="0" xfId="9" applyFill="1" applyAlignment="1">
      <alignment vertical="center"/>
    </xf>
    <xf numFmtId="49" fontId="12" fillId="0" borderId="64" xfId="9" applyNumberFormat="1" applyFill="1" applyBorder="1" applyAlignment="1">
      <alignment vertical="center"/>
    </xf>
    <xf numFmtId="3" fontId="12" fillId="0" borderId="64" xfId="9" applyNumberFormat="1" applyFill="1" applyBorder="1" applyAlignment="1">
      <alignment vertical="center"/>
    </xf>
    <xf numFmtId="0" fontId="12" fillId="0" borderId="64" xfId="9" applyFont="1" applyFill="1" applyBorder="1" applyAlignment="1">
      <alignment horizontal="left" vertical="center"/>
    </xf>
    <xf numFmtId="0" fontId="12" fillId="0" borderId="64" xfId="9" applyFont="1" applyFill="1" applyBorder="1" applyAlignment="1">
      <alignment vertical="center"/>
    </xf>
    <xf numFmtId="3" fontId="12" fillId="7" borderId="64" xfId="9" applyNumberFormat="1" applyFont="1" applyFill="1" applyBorder="1" applyAlignment="1" applyProtection="1">
      <alignment vertical="center"/>
      <protection locked="0"/>
    </xf>
    <xf numFmtId="0" fontId="15" fillId="0" borderId="64" xfId="9" applyFont="1" applyFill="1" applyBorder="1" applyAlignment="1">
      <alignment vertical="center"/>
    </xf>
    <xf numFmtId="0" fontId="12" fillId="0" borderId="64" xfId="9" applyFill="1" applyBorder="1" applyAlignment="1">
      <alignment vertical="center"/>
    </xf>
    <xf numFmtId="3" fontId="12" fillId="7" borderId="64" xfId="9" applyNumberFormat="1" applyFill="1" applyBorder="1" applyAlignment="1" applyProtection="1">
      <alignment vertical="center"/>
      <protection locked="0"/>
    </xf>
    <xf numFmtId="0" fontId="12" fillId="0" borderId="13" xfId="9" applyFill="1" applyBorder="1" applyAlignment="1">
      <alignment vertical="center"/>
    </xf>
    <xf numFmtId="49" fontId="12" fillId="0" borderId="0" xfId="9" applyNumberFormat="1" applyFill="1" applyAlignment="1">
      <alignment vertical="center"/>
    </xf>
    <xf numFmtId="0" fontId="12" fillId="0" borderId="14" xfId="9" applyFill="1" applyBorder="1" applyAlignment="1">
      <alignment vertical="center"/>
    </xf>
    <xf numFmtId="0" fontId="12" fillId="0" borderId="76" xfId="9" applyFill="1" applyBorder="1" applyAlignment="1">
      <alignment vertical="center"/>
    </xf>
    <xf numFmtId="0" fontId="15" fillId="0" borderId="66" xfId="9" applyFont="1" applyFill="1" applyBorder="1" applyAlignment="1">
      <alignment horizontal="right" vertical="center" wrapText="1"/>
    </xf>
    <xf numFmtId="0" fontId="15" fillId="0" borderId="67" xfId="9" applyFont="1" applyFill="1" applyBorder="1" applyAlignment="1">
      <alignment wrapText="1"/>
    </xf>
    <xf numFmtId="0" fontId="12" fillId="12" borderId="0" xfId="9" applyFont="1" applyFill="1" applyAlignment="1">
      <alignment horizontal="right" vertical="center"/>
    </xf>
    <xf numFmtId="0" fontId="15" fillId="0" borderId="68" xfId="9" applyFont="1" applyFill="1" applyBorder="1" applyAlignment="1">
      <alignment horizontal="right" vertical="center" wrapText="1"/>
    </xf>
    <xf numFmtId="2" fontId="15" fillId="21" borderId="69" xfId="1" applyNumberFormat="1" applyFont="1" applyFill="1" applyBorder="1" applyAlignment="1" applyProtection="1">
      <alignment vertical="top"/>
      <protection hidden="1"/>
    </xf>
    <xf numFmtId="0" fontId="104" fillId="7" borderId="69" xfId="9" applyFont="1" applyFill="1" applyBorder="1" applyAlignment="1" applyProtection="1">
      <alignment horizontal="right" vertical="center" wrapText="1"/>
      <protection locked="0"/>
    </xf>
    <xf numFmtId="0" fontId="15" fillId="0" borderId="70" xfId="9" applyFont="1" applyFill="1" applyBorder="1" applyAlignment="1">
      <alignment wrapText="1"/>
    </xf>
    <xf numFmtId="2" fontId="15" fillId="0" borderId="0" xfId="9" applyNumberFormat="1" applyFont="1" applyFill="1" applyBorder="1" applyAlignment="1">
      <alignment vertical="center"/>
    </xf>
    <xf numFmtId="0" fontId="12" fillId="0" borderId="6" xfId="9" applyFill="1" applyBorder="1" applyAlignment="1">
      <alignment vertical="center"/>
    </xf>
    <xf numFmtId="0" fontId="12" fillId="0" borderId="71" xfId="9" applyFont="1" applyFill="1" applyBorder="1" applyAlignment="1">
      <alignment horizontal="left" vertical="center"/>
    </xf>
    <xf numFmtId="0" fontId="12" fillId="0" borderId="73" xfId="9" applyFont="1" applyFill="1" applyBorder="1" applyAlignment="1">
      <alignment horizontal="left" vertical="center"/>
    </xf>
    <xf numFmtId="0" fontId="12" fillId="0" borderId="72" xfId="9" applyFill="1" applyBorder="1" applyAlignment="1">
      <alignment vertical="center"/>
    </xf>
    <xf numFmtId="0" fontId="12" fillId="0" borderId="23" xfId="9" applyFont="1" applyFill="1" applyBorder="1" applyAlignment="1">
      <alignment vertical="center"/>
    </xf>
    <xf numFmtId="0" fontId="49" fillId="0" borderId="0" xfId="9" applyFont="1" applyBorder="1" applyAlignment="1">
      <alignment vertical="center"/>
    </xf>
    <xf numFmtId="0" fontId="15" fillId="0" borderId="67" xfId="9" applyFont="1" applyFill="1" applyBorder="1" applyAlignment="1">
      <alignment vertical="center" wrapText="1"/>
    </xf>
    <xf numFmtId="0" fontId="15" fillId="0" borderId="20" xfId="9" applyFont="1" applyFill="1" applyBorder="1" applyAlignment="1">
      <alignment vertical="center"/>
    </xf>
    <xf numFmtId="3" fontId="15" fillId="0" borderId="21" xfId="9" applyNumberFormat="1" applyFont="1" applyFill="1" applyBorder="1" applyAlignment="1">
      <alignment horizontal="right" vertical="center"/>
    </xf>
    <xf numFmtId="2" fontId="104" fillId="7" borderId="23" xfId="9" applyNumberFormat="1" applyFont="1" applyFill="1" applyBorder="1" applyAlignment="1" applyProtection="1">
      <alignment horizontal="center" vertical="center"/>
      <protection locked="0"/>
    </xf>
    <xf numFmtId="0" fontId="12" fillId="0" borderId="0" xfId="9" applyFont="1" applyFill="1" applyAlignment="1">
      <alignment vertical="center"/>
    </xf>
    <xf numFmtId="0" fontId="12" fillId="0" borderId="0" xfId="9" applyBorder="1" applyAlignment="1">
      <alignment vertical="center"/>
    </xf>
    <xf numFmtId="3" fontId="12" fillId="0" borderId="0" xfId="9" applyNumberFormat="1" applyFont="1" applyFill="1" applyBorder="1" applyAlignment="1" applyProtection="1">
      <alignment horizontal="left" vertical="center"/>
    </xf>
    <xf numFmtId="9" fontId="15" fillId="0" borderId="0" xfId="9" applyNumberFormat="1" applyFont="1" applyFill="1" applyBorder="1" applyAlignment="1" applyProtection="1">
      <alignment horizontal="right" vertical="center"/>
    </xf>
    <xf numFmtId="3" fontId="12" fillId="12" borderId="0" xfId="9" applyNumberFormat="1" applyFont="1" applyFill="1" applyBorder="1" applyAlignment="1">
      <alignment vertical="center"/>
    </xf>
    <xf numFmtId="49" fontId="12" fillId="0" borderId="64" xfId="9" applyNumberFormat="1" applyFill="1" applyBorder="1" applyAlignment="1">
      <alignment horizontal="left" vertical="center"/>
    </xf>
    <xf numFmtId="3" fontId="12" fillId="0" borderId="64" xfId="9" applyNumberFormat="1" applyFill="1" applyBorder="1" applyAlignment="1">
      <alignment horizontal="right" vertical="center"/>
    </xf>
    <xf numFmtId="0" fontId="64" fillId="0" borderId="85" xfId="9" applyFont="1" applyBorder="1" applyAlignment="1">
      <alignment vertical="center"/>
    </xf>
    <xf numFmtId="0" fontId="65" fillId="0" borderId="86" xfId="9" applyFont="1" applyBorder="1" applyAlignment="1">
      <alignment vertical="center"/>
    </xf>
    <xf numFmtId="0" fontId="65" fillId="0" borderId="87" xfId="9" applyFont="1" applyBorder="1" applyAlignment="1">
      <alignment vertical="center"/>
    </xf>
    <xf numFmtId="0" fontId="12" fillId="12" borderId="0" xfId="9" applyFill="1" applyAlignment="1">
      <alignment horizontal="right" vertical="center"/>
    </xf>
    <xf numFmtId="0" fontId="65" fillId="0" borderId="80" xfId="9" applyFont="1" applyBorder="1" applyAlignment="1">
      <alignment vertical="center"/>
    </xf>
    <xf numFmtId="0" fontId="65" fillId="0" borderId="0" xfId="9" applyFont="1" applyBorder="1" applyAlignment="1">
      <alignment vertical="center"/>
    </xf>
    <xf numFmtId="0" fontId="65" fillId="0" borderId="81" xfId="9" applyFont="1" applyBorder="1" applyAlignment="1">
      <alignment vertical="center"/>
    </xf>
    <xf numFmtId="49" fontId="12" fillId="0" borderId="61" xfId="9" applyNumberFormat="1" applyFill="1" applyBorder="1" applyAlignment="1">
      <alignment vertical="center"/>
    </xf>
    <xf numFmtId="49" fontId="12" fillId="0" borderId="14" xfId="9" applyNumberFormat="1" applyFill="1" applyBorder="1" applyAlignment="1">
      <alignment vertical="center"/>
    </xf>
    <xf numFmtId="0" fontId="65" fillId="0" borderId="82" xfId="9" applyFont="1" applyBorder="1" applyAlignment="1">
      <alignment vertical="center"/>
    </xf>
    <xf numFmtId="0" fontId="65" fillId="0" borderId="83" xfId="9" applyFont="1" applyBorder="1" applyAlignment="1">
      <alignment vertical="center"/>
    </xf>
    <xf numFmtId="0" fontId="65" fillId="0" borderId="84" xfId="9" applyFont="1" applyBorder="1" applyAlignment="1">
      <alignment vertical="center"/>
    </xf>
    <xf numFmtId="9" fontId="48" fillId="0" borderId="0" xfId="9" applyNumberFormat="1" applyFont="1" applyFill="1" applyAlignment="1">
      <alignment vertical="center"/>
    </xf>
    <xf numFmtId="0" fontId="12" fillId="0" borderId="0" xfId="9" applyFont="1" applyAlignment="1">
      <alignment vertical="center"/>
    </xf>
    <xf numFmtId="49" fontId="12" fillId="0" borderId="6" xfId="9" applyNumberFormat="1" applyFill="1" applyBorder="1" applyAlignment="1">
      <alignment vertical="center"/>
    </xf>
    <xf numFmtId="49" fontId="12" fillId="0" borderId="64" xfId="9" applyNumberFormat="1" applyFont="1" applyFill="1" applyBorder="1" applyAlignment="1">
      <alignment vertical="center"/>
    </xf>
    <xf numFmtId="0" fontId="12" fillId="0" borderId="64" xfId="9" applyFont="1" applyFill="1" applyBorder="1" applyAlignment="1">
      <alignment horizontal="right" vertical="center" indent="1"/>
    </xf>
    <xf numFmtId="3" fontId="12" fillId="0" borderId="64" xfId="9" applyNumberFormat="1" applyFont="1" applyFill="1" applyBorder="1" applyAlignment="1">
      <alignment vertical="center"/>
    </xf>
    <xf numFmtId="49" fontId="12" fillId="0" borderId="0" xfId="9" applyNumberFormat="1" applyFont="1" applyFill="1" applyAlignment="1">
      <alignment vertical="center"/>
    </xf>
    <xf numFmtId="0" fontId="12" fillId="0" borderId="75" xfId="9" applyFill="1" applyBorder="1" applyAlignment="1">
      <alignment vertical="center"/>
    </xf>
    <xf numFmtId="0" fontId="12" fillId="0" borderId="0" xfId="9" applyFill="1" applyAlignment="1">
      <alignment horizontal="center" vertical="center"/>
    </xf>
    <xf numFmtId="0" fontId="12" fillId="0" borderId="15" xfId="9" applyFill="1" applyBorder="1" applyAlignment="1">
      <alignment vertical="center"/>
    </xf>
    <xf numFmtId="49" fontId="12" fillId="0" borderId="0" xfId="9" applyNumberFormat="1" applyFill="1" applyBorder="1" applyAlignment="1">
      <alignment vertical="center"/>
    </xf>
    <xf numFmtId="0" fontId="12" fillId="0" borderId="0" xfId="9" applyFill="1" applyBorder="1" applyAlignment="1">
      <alignment vertical="center"/>
    </xf>
    <xf numFmtId="0" fontId="19" fillId="12" borderId="0" xfId="9" applyFont="1" applyFill="1" applyBorder="1" applyAlignment="1">
      <alignment horizontal="center" vertical="center" wrapText="1"/>
    </xf>
    <xf numFmtId="0" fontId="12" fillId="12" borderId="0" xfId="9" applyFill="1" applyBorder="1" applyAlignment="1">
      <alignment vertical="center"/>
    </xf>
    <xf numFmtId="0" fontId="12" fillId="0" borderId="62" xfId="9" applyFill="1" applyBorder="1" applyAlignment="1">
      <alignment vertical="center"/>
    </xf>
    <xf numFmtId="0" fontId="15" fillId="12" borderId="0" xfId="9" applyFont="1" applyFill="1" applyBorder="1" applyAlignment="1">
      <alignment vertical="center"/>
    </xf>
    <xf numFmtId="3" fontId="15" fillId="12" borderId="0" xfId="9" applyNumberFormat="1" applyFont="1" applyFill="1" applyBorder="1" applyAlignment="1">
      <alignment horizontal="right" vertical="center"/>
    </xf>
    <xf numFmtId="2" fontId="15" fillId="12" borderId="0" xfId="9" applyNumberFormat="1" applyFont="1" applyFill="1" applyBorder="1" applyAlignment="1" applyProtection="1">
      <alignment horizontal="center" vertical="center"/>
    </xf>
    <xf numFmtId="49" fontId="12" fillId="0" borderId="9" xfId="9" applyNumberFormat="1" applyFill="1" applyBorder="1" applyAlignment="1">
      <alignment vertical="center"/>
    </xf>
    <xf numFmtId="0" fontId="15" fillId="0" borderId="64" xfId="9" applyFont="1" applyFill="1" applyBorder="1" applyAlignment="1">
      <alignment vertical="center" wrapText="1"/>
    </xf>
    <xf numFmtId="0" fontId="15" fillId="0" borderId="70" xfId="9" applyFont="1" applyFill="1" applyBorder="1" applyAlignment="1">
      <alignment vertical="center" wrapText="1"/>
    </xf>
    <xf numFmtId="49" fontId="17" fillId="0" borderId="0" xfId="9" applyNumberFormat="1" applyFont="1" applyAlignment="1">
      <alignment vertical="center"/>
    </xf>
    <xf numFmtId="0" fontId="65" fillId="0" borderId="0" xfId="9" applyFont="1" applyAlignment="1">
      <alignment vertical="center"/>
    </xf>
    <xf numFmtId="0" fontId="64" fillId="0" borderId="77" xfId="9" applyFont="1" applyBorder="1" applyAlignment="1">
      <alignment vertical="center"/>
    </xf>
    <xf numFmtId="0" fontId="65" fillId="0" borderId="79" xfId="9" applyFont="1" applyBorder="1" applyAlignment="1">
      <alignment vertical="center"/>
    </xf>
    <xf numFmtId="49" fontId="12" fillId="0" borderId="65" xfId="9" applyNumberFormat="1" applyFont="1" applyBorder="1" applyAlignment="1">
      <alignment horizontal="right" vertical="center" indent="1"/>
    </xf>
    <xf numFmtId="0" fontId="12" fillId="0" borderId="65" xfId="9" applyFont="1" applyBorder="1" applyAlignment="1">
      <alignment horizontal="right" vertical="center"/>
    </xf>
    <xf numFmtId="0" fontId="12" fillId="0" borderId="65" xfId="9" applyBorder="1" applyAlignment="1">
      <alignment vertical="center"/>
    </xf>
    <xf numFmtId="0" fontId="65" fillId="0" borderId="77" xfId="9" applyFont="1" applyBorder="1" applyAlignment="1">
      <alignment vertical="center"/>
    </xf>
    <xf numFmtId="0" fontId="65" fillId="0" borderId="78" xfId="9" applyFont="1" applyBorder="1" applyAlignment="1">
      <alignment vertical="center"/>
    </xf>
    <xf numFmtId="49" fontId="23" fillId="0" borderId="0" xfId="9" applyNumberFormat="1" applyFont="1" applyAlignment="1"/>
    <xf numFmtId="0" fontId="65" fillId="0" borderId="0" xfId="9" applyFont="1" applyAlignment="1"/>
    <xf numFmtId="3" fontId="65" fillId="0" borderId="0" xfId="9" applyNumberFormat="1" applyFont="1" applyAlignment="1">
      <alignment horizontal="left"/>
    </xf>
    <xf numFmtId="0" fontId="65" fillId="0" borderId="0" xfId="9" applyFont="1" applyAlignment="1">
      <alignment horizontal="left"/>
    </xf>
    <xf numFmtId="0" fontId="65" fillId="0" borderId="0" xfId="9" applyFont="1" applyFill="1" applyBorder="1" applyAlignment="1">
      <alignment horizontal="left" vertical="center"/>
    </xf>
    <xf numFmtId="1" fontId="15" fillId="21" borderId="69" xfId="1" applyNumberFormat="1" applyFont="1" applyFill="1" applyBorder="1" applyAlignment="1" applyProtection="1">
      <alignment vertical="top"/>
      <protection hidden="1"/>
    </xf>
    <xf numFmtId="0" fontId="98" fillId="0" borderId="199" xfId="1" applyFont="1" applyBorder="1" applyProtection="1">
      <protection hidden="1"/>
    </xf>
    <xf numFmtId="186" fontId="98" fillId="0" borderId="199" xfId="5" applyNumberFormat="1" applyFont="1" applyBorder="1" applyProtection="1">
      <protection hidden="1"/>
    </xf>
    <xf numFmtId="186" fontId="98" fillId="0" borderId="190" xfId="5" applyNumberFormat="1" applyFont="1" applyBorder="1" applyProtection="1">
      <protection hidden="1"/>
    </xf>
    <xf numFmtId="186" fontId="98" fillId="0" borderId="199" xfId="1" applyNumberFormat="1" applyFont="1" applyBorder="1" applyProtection="1">
      <protection hidden="1"/>
    </xf>
    <xf numFmtId="178" fontId="9" fillId="0" borderId="0" xfId="1" applyNumberFormat="1" applyFont="1" applyProtection="1">
      <protection hidden="1"/>
    </xf>
    <xf numFmtId="0" fontId="86" fillId="0" borderId="224" xfId="1" applyFont="1" applyBorder="1" applyAlignment="1" applyProtection="1">
      <alignment horizontal="center" vertical="center"/>
    </xf>
    <xf numFmtId="0" fontId="9" fillId="7" borderId="31" xfId="1" applyFont="1" applyFill="1" applyBorder="1" applyAlignment="1" applyProtection="1">
      <alignment vertical="center"/>
      <protection locked="0"/>
    </xf>
    <xf numFmtId="10" fontId="9" fillId="0" borderId="47" xfId="1" applyNumberFormat="1" applyFont="1" applyFill="1" applyBorder="1" applyAlignment="1" applyProtection="1">
      <alignment horizontal="center" vertical="center"/>
      <protection hidden="1"/>
    </xf>
    <xf numFmtId="190" fontId="22" fillId="0" borderId="19" xfId="1" applyNumberFormat="1" applyFont="1" applyFill="1" applyBorder="1" applyAlignment="1" applyProtection="1">
      <alignment vertical="center"/>
      <protection hidden="1"/>
    </xf>
    <xf numFmtId="180" fontId="9" fillId="23" borderId="18" xfId="8" applyNumberFormat="1" applyFont="1" applyFill="1" applyBorder="1" applyAlignment="1" applyProtection="1">
      <alignment horizontal="center" vertical="center"/>
    </xf>
    <xf numFmtId="180" fontId="9" fillId="0" borderId="18" xfId="8" applyNumberFormat="1" applyFont="1" applyFill="1" applyBorder="1" applyAlignment="1" applyProtection="1">
      <alignment horizontal="center" vertical="center"/>
    </xf>
    <xf numFmtId="190" fontId="9" fillId="0" borderId="47" xfId="1" applyNumberFormat="1" applyFont="1" applyFill="1" applyBorder="1" applyAlignment="1" applyProtection="1">
      <alignment horizontal="right" vertical="center"/>
      <protection hidden="1"/>
    </xf>
    <xf numFmtId="0" fontId="86" fillId="0" borderId="196" xfId="1" applyFont="1" applyBorder="1" applyAlignment="1" applyProtection="1">
      <alignment horizontal="center" vertical="center"/>
    </xf>
    <xf numFmtId="190" fontId="86" fillId="0" borderId="196" xfId="1" applyNumberFormat="1" applyFont="1" applyBorder="1" applyAlignment="1" applyProtection="1">
      <alignment horizontal="center" vertical="center"/>
    </xf>
    <xf numFmtId="190" fontId="9" fillId="0" borderId="134" xfId="7" applyNumberFormat="1" applyFont="1" applyFill="1" applyBorder="1" applyAlignment="1" applyProtection="1">
      <alignment horizontal="right"/>
    </xf>
    <xf numFmtId="180" fontId="9" fillId="0" borderId="48" xfId="8" applyNumberFormat="1" applyFont="1" applyFill="1" applyBorder="1" applyAlignment="1" applyProtection="1">
      <alignment horizontal="center" vertical="center"/>
    </xf>
    <xf numFmtId="180" fontId="101" fillId="0" borderId="124" xfId="8" applyNumberFormat="1" applyFont="1" applyFill="1" applyBorder="1" applyAlignment="1" applyProtection="1">
      <alignment horizontal="center" vertical="center"/>
    </xf>
    <xf numFmtId="0" fontId="22" fillId="0" borderId="182" xfId="1" applyFont="1" applyBorder="1" applyAlignment="1" applyProtection="1">
      <alignment vertical="center"/>
      <protection hidden="1"/>
    </xf>
    <xf numFmtId="180" fontId="9" fillId="23" borderId="17" xfId="8" applyNumberFormat="1" applyFont="1" applyFill="1" applyBorder="1" applyAlignment="1" applyProtection="1">
      <alignment horizontal="center" vertical="center"/>
    </xf>
    <xf numFmtId="10" fontId="9" fillId="0" borderId="63" xfId="1" applyNumberFormat="1" applyFont="1" applyBorder="1" applyAlignment="1" applyProtection="1">
      <alignment horizontal="center" vertical="center"/>
      <protection hidden="1"/>
    </xf>
    <xf numFmtId="190" fontId="9" fillId="0" borderId="4" xfId="7" applyNumberFormat="1" applyFont="1" applyFill="1" applyBorder="1" applyAlignment="1" applyProtection="1">
      <alignment horizontal="right"/>
    </xf>
    <xf numFmtId="190" fontId="9" fillId="0" borderId="73" xfId="7" applyNumberFormat="1" applyFont="1" applyFill="1" applyBorder="1" applyAlignment="1" applyProtection="1">
      <alignment horizontal="right"/>
    </xf>
    <xf numFmtId="0" fontId="9" fillId="0" borderId="6" xfId="1" applyFont="1" applyBorder="1" applyAlignment="1" applyProtection="1">
      <alignment vertical="center"/>
      <protection hidden="1"/>
    </xf>
    <xf numFmtId="0" fontId="34" fillId="0" borderId="6" xfId="1" applyFont="1" applyBorder="1" applyAlignment="1" applyProtection="1">
      <alignment vertical="center"/>
      <protection hidden="1"/>
    </xf>
    <xf numFmtId="0" fontId="9" fillId="0" borderId="14" xfId="1" applyFont="1" applyBorder="1" applyAlignment="1" applyProtection="1">
      <alignment horizontal="center" vertical="center"/>
      <protection hidden="1"/>
    </xf>
    <xf numFmtId="0" fontId="101" fillId="10" borderId="47" xfId="1" applyNumberFormat="1" applyFont="1" applyFill="1" applyBorder="1" applyAlignment="1" applyProtection="1">
      <alignment horizontal="center" vertical="center"/>
      <protection locked="0"/>
    </xf>
    <xf numFmtId="180" fontId="9" fillId="0" borderId="19" xfId="8" applyNumberFormat="1" applyFont="1" applyFill="1" applyBorder="1" applyAlignment="1" applyProtection="1">
      <alignment horizontal="center" vertical="center"/>
    </xf>
    <xf numFmtId="0" fontId="22" fillId="0" borderId="45" xfId="1" applyFont="1" applyBorder="1" applyAlignment="1" applyProtection="1">
      <alignment vertical="center"/>
      <protection hidden="1"/>
    </xf>
    <xf numFmtId="0" fontId="34" fillId="0" borderId="65" xfId="1" applyFont="1" applyBorder="1" applyAlignment="1" applyProtection="1">
      <alignment vertical="center"/>
      <protection hidden="1"/>
    </xf>
    <xf numFmtId="181" fontId="22" fillId="0" borderId="31" xfId="1" applyNumberFormat="1" applyFont="1" applyFill="1" applyBorder="1" applyAlignment="1" applyProtection="1">
      <alignment vertical="center"/>
      <protection hidden="1"/>
    </xf>
    <xf numFmtId="181" fontId="22" fillId="0" borderId="4" xfId="1" applyNumberFormat="1" applyFont="1" applyFill="1" applyBorder="1" applyAlignment="1" applyProtection="1">
      <alignment vertical="center"/>
      <protection hidden="1"/>
    </xf>
    <xf numFmtId="10" fontId="9" fillId="0" borderId="6" xfId="1" applyNumberFormat="1" applyFont="1" applyFill="1" applyBorder="1" applyAlignment="1" applyProtection="1">
      <alignment horizontal="center" vertical="center"/>
      <protection hidden="1"/>
    </xf>
    <xf numFmtId="190" fontId="22" fillId="0" borderId="14" xfId="1" applyNumberFormat="1" applyFont="1" applyFill="1" applyBorder="1" applyAlignment="1" applyProtection="1">
      <alignment vertical="center"/>
      <protection hidden="1"/>
    </xf>
    <xf numFmtId="0" fontId="86" fillId="0" borderId="224" xfId="1" applyFont="1" applyFill="1" applyBorder="1" applyAlignment="1" applyProtection="1">
      <alignment horizontal="center" vertical="center"/>
    </xf>
    <xf numFmtId="190" fontId="86" fillId="0" borderId="196" xfId="1" applyNumberFormat="1" applyFont="1" applyFill="1" applyBorder="1" applyAlignment="1" applyProtection="1">
      <alignment horizontal="center" vertical="center"/>
    </xf>
    <xf numFmtId="0" fontId="32" fillId="0" borderId="0" xfId="1" applyFont="1" applyFill="1" applyAlignment="1" applyProtection="1">
      <alignment vertical="center"/>
      <protection hidden="1"/>
    </xf>
    <xf numFmtId="0" fontId="9" fillId="0" borderId="0" xfId="1" applyFont="1" applyFill="1" applyAlignment="1" applyProtection="1">
      <alignment vertical="center"/>
      <protection hidden="1"/>
    </xf>
    <xf numFmtId="0" fontId="22" fillId="0" borderId="0" xfId="1" applyFont="1" applyFill="1" applyAlignment="1" applyProtection="1">
      <alignment vertical="center"/>
      <protection hidden="1"/>
    </xf>
    <xf numFmtId="0" fontId="14" fillId="0" borderId="0" xfId="1" applyFont="1" applyFill="1" applyAlignment="1" applyProtection="1">
      <alignment vertical="top"/>
      <protection hidden="1"/>
    </xf>
    <xf numFmtId="0" fontId="74" fillId="0" borderId="61" xfId="1" applyFont="1" applyFill="1" applyBorder="1" applyAlignment="1" applyProtection="1">
      <alignment vertical="top"/>
      <protection hidden="1"/>
    </xf>
    <xf numFmtId="0" fontId="14" fillId="0" borderId="0" xfId="1" applyFont="1" applyFill="1" applyBorder="1" applyAlignment="1" applyProtection="1">
      <alignment horizontal="center" vertical="top" wrapText="1"/>
      <protection hidden="1"/>
    </xf>
    <xf numFmtId="0" fontId="14" fillId="0" borderId="0" xfId="1" applyFont="1" applyFill="1" applyBorder="1" applyAlignment="1" applyProtection="1">
      <alignment horizontal="center"/>
      <protection hidden="1"/>
    </xf>
    <xf numFmtId="1" fontId="9" fillId="7" borderId="6" xfId="8" applyNumberFormat="1" applyFont="1" applyBorder="1" applyAlignment="1" applyProtection="1">
      <alignment horizontal="right"/>
      <protection locked="0"/>
    </xf>
    <xf numFmtId="177" fontId="9" fillId="0" borderId="6" xfId="7" applyNumberFormat="1" applyFont="1" applyFill="1" applyBorder="1" applyAlignment="1" applyProtection="1">
      <alignment horizontal="right"/>
    </xf>
    <xf numFmtId="190" fontId="9" fillId="0" borderId="62" xfId="7" applyNumberFormat="1" applyFont="1" applyFill="1" applyBorder="1" applyAlignment="1" applyProtection="1">
      <alignment horizontal="right"/>
    </xf>
    <xf numFmtId="190" fontId="9" fillId="0" borderId="12" xfId="7" applyNumberFormat="1" applyFont="1" applyFill="1" applyBorder="1" applyAlignment="1" applyProtection="1">
      <alignment horizontal="right"/>
    </xf>
    <xf numFmtId="0" fontId="34" fillId="0" borderId="133" xfId="7" applyFont="1" applyFill="1" applyBorder="1" applyAlignment="1" applyProtection="1">
      <alignment horizontal="right"/>
    </xf>
    <xf numFmtId="190" fontId="9" fillId="0" borderId="61" xfId="7" applyNumberFormat="1" applyFont="1" applyFill="1" applyBorder="1" applyAlignment="1" applyProtection="1">
      <alignment horizontal="right"/>
    </xf>
    <xf numFmtId="180" fontId="9" fillId="0" borderId="6" xfId="8" applyNumberFormat="1" applyFont="1" applyFill="1" applyBorder="1" applyAlignment="1" applyProtection="1">
      <alignment horizontal="center" vertical="center"/>
    </xf>
    <xf numFmtId="180" fontId="101" fillId="0" borderId="75" xfId="8" applyNumberFormat="1" applyFont="1" applyFill="1" applyBorder="1" applyAlignment="1" applyProtection="1">
      <alignment horizontal="center" vertical="center"/>
    </xf>
    <xf numFmtId="190" fontId="9" fillId="0" borderId="62" xfId="7" applyNumberFormat="1" applyFont="1" applyFill="1" applyBorder="1" applyAlignment="1" applyProtection="1">
      <alignment horizontal="center"/>
    </xf>
    <xf numFmtId="190" fontId="9" fillId="0" borderId="75" xfId="7" applyNumberFormat="1" applyFont="1" applyFill="1" applyBorder="1" applyAlignment="1" applyProtection="1">
      <alignment horizontal="center"/>
    </xf>
    <xf numFmtId="2" fontId="9" fillId="0" borderId="75" xfId="7" applyNumberFormat="1" applyFont="1" applyFill="1" applyBorder="1" applyAlignment="1" applyProtection="1">
      <alignment horizontal="left"/>
    </xf>
    <xf numFmtId="2" fontId="9" fillId="0" borderId="62" xfId="7" applyNumberFormat="1" applyFont="1" applyFill="1" applyBorder="1" applyAlignment="1" applyProtection="1">
      <alignment horizontal="left"/>
    </xf>
    <xf numFmtId="0" fontId="34" fillId="0" borderId="64" xfId="7" applyFont="1" applyFill="1" applyBorder="1" applyAlignment="1" applyProtection="1"/>
    <xf numFmtId="0" fontId="34" fillId="0" borderId="133" xfId="7" applyFont="1" applyFill="1" applyBorder="1" applyAlignment="1" applyProtection="1"/>
    <xf numFmtId="190" fontId="9" fillId="0" borderId="133" xfId="7" applyNumberFormat="1" applyFont="1" applyFill="1" applyBorder="1" applyAlignment="1" applyProtection="1">
      <alignment horizontal="center"/>
    </xf>
    <xf numFmtId="180" fontId="9" fillId="7" borderId="6" xfId="8" applyNumberFormat="1" applyFont="1" applyFill="1" applyBorder="1" applyAlignment="1" applyProtection="1">
      <alignment horizontal="right"/>
      <protection locked="0"/>
    </xf>
    <xf numFmtId="0" fontId="9" fillId="7" borderId="6" xfId="8" applyNumberFormat="1" applyFont="1" applyFill="1" applyBorder="1" applyAlignment="1" applyProtection="1">
      <alignment horizontal="right"/>
      <protection locked="0"/>
    </xf>
    <xf numFmtId="1" fontId="9" fillId="7" borderId="6" xfId="8" applyNumberFormat="1" applyFont="1" applyFill="1" applyBorder="1" applyAlignment="1" applyProtection="1">
      <alignment horizontal="right"/>
      <protection locked="0"/>
    </xf>
    <xf numFmtId="180" fontId="34" fillId="0" borderId="61" xfId="1" applyNumberFormat="1" applyFont="1" applyFill="1" applyBorder="1" applyAlignment="1" applyProtection="1">
      <alignment horizontal="center" vertical="center"/>
      <protection hidden="1"/>
    </xf>
    <xf numFmtId="180" fontId="34" fillId="0" borderId="62" xfId="1" applyNumberFormat="1" applyFont="1" applyFill="1" applyBorder="1" applyAlignment="1" applyProtection="1">
      <alignment horizontal="center" vertical="center"/>
      <protection hidden="1"/>
    </xf>
    <xf numFmtId="0" fontId="9" fillId="7" borderId="26" xfId="1" applyFont="1" applyFill="1" applyBorder="1" applyAlignment="1" applyProtection="1">
      <alignment vertical="center"/>
      <protection locked="0"/>
    </xf>
    <xf numFmtId="0" fontId="9" fillId="7" borderId="233" xfId="1" applyFont="1" applyFill="1" applyBorder="1" applyAlignment="1" applyProtection="1">
      <alignment vertical="center"/>
      <protection locked="0"/>
    </xf>
    <xf numFmtId="180" fontId="9" fillId="0" borderId="135" xfId="8" applyNumberFormat="1" applyFont="1" applyFill="1" applyBorder="1" applyAlignment="1" applyProtection="1">
      <alignment horizontal="center" vertical="center"/>
    </xf>
    <xf numFmtId="180" fontId="101" fillId="0" borderId="58" xfId="8" applyNumberFormat="1" applyFont="1" applyFill="1" applyBorder="1" applyAlignment="1" applyProtection="1">
      <alignment horizontal="center" vertical="center"/>
    </xf>
    <xf numFmtId="0" fontId="9" fillId="0" borderId="0" xfId="7" applyFont="1" applyFill="1" applyBorder="1" applyAlignment="1" applyProtection="1">
      <alignment horizontal="left"/>
    </xf>
    <xf numFmtId="10" fontId="9" fillId="0" borderId="63" xfId="1" applyNumberFormat="1" applyFont="1" applyFill="1" applyBorder="1" applyAlignment="1" applyProtection="1">
      <alignment horizontal="center" vertical="center"/>
      <protection hidden="1"/>
    </xf>
    <xf numFmtId="190" fontId="22" fillId="0" borderId="175" xfId="1" applyNumberFormat="1" applyFont="1" applyFill="1" applyBorder="1" applyAlignment="1" applyProtection="1">
      <alignment vertical="center"/>
      <protection hidden="1"/>
    </xf>
    <xf numFmtId="180" fontId="9" fillId="0" borderId="63" xfId="8" applyNumberFormat="1" applyFont="1" applyFill="1" applyBorder="1" applyAlignment="1" applyProtection="1">
      <alignment horizontal="center" vertical="center"/>
    </xf>
    <xf numFmtId="180" fontId="101" fillId="0" borderId="133" xfId="8" applyNumberFormat="1" applyFont="1" applyFill="1" applyBorder="1" applyAlignment="1" applyProtection="1">
      <alignment horizontal="center" vertical="center"/>
    </xf>
    <xf numFmtId="190" fontId="9" fillId="25" borderId="0" xfId="7" applyNumberFormat="1" applyFont="1" applyFill="1" applyBorder="1" applyAlignment="1" applyProtection="1">
      <alignment horizontal="center"/>
    </xf>
    <xf numFmtId="190" fontId="9" fillId="25" borderId="75" xfId="7" applyNumberFormat="1" applyFont="1" applyFill="1" applyBorder="1" applyAlignment="1" applyProtection="1">
      <alignment horizontal="right"/>
    </xf>
    <xf numFmtId="10" fontId="9" fillId="25" borderId="6" xfId="1" applyNumberFormat="1" applyFont="1" applyFill="1" applyBorder="1" applyAlignment="1" applyProtection="1">
      <alignment horizontal="center" vertical="center"/>
      <protection hidden="1"/>
    </xf>
    <xf numFmtId="190" fontId="22" fillId="25" borderId="14" xfId="1" applyNumberFormat="1" applyFont="1" applyFill="1" applyBorder="1" applyAlignment="1" applyProtection="1">
      <alignment vertical="center"/>
      <protection hidden="1"/>
    </xf>
    <xf numFmtId="180" fontId="9" fillId="25" borderId="6" xfId="8" applyNumberFormat="1" applyFont="1" applyFill="1" applyBorder="1" applyAlignment="1" applyProtection="1">
      <alignment horizontal="center" vertical="center"/>
    </xf>
    <xf numFmtId="180" fontId="101" fillId="25" borderId="75" xfId="8" applyNumberFormat="1" applyFont="1" applyFill="1" applyBorder="1" applyAlignment="1" applyProtection="1">
      <alignment horizontal="center" vertical="center"/>
    </xf>
    <xf numFmtId="193" fontId="9" fillId="25" borderId="0" xfId="7" applyNumberFormat="1" applyFont="1" applyFill="1" applyBorder="1" applyAlignment="1" applyProtection="1">
      <alignment horizontal="left"/>
    </xf>
    <xf numFmtId="190" fontId="34" fillId="25" borderId="75" xfId="7" applyNumberFormat="1" applyFont="1" applyFill="1" applyBorder="1" applyAlignment="1" applyProtection="1">
      <alignment horizontal="right"/>
    </xf>
    <xf numFmtId="2" fontId="9" fillId="25" borderId="0" xfId="7" applyNumberFormat="1" applyFont="1" applyFill="1" applyBorder="1" applyAlignment="1" applyProtection="1">
      <alignment horizontal="left"/>
    </xf>
    <xf numFmtId="1" fontId="9" fillId="25" borderId="0" xfId="7" applyNumberFormat="1" applyFont="1" applyFill="1" applyBorder="1" applyAlignment="1" applyProtection="1"/>
    <xf numFmtId="1" fontId="9" fillId="25" borderId="75" xfId="7" applyNumberFormat="1" applyFont="1" applyFill="1" applyBorder="1" applyAlignment="1" applyProtection="1"/>
    <xf numFmtId="181" fontId="22" fillId="0" borderId="71" xfId="1" applyNumberFormat="1" applyFont="1" applyFill="1" applyBorder="1" applyAlignment="1" applyProtection="1">
      <alignment vertical="center"/>
      <protection hidden="1"/>
    </xf>
    <xf numFmtId="181" fontId="22" fillId="0" borderId="73" xfId="1" applyNumberFormat="1" applyFont="1" applyFill="1" applyBorder="1" applyAlignment="1" applyProtection="1">
      <alignment vertical="center"/>
      <protection hidden="1"/>
    </xf>
    <xf numFmtId="181" fontId="22" fillId="0" borderId="66" xfId="1" applyNumberFormat="1" applyFont="1" applyFill="1" applyBorder="1" applyAlignment="1" applyProtection="1">
      <alignment vertical="center"/>
      <protection hidden="1"/>
    </xf>
    <xf numFmtId="181" fontId="22" fillId="0" borderId="65" xfId="1" applyNumberFormat="1" applyFont="1" applyFill="1" applyBorder="1" applyAlignment="1" applyProtection="1">
      <alignment vertical="center"/>
      <protection hidden="1"/>
    </xf>
    <xf numFmtId="181" fontId="34" fillId="0" borderId="31" xfId="1" applyNumberFormat="1" applyFont="1" applyBorder="1" applyAlignment="1" applyProtection="1">
      <alignment horizontal="left" vertical="center"/>
      <protection hidden="1"/>
    </xf>
    <xf numFmtId="181" fontId="34" fillId="0" borderId="226" xfId="1" applyNumberFormat="1" applyFont="1" applyBorder="1" applyAlignment="1" applyProtection="1">
      <alignment horizontal="left" vertical="center"/>
      <protection hidden="1"/>
    </xf>
    <xf numFmtId="166" fontId="9" fillId="0" borderId="64" xfId="1" applyNumberFormat="1" applyFont="1" applyBorder="1" applyAlignment="1" applyProtection="1">
      <alignment horizontal="center" vertical="center"/>
      <protection hidden="1"/>
    </xf>
    <xf numFmtId="0" fontId="17" fillId="0" borderId="0" xfId="9" applyFont="1" applyFill="1" applyBorder="1" applyAlignment="1">
      <alignment vertical="center" wrapText="1"/>
    </xf>
    <xf numFmtId="0" fontId="57" fillId="0" borderId="0" xfId="0" applyFont="1" applyFill="1" applyAlignment="1">
      <alignment horizontal="center" vertical="top" wrapText="1"/>
    </xf>
    <xf numFmtId="0" fontId="74" fillId="0" borderId="0" xfId="1" applyFont="1" applyFill="1" applyBorder="1" applyAlignment="1" applyProtection="1">
      <alignment horizontal="center" vertical="center"/>
      <protection hidden="1"/>
    </xf>
    <xf numFmtId="180" fontId="14" fillId="0" borderId="0" xfId="1" applyNumberFormat="1" applyFont="1" applyFill="1" applyBorder="1" applyAlignment="1" applyProtection="1">
      <alignment horizontal="center" vertical="center"/>
      <protection hidden="1"/>
    </xf>
    <xf numFmtId="0" fontId="87" fillId="0" borderId="238" xfId="1" applyFont="1" applyFill="1" applyBorder="1" applyAlignment="1" applyProtection="1">
      <alignment vertical="center"/>
      <protection hidden="1"/>
    </xf>
    <xf numFmtId="0" fontId="88" fillId="0" borderId="239" xfId="1" applyFont="1" applyFill="1" applyBorder="1" applyAlignment="1" applyProtection="1">
      <alignment vertical="center"/>
      <protection hidden="1"/>
    </xf>
    <xf numFmtId="0" fontId="88" fillId="0" borderId="240" xfId="1" applyFont="1" applyFill="1" applyBorder="1" applyAlignment="1" applyProtection="1">
      <alignment vertical="center"/>
      <protection hidden="1"/>
    </xf>
    <xf numFmtId="0" fontId="88" fillId="0" borderId="171" xfId="1" applyFont="1" applyFill="1" applyBorder="1" applyAlignment="1" applyProtection="1">
      <alignment vertical="top"/>
      <protection hidden="1"/>
    </xf>
    <xf numFmtId="0" fontId="88" fillId="0" borderId="173" xfId="1" applyFont="1" applyFill="1" applyBorder="1" applyAlignment="1" applyProtection="1">
      <alignment vertical="top"/>
      <protection hidden="1"/>
    </xf>
    <xf numFmtId="0" fontId="87" fillId="0" borderId="241" xfId="1" applyFont="1" applyFill="1" applyBorder="1" applyAlignment="1" applyProtection="1">
      <alignment horizontal="center" vertical="center"/>
      <protection hidden="1"/>
    </xf>
    <xf numFmtId="0" fontId="87" fillId="0" borderId="242" xfId="1" applyFont="1" applyFill="1" applyBorder="1" applyAlignment="1" applyProtection="1">
      <alignment horizontal="center" vertical="center"/>
      <protection hidden="1"/>
    </xf>
    <xf numFmtId="0" fontId="88" fillId="0" borderId="178" xfId="1" applyFont="1" applyFill="1" applyBorder="1" applyAlignment="1" applyProtection="1">
      <alignment horizontal="center" vertical="top" wrapText="1"/>
      <protection hidden="1"/>
    </xf>
    <xf numFmtId="0" fontId="88" fillId="0" borderId="194" xfId="1" applyFont="1" applyFill="1" applyBorder="1" applyAlignment="1" applyProtection="1">
      <alignment vertical="top"/>
      <protection hidden="1"/>
    </xf>
    <xf numFmtId="0" fontId="88" fillId="0" borderId="190" xfId="1" applyFont="1" applyFill="1" applyBorder="1" applyAlignment="1" applyProtection="1">
      <alignment vertical="top"/>
      <protection hidden="1"/>
    </xf>
    <xf numFmtId="0" fontId="88" fillId="0" borderId="195" xfId="1" applyFont="1" applyFill="1" applyBorder="1" applyAlignment="1" applyProtection="1">
      <alignment vertical="top"/>
      <protection hidden="1"/>
    </xf>
    <xf numFmtId="0" fontId="87" fillId="0" borderId="255" xfId="1" applyFont="1" applyFill="1" applyBorder="1" applyAlignment="1" applyProtection="1">
      <alignment horizontal="center" vertical="center"/>
      <protection hidden="1"/>
    </xf>
    <xf numFmtId="180" fontId="88" fillId="0" borderId="257" xfId="1" applyNumberFormat="1" applyFont="1" applyFill="1" applyBorder="1" applyAlignment="1" applyProtection="1">
      <alignment horizontal="center" vertical="center"/>
      <protection hidden="1"/>
    </xf>
    <xf numFmtId="180" fontId="88" fillId="0" borderId="263" xfId="1" applyNumberFormat="1" applyFont="1" applyFill="1" applyBorder="1" applyAlignment="1" applyProtection="1">
      <alignment horizontal="center" vertical="center"/>
      <protection hidden="1"/>
    </xf>
    <xf numFmtId="180" fontId="88" fillId="0" borderId="265" xfId="1" applyNumberFormat="1" applyFont="1" applyFill="1" applyBorder="1" applyAlignment="1" applyProtection="1">
      <alignment horizontal="center" vertical="center"/>
      <protection hidden="1"/>
    </xf>
    <xf numFmtId="180" fontId="88" fillId="0" borderId="266" xfId="1" applyNumberFormat="1" applyFont="1" applyFill="1" applyBorder="1" applyAlignment="1" applyProtection="1">
      <alignment horizontal="center" vertical="center"/>
      <protection hidden="1"/>
    </xf>
    <xf numFmtId="180" fontId="88" fillId="0" borderId="267" xfId="1" applyNumberFormat="1" applyFont="1" applyFill="1" applyBorder="1" applyAlignment="1" applyProtection="1">
      <alignment horizontal="center" vertical="center"/>
      <protection hidden="1"/>
    </xf>
    <xf numFmtId="180" fontId="88" fillId="0" borderId="268" xfId="1" applyNumberFormat="1" applyFont="1" applyFill="1" applyBorder="1" applyAlignment="1" applyProtection="1">
      <alignment horizontal="center" vertical="center"/>
      <protection hidden="1"/>
    </xf>
    <xf numFmtId="0" fontId="88" fillId="0" borderId="278" xfId="1" applyFont="1" applyFill="1" applyBorder="1" applyAlignment="1" applyProtection="1">
      <alignment vertical="top"/>
      <protection hidden="1"/>
    </xf>
    <xf numFmtId="0" fontId="88" fillId="0" borderId="251" xfId="1" applyFont="1" applyFill="1" applyBorder="1" applyAlignment="1" applyProtection="1">
      <alignment vertical="top"/>
      <protection hidden="1"/>
    </xf>
    <xf numFmtId="180" fontId="88" fillId="0" borderId="277" xfId="1" applyNumberFormat="1" applyFont="1" applyFill="1" applyBorder="1" applyAlignment="1" applyProtection="1">
      <alignment horizontal="center" vertical="center"/>
      <protection hidden="1"/>
    </xf>
    <xf numFmtId="180" fontId="88" fillId="0" borderId="275" xfId="1" applyNumberFormat="1" applyFont="1" applyFill="1" applyBorder="1" applyAlignment="1" applyProtection="1">
      <alignment horizontal="center" vertical="center"/>
      <protection hidden="1"/>
    </xf>
    <xf numFmtId="180" fontId="88" fillId="0" borderId="274" xfId="1" applyNumberFormat="1" applyFont="1" applyFill="1" applyBorder="1" applyAlignment="1" applyProtection="1">
      <alignment horizontal="center" vertical="center"/>
      <protection hidden="1"/>
    </xf>
    <xf numFmtId="180" fontId="88" fillId="0" borderId="273" xfId="1" applyNumberFormat="1" applyFont="1" applyFill="1" applyBorder="1" applyAlignment="1" applyProtection="1">
      <alignment horizontal="center" vertical="center"/>
      <protection hidden="1"/>
    </xf>
    <xf numFmtId="180" fontId="88" fillId="0" borderId="276" xfId="1" applyNumberFormat="1" applyFont="1" applyFill="1" applyBorder="1" applyAlignment="1" applyProtection="1">
      <alignment horizontal="center" vertical="center"/>
      <protection hidden="1"/>
    </xf>
    <xf numFmtId="0" fontId="9" fillId="0" borderId="0" xfId="1" applyFont="1" applyFill="1" applyAlignment="1" applyProtection="1">
      <alignment horizontal="right"/>
      <protection hidden="1"/>
    </xf>
    <xf numFmtId="0" fontId="14" fillId="0" borderId="0" xfId="1" applyFont="1" applyFill="1" applyAlignment="1" applyProtection="1">
      <alignment vertical="top"/>
      <protection hidden="1"/>
    </xf>
    <xf numFmtId="0" fontId="99" fillId="0" borderId="190" xfId="1" applyFont="1" applyBorder="1" applyProtection="1">
      <protection hidden="1"/>
    </xf>
    <xf numFmtId="0" fontId="9" fillId="0" borderId="190" xfId="1" applyFont="1" applyBorder="1" applyProtection="1">
      <protection hidden="1"/>
    </xf>
    <xf numFmtId="0" fontId="98" fillId="0" borderId="192" xfId="1" applyFont="1" applyBorder="1" applyProtection="1">
      <protection hidden="1"/>
    </xf>
    <xf numFmtId="0" fontId="9" fillId="0" borderId="192" xfId="1" applyFont="1" applyBorder="1" applyProtection="1">
      <protection hidden="1"/>
    </xf>
    <xf numFmtId="186" fontId="98" fillId="0" borderId="0" xfId="5" applyNumberFormat="1" applyFont="1" applyBorder="1" applyProtection="1">
      <protection hidden="1"/>
    </xf>
    <xf numFmtId="186" fontId="98" fillId="0" borderId="192" xfId="1" applyNumberFormat="1" applyFont="1" applyBorder="1" applyProtection="1">
      <protection hidden="1"/>
    </xf>
    <xf numFmtId="0" fontId="83" fillId="0" borderId="192" xfId="1" applyFont="1" applyBorder="1" applyProtection="1"/>
    <xf numFmtId="0" fontId="9" fillId="0" borderId="199" xfId="1" applyFont="1" applyBorder="1" applyProtection="1">
      <protection hidden="1"/>
    </xf>
    <xf numFmtId="186" fontId="98" fillId="0" borderId="0" xfId="1" applyNumberFormat="1" applyFont="1" applyBorder="1" applyProtection="1">
      <protection hidden="1"/>
    </xf>
    <xf numFmtId="0" fontId="22" fillId="0" borderId="0" xfId="1" applyFont="1" applyBorder="1" applyAlignment="1" applyProtection="1">
      <alignment vertical="center"/>
      <protection hidden="1"/>
    </xf>
    <xf numFmtId="0" fontId="34" fillId="0" borderId="8" xfId="1" applyFont="1" applyBorder="1" applyAlignment="1" applyProtection="1">
      <alignment vertical="center"/>
      <protection hidden="1"/>
    </xf>
    <xf numFmtId="0" fontId="86" fillId="0" borderId="0" xfId="1" applyFont="1" applyBorder="1" applyAlignment="1" applyProtection="1">
      <alignment horizontal="center" vertical="center"/>
    </xf>
    <xf numFmtId="190" fontId="86" fillId="0" borderId="0" xfId="1" applyNumberFormat="1" applyFont="1" applyBorder="1" applyAlignment="1" applyProtection="1">
      <alignment horizontal="center" vertical="center"/>
    </xf>
    <xf numFmtId="3" fontId="83" fillId="0" borderId="0" xfId="1" applyNumberFormat="1" applyFont="1" applyFill="1" applyBorder="1" applyAlignment="1" applyProtection="1">
      <alignment horizontal="center" vertical="center"/>
    </xf>
    <xf numFmtId="0" fontId="83" fillId="0" borderId="0" xfId="1" applyFont="1" applyBorder="1" applyAlignment="1" applyProtection="1">
      <alignment vertical="center"/>
    </xf>
    <xf numFmtId="0" fontId="32" fillId="0" borderId="0" xfId="1" applyFont="1" applyBorder="1" applyAlignment="1" applyProtection="1">
      <alignment vertical="center"/>
      <protection hidden="1"/>
    </xf>
    <xf numFmtId="0" fontId="34" fillId="0" borderId="42" xfId="1" applyFont="1" applyFill="1" applyBorder="1" applyAlignment="1" applyProtection="1">
      <alignment vertical="center"/>
      <protection hidden="1"/>
    </xf>
    <xf numFmtId="0" fontId="9" fillId="0" borderId="10" xfId="0" applyFont="1" applyBorder="1"/>
    <xf numFmtId="0" fontId="9" fillId="0" borderId="49" xfId="0" applyFont="1" applyBorder="1"/>
    <xf numFmtId="0" fontId="34" fillId="0" borderId="10" xfId="0" applyFont="1" applyBorder="1"/>
    <xf numFmtId="0" fontId="86" fillId="0" borderId="190" xfId="1" applyFont="1" applyBorder="1" applyProtection="1"/>
    <xf numFmtId="0" fontId="86" fillId="0" borderId="190" xfId="1" applyFont="1" applyBorder="1" applyAlignment="1" applyProtection="1">
      <alignment horizontal="center"/>
    </xf>
    <xf numFmtId="0" fontId="0" fillId="0" borderId="0" xfId="0"/>
    <xf numFmtId="1" fontId="22" fillId="11" borderId="22" xfId="2" applyNumberFormat="1" applyFont="1" applyFill="1" applyBorder="1" applyAlignment="1" applyProtection="1">
      <alignment horizontal="center" vertical="top" wrapText="1"/>
    </xf>
    <xf numFmtId="1" fontId="22" fillId="11" borderId="38" xfId="2" applyNumberFormat="1" applyFont="1" applyFill="1" applyBorder="1" applyAlignment="1" applyProtection="1">
      <alignment horizontal="center" vertical="top" wrapText="1"/>
    </xf>
    <xf numFmtId="49" fontId="65" fillId="0" borderId="0" xfId="0" applyNumberFormat="1" applyFont="1" applyBorder="1" applyAlignment="1">
      <alignment vertical="center"/>
    </xf>
    <xf numFmtId="0" fontId="17" fillId="8" borderId="0" xfId="0" applyNumberFormat="1" applyFont="1" applyFill="1" applyAlignment="1">
      <alignment vertical="center"/>
    </xf>
    <xf numFmtId="185" fontId="17" fillId="0" borderId="51" xfId="0" applyNumberFormat="1" applyFont="1" applyFill="1" applyBorder="1" applyAlignment="1">
      <alignment horizontal="right" vertical="center" indent="1"/>
    </xf>
    <xf numFmtId="3" fontId="12" fillId="0" borderId="51" xfId="0" applyNumberFormat="1" applyFont="1" applyBorder="1" applyAlignment="1">
      <alignment horizontal="right" vertical="center" indent="1"/>
    </xf>
    <xf numFmtId="0" fontId="88" fillId="0" borderId="213" xfId="1" applyFont="1" applyFill="1" applyBorder="1" applyAlignment="1" applyProtection="1">
      <alignment horizontal="center" vertical="top"/>
      <protection hidden="1"/>
    </xf>
    <xf numFmtId="2" fontId="9" fillId="0" borderId="0" xfId="1" applyNumberFormat="1" applyFont="1" applyProtection="1">
      <protection hidden="1"/>
    </xf>
    <xf numFmtId="0" fontId="17" fillId="0" borderId="0" xfId="9" applyFont="1" applyFill="1" applyBorder="1" applyAlignment="1">
      <alignment horizontal="center" vertical="center" wrapText="1"/>
    </xf>
    <xf numFmtId="0" fontId="0" fillId="0" borderId="0" xfId="0"/>
    <xf numFmtId="0" fontId="12" fillId="0" borderId="42" xfId="1" applyFont="1" applyBorder="1" applyAlignment="1" applyProtection="1">
      <alignment vertical="center"/>
      <protection hidden="1"/>
    </xf>
    <xf numFmtId="0" fontId="9" fillId="0" borderId="24" xfId="8" applyNumberFormat="1" applyFont="1" applyFill="1" applyBorder="1" applyAlignment="1" applyProtection="1"/>
    <xf numFmtId="0" fontId="34" fillId="0" borderId="226" xfId="7" applyFont="1" applyBorder="1" applyAlignment="1" applyProtection="1">
      <alignment horizontal="left" vertical="center"/>
    </xf>
    <xf numFmtId="0" fontId="34" fillId="0" borderId="3" xfId="7" applyFont="1" applyBorder="1" applyAlignment="1" applyProtection="1">
      <alignment horizontal="left" vertical="center"/>
    </xf>
    <xf numFmtId="0" fontId="34" fillId="0" borderId="3" xfId="7" applyFont="1" applyFill="1" applyBorder="1" applyProtection="1"/>
    <xf numFmtId="0" fontId="9" fillId="0" borderId="3" xfId="7" applyFont="1" applyFill="1" applyBorder="1" applyProtection="1"/>
    <xf numFmtId="0" fontId="34" fillId="0" borderId="226" xfId="7" applyFont="1" applyFill="1" applyBorder="1" applyProtection="1"/>
    <xf numFmtId="49" fontId="34" fillId="0" borderId="226" xfId="7" applyNumberFormat="1" applyFont="1" applyFill="1" applyBorder="1" applyProtection="1"/>
    <xf numFmtId="49" fontId="12" fillId="0" borderId="56" xfId="0" applyNumberFormat="1" applyFont="1" applyFill="1" applyBorder="1" applyAlignment="1">
      <alignment horizontal="center" vertical="center"/>
    </xf>
    <xf numFmtId="14" fontId="12" fillId="0" borderId="52" xfId="0" applyNumberFormat="1" applyFont="1" applyFill="1" applyBorder="1" applyAlignment="1">
      <alignment horizontal="center" vertical="center"/>
    </xf>
    <xf numFmtId="0" fontId="12" fillId="0" borderId="52" xfId="0" applyFont="1" applyFill="1" applyBorder="1" applyAlignment="1">
      <alignment vertical="center"/>
    </xf>
    <xf numFmtId="0" fontId="12" fillId="0" borderId="99" xfId="0" applyFont="1" applyFill="1" applyBorder="1" applyAlignment="1">
      <alignment vertical="center" wrapText="1"/>
    </xf>
    <xf numFmtId="0" fontId="17" fillId="0" borderId="0" xfId="9" applyFont="1" applyFill="1" applyBorder="1" applyAlignment="1">
      <alignment horizontal="center" vertical="center" wrapText="1"/>
    </xf>
    <xf numFmtId="0" fontId="74" fillId="0" borderId="61" xfId="1" applyFont="1" applyFill="1" applyBorder="1" applyAlignment="1" applyProtection="1">
      <alignment vertical="top"/>
      <protection hidden="1"/>
    </xf>
    <xf numFmtId="0" fontId="74" fillId="0" borderId="12" xfId="1" applyFont="1" applyFill="1" applyBorder="1" applyAlignment="1" applyProtection="1">
      <alignment vertical="top"/>
      <protection hidden="1"/>
    </xf>
    <xf numFmtId="0" fontId="74" fillId="0" borderId="6" xfId="1" applyFont="1" applyFill="1" applyBorder="1" applyAlignment="1" applyProtection="1">
      <alignment vertical="top"/>
      <protection hidden="1"/>
    </xf>
    <xf numFmtId="0" fontId="74" fillId="0" borderId="0" xfId="1" applyFont="1" applyFill="1" applyBorder="1" applyAlignment="1" applyProtection="1">
      <alignment vertical="top"/>
      <protection hidden="1"/>
    </xf>
    <xf numFmtId="0" fontId="74" fillId="0" borderId="9" xfId="1" applyFont="1" applyFill="1" applyBorder="1" applyAlignment="1" applyProtection="1">
      <alignment vertical="top"/>
      <protection hidden="1"/>
    </xf>
    <xf numFmtId="0" fontId="74" fillId="0" borderId="8" xfId="1" applyFont="1" applyFill="1" applyBorder="1" applyAlignment="1" applyProtection="1">
      <alignment vertical="top"/>
      <protection hidden="1"/>
    </xf>
    <xf numFmtId="0" fontId="34" fillId="0" borderId="0" xfId="1" applyFont="1" applyBorder="1" applyAlignment="1" applyProtection="1">
      <alignment horizontal="center" vertical="center"/>
      <protection hidden="1"/>
    </xf>
    <xf numFmtId="186" fontId="9" fillId="0" borderId="125" xfId="1" applyNumberFormat="1" applyFont="1" applyBorder="1" applyAlignment="1" applyProtection="1">
      <alignment vertical="center"/>
      <protection hidden="1"/>
    </xf>
    <xf numFmtId="186" fontId="9" fillId="0" borderId="134" xfId="1" applyNumberFormat="1" applyFont="1" applyBorder="1" applyAlignment="1" applyProtection="1">
      <alignment vertical="center"/>
      <protection hidden="1"/>
    </xf>
    <xf numFmtId="186" fontId="9" fillId="0" borderId="124" xfId="1" applyNumberFormat="1" applyFont="1" applyBorder="1" applyAlignment="1" applyProtection="1">
      <alignment vertical="center"/>
      <protection hidden="1"/>
    </xf>
    <xf numFmtId="186" fontId="9" fillId="0" borderId="134" xfId="1" applyNumberFormat="1" applyFont="1" applyFill="1" applyBorder="1" applyAlignment="1" applyProtection="1">
      <alignment vertical="center"/>
      <protection hidden="1"/>
    </xf>
    <xf numFmtId="0" fontId="12" fillId="0" borderId="42" xfId="1" applyFont="1" applyBorder="1" applyAlignment="1" applyProtection="1">
      <alignment vertical="center"/>
      <protection hidden="1"/>
    </xf>
    <xf numFmtId="170" fontId="34" fillId="0" borderId="0" xfId="1" applyNumberFormat="1" applyFont="1" applyAlignment="1" applyProtection="1">
      <alignment horizontal="center"/>
      <protection hidden="1"/>
    </xf>
    <xf numFmtId="0" fontId="9" fillId="0" borderId="3" xfId="8" applyNumberFormat="1" applyFont="1" applyFill="1" applyBorder="1" applyAlignment="1" applyProtection="1"/>
    <xf numFmtId="0" fontId="9" fillId="0" borderId="37" xfId="1" applyFont="1" applyBorder="1" applyAlignment="1" applyProtection="1">
      <alignment horizontal="left" vertical="center"/>
      <protection hidden="1"/>
    </xf>
    <xf numFmtId="0" fontId="9" fillId="0" borderId="66" xfId="1" applyFont="1" applyBorder="1" applyAlignment="1" applyProtection="1">
      <alignment horizontal="left" vertical="center"/>
      <protection hidden="1"/>
    </xf>
    <xf numFmtId="0" fontId="9" fillId="0" borderId="55" xfId="1" applyFont="1" applyBorder="1" applyAlignment="1" applyProtection="1">
      <alignment horizontal="left" vertical="center"/>
      <protection hidden="1"/>
    </xf>
    <xf numFmtId="167" fontId="34" fillId="0" borderId="28" xfId="2" applyNumberFormat="1" applyFont="1" applyBorder="1" applyAlignment="1" applyProtection="1">
      <alignment horizontal="center" vertical="center"/>
    </xf>
    <xf numFmtId="0" fontId="10" fillId="0" borderId="0" xfId="1" applyFont="1" applyFill="1" applyProtection="1">
      <protection hidden="1"/>
    </xf>
    <xf numFmtId="0" fontId="12" fillId="0" borderId="21" xfId="2" applyFont="1" applyFill="1" applyBorder="1" applyProtection="1"/>
    <xf numFmtId="167" fontId="34" fillId="0" borderId="10" xfId="2" applyNumberFormat="1" applyFont="1" applyFill="1" applyBorder="1" applyAlignment="1" applyProtection="1">
      <alignment horizontal="center" vertical="center"/>
    </xf>
    <xf numFmtId="1" fontId="34" fillId="0" borderId="17" xfId="2" applyNumberFormat="1" applyFont="1" applyFill="1" applyBorder="1" applyAlignment="1" applyProtection="1">
      <alignment horizontal="center" vertical="center"/>
    </xf>
    <xf numFmtId="1" fontId="22" fillId="0" borderId="22" xfId="2" applyNumberFormat="1" applyFont="1" applyFill="1" applyBorder="1" applyAlignment="1" applyProtection="1">
      <alignment horizontal="center" vertical="top" wrapText="1"/>
    </xf>
    <xf numFmtId="0" fontId="22" fillId="0" borderId="0" xfId="2" applyFont="1" applyFill="1" applyProtection="1"/>
    <xf numFmtId="0" fontId="34" fillId="0" borderId="28" xfId="2" applyFont="1" applyFill="1" applyBorder="1" applyAlignment="1" applyProtection="1">
      <alignment horizontal="center" vertical="center"/>
    </xf>
    <xf numFmtId="169" fontId="37" fillId="0" borderId="0" xfId="2" applyNumberFormat="1" applyFont="1" applyFill="1" applyAlignment="1" applyProtection="1">
      <alignment horizontal="right"/>
      <protection hidden="1"/>
    </xf>
    <xf numFmtId="185" fontId="34" fillId="0" borderId="17" xfId="2" applyNumberFormat="1" applyFont="1" applyFill="1" applyBorder="1" applyAlignment="1" applyProtection="1">
      <alignment horizontal="right" indent="2"/>
      <protection hidden="1"/>
    </xf>
    <xf numFmtId="0" fontId="12" fillId="0" borderId="0" xfId="2" applyFont="1" applyFill="1" applyProtection="1">
      <protection hidden="1"/>
    </xf>
    <xf numFmtId="0" fontId="34" fillId="0" borderId="123" xfId="2" applyFont="1" applyBorder="1" applyProtection="1"/>
    <xf numFmtId="0" fontId="34" fillId="0" borderId="28" xfId="2" applyFont="1" applyFill="1" applyBorder="1" applyAlignment="1" applyProtection="1">
      <alignment horizontal="center" vertical="center"/>
      <protection hidden="1"/>
    </xf>
    <xf numFmtId="0" fontId="34" fillId="0" borderId="0" xfId="2" applyFont="1" applyFill="1" applyBorder="1" applyAlignment="1" applyProtection="1">
      <alignment horizontal="center" vertical="center"/>
      <protection hidden="1"/>
    </xf>
    <xf numFmtId="0" fontId="34" fillId="0" borderId="40" xfId="2" applyFont="1" applyBorder="1" applyAlignment="1" applyProtection="1">
      <alignment horizontal="center" vertical="center"/>
    </xf>
    <xf numFmtId="0" fontId="57" fillId="0" borderId="0" xfId="0" applyFont="1" applyAlignment="1" applyProtection="1">
      <alignment horizontal="center" vertical="top" wrapText="1"/>
    </xf>
    <xf numFmtId="0" fontId="17" fillId="0" borderId="0" xfId="0" applyFont="1" applyProtection="1"/>
    <xf numFmtId="0" fontId="23" fillId="0" borderId="0" xfId="0" applyFont="1" applyBorder="1" applyAlignment="1" applyProtection="1">
      <alignment horizontal="right" vertical="center"/>
    </xf>
    <xf numFmtId="0" fontId="23" fillId="0" borderId="0" xfId="0" applyFont="1" applyBorder="1" applyAlignment="1" applyProtection="1">
      <alignment horizontal="left" vertical="center"/>
    </xf>
    <xf numFmtId="0" fontId="58" fillId="0" borderId="0" xfId="0" applyFont="1" applyProtection="1"/>
    <xf numFmtId="0" fontId="12" fillId="0" borderId="0" xfId="0" applyFont="1" applyProtection="1"/>
    <xf numFmtId="0" fontId="11" fillId="0" borderId="0" xfId="0" applyFont="1" applyAlignment="1" applyProtection="1"/>
    <xf numFmtId="0" fontId="0" fillId="0" borderId="0" xfId="0" applyAlignment="1" applyProtection="1"/>
    <xf numFmtId="0" fontId="0" fillId="4" borderId="0" xfId="0" applyFill="1" applyAlignment="1" applyProtection="1"/>
    <xf numFmtId="0" fontId="17" fillId="4" borderId="0" xfId="0" applyFont="1" applyFill="1" applyAlignment="1" applyProtection="1"/>
    <xf numFmtId="0" fontId="17" fillId="4" borderId="0" xfId="0" applyFont="1" applyFill="1" applyAlignment="1" applyProtection="1">
      <alignment horizontal="left"/>
    </xf>
    <xf numFmtId="0" fontId="17" fillId="4" borderId="0" xfId="0" applyFont="1" applyFill="1" applyAlignment="1" applyProtection="1">
      <alignment horizontal="right"/>
    </xf>
    <xf numFmtId="0" fontId="12" fillId="4" borderId="0" xfId="0" applyFont="1" applyFill="1" applyProtection="1"/>
    <xf numFmtId="0" fontId="12" fillId="4" borderId="0" xfId="0" applyFont="1" applyFill="1" applyAlignment="1" applyProtection="1"/>
    <xf numFmtId="0" fontId="12" fillId="4" borderId="0" xfId="0" applyFont="1" applyFill="1" applyAlignment="1" applyProtection="1">
      <alignment horizontal="right"/>
    </xf>
    <xf numFmtId="0" fontId="77" fillId="0" borderId="0" xfId="0" applyFont="1" applyAlignment="1" applyProtection="1"/>
    <xf numFmtId="3" fontId="12" fillId="4" borderId="0" xfId="0" applyNumberFormat="1" applyFont="1" applyFill="1" applyProtection="1"/>
    <xf numFmtId="0" fontId="0" fillId="0" borderId="0" xfId="0" applyBorder="1" applyProtection="1"/>
    <xf numFmtId="3" fontId="0" fillId="4" borderId="8" xfId="0" applyNumberFormat="1" applyFill="1" applyBorder="1" applyProtection="1"/>
    <xf numFmtId="0" fontId="50" fillId="0" borderId="0" xfId="0" applyFont="1" applyBorder="1" applyAlignment="1" applyProtection="1">
      <alignment vertical="center"/>
    </xf>
    <xf numFmtId="3" fontId="0" fillId="0" borderId="0" xfId="0" applyNumberFormat="1" applyProtection="1"/>
    <xf numFmtId="0" fontId="0" fillId="0" borderId="0" xfId="0" applyFill="1" applyAlignment="1" applyProtection="1"/>
    <xf numFmtId="0" fontId="12" fillId="4" borderId="0" xfId="0" applyFont="1" applyFill="1" applyBorder="1" applyProtection="1"/>
    <xf numFmtId="0" fontId="0" fillId="4" borderId="0" xfId="0" applyFill="1" applyBorder="1" applyProtection="1"/>
    <xf numFmtId="0" fontId="0" fillId="4" borderId="51" xfId="0" applyFill="1" applyBorder="1" applyProtection="1"/>
    <xf numFmtId="0" fontId="17" fillId="8" borderId="0" xfId="0" applyFont="1" applyFill="1" applyProtection="1"/>
    <xf numFmtId="0" fontId="0" fillId="8" borderId="0" xfId="0" applyFill="1" applyProtection="1"/>
    <xf numFmtId="0" fontId="0" fillId="8" borderId="51" xfId="0" applyFill="1" applyBorder="1" applyProtection="1"/>
    <xf numFmtId="0" fontId="0" fillId="6" borderId="0" xfId="0" applyFill="1" applyProtection="1"/>
    <xf numFmtId="0" fontId="12" fillId="6" borderId="0" xfId="0" applyFont="1" applyFill="1" applyProtection="1"/>
    <xf numFmtId="0" fontId="0" fillId="6" borderId="51" xfId="0" applyFill="1" applyBorder="1" applyProtection="1"/>
    <xf numFmtId="0" fontId="12" fillId="8" borderId="0" xfId="0" applyFont="1" applyFill="1" applyProtection="1"/>
    <xf numFmtId="0" fontId="12" fillId="6" borderId="51" xfId="0" applyFont="1" applyFill="1" applyBorder="1" applyProtection="1"/>
    <xf numFmtId="0" fontId="12" fillId="8" borderId="51" xfId="0" applyFont="1" applyFill="1" applyBorder="1" applyProtection="1"/>
    <xf numFmtId="0" fontId="12" fillId="0" borderId="0" xfId="9" applyProtection="1"/>
    <xf numFmtId="49" fontId="12" fillId="0" borderId="0" xfId="9" applyNumberFormat="1" applyProtection="1"/>
    <xf numFmtId="0" fontId="57" fillId="0" borderId="0" xfId="9" applyFont="1" applyAlignment="1" applyProtection="1">
      <alignment horizontal="center" vertical="top" wrapText="1"/>
    </xf>
    <xf numFmtId="0" fontId="57" fillId="0" borderId="0" xfId="9" applyFont="1" applyAlignment="1" applyProtection="1">
      <alignment horizontal="center" vertical="top"/>
    </xf>
    <xf numFmtId="0" fontId="23" fillId="0" borderId="0" xfId="9" applyFont="1" applyBorder="1" applyAlignment="1" applyProtection="1">
      <alignment horizontal="right" vertical="center"/>
    </xf>
    <xf numFmtId="0" fontId="23" fillId="0" borderId="0" xfId="9" applyFont="1" applyBorder="1" applyAlignment="1" applyProtection="1">
      <alignment horizontal="left" vertical="center"/>
    </xf>
    <xf numFmtId="0" fontId="58" fillId="0" borderId="0" xfId="9" applyFont="1" applyProtection="1"/>
    <xf numFmtId="0" fontId="12" fillId="0" borderId="0" xfId="9" applyFont="1" applyProtection="1"/>
    <xf numFmtId="49" fontId="11" fillId="0" borderId="0" xfId="9" applyNumberFormat="1" applyFont="1" applyAlignment="1" applyProtection="1">
      <alignment vertical="top"/>
    </xf>
    <xf numFmtId="49" fontId="12" fillId="0" borderId="0" xfId="9" applyNumberFormat="1" applyAlignment="1" applyProtection="1">
      <alignment vertical="top"/>
    </xf>
    <xf numFmtId="0" fontId="12" fillId="0" borderId="0" xfId="9" applyAlignment="1" applyProtection="1">
      <alignment vertical="top"/>
    </xf>
    <xf numFmtId="0" fontId="10" fillId="0" borderId="0" xfId="9" applyNumberFormat="1" applyFont="1" applyAlignment="1" applyProtection="1">
      <alignment vertical="top"/>
    </xf>
    <xf numFmtId="49" fontId="13" fillId="4" borderId="0" xfId="9" applyNumberFormat="1" applyFont="1" applyFill="1" applyAlignment="1" applyProtection="1">
      <alignment vertical="center"/>
    </xf>
    <xf numFmtId="49" fontId="12" fillId="4" borderId="0" xfId="9" applyNumberFormat="1" applyFill="1" applyAlignment="1" applyProtection="1">
      <alignment vertical="center"/>
    </xf>
    <xf numFmtId="0" fontId="12" fillId="4" borderId="0" xfId="9" applyFill="1" applyAlignment="1" applyProtection="1">
      <alignment vertical="center"/>
    </xf>
    <xf numFmtId="0" fontId="12" fillId="4" borderId="0" xfId="9" applyFill="1" applyProtection="1"/>
    <xf numFmtId="49" fontId="12" fillId="0" borderId="0" xfId="9" applyNumberFormat="1" applyAlignment="1" applyProtection="1">
      <alignment vertical="center"/>
    </xf>
    <xf numFmtId="0" fontId="12" fillId="0" borderId="0" xfId="9" applyAlignment="1" applyProtection="1">
      <alignment vertical="center"/>
    </xf>
    <xf numFmtId="0" fontId="12" fillId="0" borderId="0" xfId="9" applyAlignment="1" applyProtection="1"/>
    <xf numFmtId="0" fontId="51" fillId="12" borderId="0" xfId="9" applyFont="1" applyFill="1" applyAlignment="1" applyProtection="1">
      <alignment horizontal="center" vertical="center"/>
    </xf>
    <xf numFmtId="49" fontId="12" fillId="0" borderId="0" xfId="9" applyNumberFormat="1" applyFont="1" applyAlignment="1" applyProtection="1">
      <alignment vertical="center"/>
    </xf>
    <xf numFmtId="0" fontId="12" fillId="12" borderId="0" xfId="9" applyFill="1" applyAlignment="1" applyProtection="1">
      <alignment vertical="center"/>
    </xf>
    <xf numFmtId="0" fontId="12" fillId="0" borderId="0" xfId="9" applyFill="1" applyAlignment="1" applyProtection="1">
      <alignment vertical="center"/>
    </xf>
    <xf numFmtId="49" fontId="12" fillId="0" borderId="64" xfId="9" applyNumberFormat="1" applyFill="1" applyBorder="1" applyAlignment="1" applyProtection="1">
      <alignment vertical="center"/>
    </xf>
    <xf numFmtId="3" fontId="12" fillId="0" borderId="64" xfId="9" applyNumberFormat="1" applyFill="1" applyBorder="1" applyAlignment="1" applyProtection="1">
      <alignment vertical="center"/>
    </xf>
    <xf numFmtId="0" fontId="12" fillId="0" borderId="64" xfId="9" applyFont="1" applyFill="1" applyBorder="1" applyAlignment="1" applyProtection="1">
      <alignment horizontal="left" vertical="center"/>
    </xf>
    <xf numFmtId="0" fontId="12" fillId="0" borderId="64" xfId="9" applyFont="1" applyFill="1" applyBorder="1" applyAlignment="1" applyProtection="1">
      <alignment vertical="center"/>
    </xf>
    <xf numFmtId="0" fontId="15" fillId="0" borderId="64" xfId="9" applyFont="1" applyFill="1" applyBorder="1" applyAlignment="1" applyProtection="1">
      <alignment horizontal="right" vertical="center"/>
    </xf>
    <xf numFmtId="0" fontId="15" fillId="0" borderId="64" xfId="9" applyFont="1" applyFill="1" applyBorder="1" applyAlignment="1" applyProtection="1">
      <alignment vertical="center"/>
    </xf>
    <xf numFmtId="0" fontId="12" fillId="0" borderId="64" xfId="9" applyFill="1" applyBorder="1" applyAlignment="1" applyProtection="1">
      <alignment vertical="center"/>
    </xf>
    <xf numFmtId="0" fontId="12" fillId="0" borderId="13" xfId="9" applyFill="1" applyBorder="1" applyAlignment="1" applyProtection="1">
      <alignment vertical="center"/>
    </xf>
    <xf numFmtId="49" fontId="12" fillId="0" borderId="0" xfId="9" applyNumberFormat="1" applyFill="1" applyAlignment="1" applyProtection="1">
      <alignment vertical="center"/>
    </xf>
    <xf numFmtId="0" fontId="12" fillId="0" borderId="14" xfId="9" applyFill="1" applyBorder="1" applyAlignment="1" applyProtection="1">
      <alignment vertical="center"/>
    </xf>
    <xf numFmtId="0" fontId="17" fillId="0" borderId="0" xfId="9" applyFont="1" applyFill="1" applyBorder="1" applyAlignment="1" applyProtection="1">
      <alignment horizontal="center" vertical="center" wrapText="1"/>
    </xf>
    <xf numFmtId="0" fontId="12" fillId="0" borderId="76" xfId="9" applyFill="1" applyBorder="1" applyAlignment="1" applyProtection="1">
      <alignment vertical="center"/>
    </xf>
    <xf numFmtId="0" fontId="15" fillId="0" borderId="66" xfId="9" applyFont="1" applyFill="1" applyBorder="1" applyAlignment="1" applyProtection="1">
      <alignment horizontal="right" vertical="center" wrapText="1"/>
    </xf>
    <xf numFmtId="0" fontId="15" fillId="0" borderId="67" xfId="9" applyFont="1" applyFill="1" applyBorder="1" applyAlignment="1" applyProtection="1">
      <alignment wrapText="1"/>
    </xf>
    <xf numFmtId="0" fontId="12" fillId="12" borderId="0" xfId="9" applyFont="1" applyFill="1" applyAlignment="1" applyProtection="1">
      <alignment horizontal="right" vertical="center"/>
    </xf>
    <xf numFmtId="0" fontId="15" fillId="0" borderId="68" xfId="9" applyFont="1" applyFill="1" applyBorder="1" applyAlignment="1" applyProtection="1">
      <alignment horizontal="right" vertical="center" wrapText="1"/>
    </xf>
    <xf numFmtId="0" fontId="15" fillId="0" borderId="70" xfId="9" applyFont="1" applyFill="1" applyBorder="1" applyAlignment="1" applyProtection="1">
      <alignment wrapText="1"/>
    </xf>
    <xf numFmtId="2" fontId="15" fillId="0" borderId="0" xfId="9" applyNumberFormat="1" applyFont="1" applyFill="1" applyBorder="1" applyAlignment="1" applyProtection="1">
      <alignment vertical="center"/>
    </xf>
    <xf numFmtId="0" fontId="12" fillId="0" borderId="6" xfId="9" applyFill="1" applyBorder="1" applyAlignment="1" applyProtection="1">
      <alignment vertical="center"/>
    </xf>
    <xf numFmtId="0" fontId="12" fillId="0" borderId="71" xfId="9" applyFont="1" applyFill="1" applyBorder="1" applyAlignment="1" applyProtection="1">
      <alignment horizontal="left" vertical="center"/>
    </xf>
    <xf numFmtId="0" fontId="12" fillId="0" borderId="73" xfId="9" applyFont="1" applyFill="1" applyBorder="1" applyAlignment="1" applyProtection="1">
      <alignment horizontal="left" vertical="center"/>
    </xf>
    <xf numFmtId="0" fontId="12" fillId="0" borderId="72" xfId="9" applyFill="1" applyBorder="1" applyAlignment="1" applyProtection="1">
      <alignment vertical="center"/>
    </xf>
    <xf numFmtId="0" fontId="12" fillId="0" borderId="23" xfId="9" applyFont="1" applyFill="1" applyBorder="1" applyAlignment="1" applyProtection="1">
      <alignment vertical="center"/>
    </xf>
    <xf numFmtId="0" fontId="49" fillId="0" borderId="0" xfId="9" applyFont="1" applyBorder="1" applyAlignment="1" applyProtection="1">
      <alignment vertical="center"/>
    </xf>
    <xf numFmtId="0" fontId="15" fillId="0" borderId="67" xfId="9" applyFont="1" applyFill="1" applyBorder="1" applyAlignment="1" applyProtection="1">
      <alignment vertical="center" wrapText="1"/>
    </xf>
    <xf numFmtId="3" fontId="12" fillId="12" borderId="12" xfId="9" applyNumberFormat="1" applyFont="1" applyFill="1" applyBorder="1" applyAlignment="1" applyProtection="1">
      <alignment vertical="center"/>
    </xf>
    <xf numFmtId="0" fontId="15" fillId="0" borderId="20" xfId="9" applyFont="1" applyFill="1" applyBorder="1" applyAlignment="1" applyProtection="1">
      <alignment vertical="center"/>
    </xf>
    <xf numFmtId="3" fontId="15" fillId="0" borderId="21" xfId="9" applyNumberFormat="1" applyFont="1" applyFill="1" applyBorder="1" applyAlignment="1" applyProtection="1">
      <alignment horizontal="right" vertical="center"/>
    </xf>
    <xf numFmtId="3" fontId="12" fillId="12" borderId="0" xfId="9" applyNumberFormat="1" applyFont="1" applyFill="1" applyBorder="1" applyAlignment="1" applyProtection="1">
      <alignment vertical="center"/>
    </xf>
    <xf numFmtId="49" fontId="12" fillId="0" borderId="64" xfId="9" applyNumberFormat="1" applyFill="1" applyBorder="1" applyAlignment="1" applyProtection="1">
      <alignment horizontal="left" vertical="center"/>
    </xf>
    <xf numFmtId="3" fontId="12" fillId="0" borderId="64" xfId="9" applyNumberFormat="1" applyFill="1" applyBorder="1" applyAlignment="1" applyProtection="1">
      <alignment horizontal="right" vertical="center"/>
    </xf>
    <xf numFmtId="0" fontId="17" fillId="0" borderId="0" xfId="9" applyFont="1" applyFill="1" applyBorder="1" applyAlignment="1" applyProtection="1">
      <alignment vertical="center" wrapText="1"/>
    </xf>
    <xf numFmtId="0" fontId="12" fillId="0" borderId="0" xfId="9" applyFill="1" applyBorder="1" applyAlignment="1" applyProtection="1">
      <alignment vertical="center"/>
    </xf>
    <xf numFmtId="0" fontId="64" fillId="0" borderId="85" xfId="9" applyFont="1" applyBorder="1" applyAlignment="1" applyProtection="1">
      <alignment vertical="center"/>
    </xf>
    <xf numFmtId="0" fontId="65" fillId="0" borderId="86" xfId="9" applyFont="1" applyBorder="1" applyAlignment="1" applyProtection="1">
      <alignment vertical="center"/>
    </xf>
    <xf numFmtId="0" fontId="65" fillId="0" borderId="87" xfId="9" applyFont="1" applyBorder="1" applyAlignment="1" applyProtection="1">
      <alignment vertical="center"/>
    </xf>
    <xf numFmtId="0" fontId="12" fillId="12" borderId="0" xfId="9" applyFill="1" applyAlignment="1" applyProtection="1">
      <alignment horizontal="right" vertical="center"/>
    </xf>
    <xf numFmtId="0" fontId="65" fillId="0" borderId="80" xfId="9" applyFont="1" applyBorder="1" applyAlignment="1" applyProtection="1">
      <alignment vertical="center"/>
    </xf>
    <xf numFmtId="0" fontId="65" fillId="0" borderId="0" xfId="9" applyFont="1" applyBorder="1" applyAlignment="1" applyProtection="1">
      <alignment vertical="center"/>
    </xf>
    <xf numFmtId="0" fontId="65" fillId="0" borderId="81" xfId="9" applyFont="1" applyBorder="1" applyAlignment="1" applyProtection="1">
      <alignment vertical="center"/>
    </xf>
    <xf numFmtId="49" fontId="12" fillId="0" borderId="61" xfId="9" applyNumberFormat="1" applyFill="1" applyBorder="1" applyAlignment="1" applyProtection="1">
      <alignment vertical="center"/>
    </xf>
    <xf numFmtId="49" fontId="12" fillId="0" borderId="14" xfId="9" applyNumberFormat="1" applyFill="1" applyBorder="1" applyAlignment="1" applyProtection="1">
      <alignment vertical="center"/>
    </xf>
    <xf numFmtId="0" fontId="48" fillId="0" borderId="0" xfId="9" applyFont="1" applyFill="1" applyAlignment="1" applyProtection="1">
      <alignment vertical="center"/>
    </xf>
    <xf numFmtId="0" fontId="65" fillId="0" borderId="82" xfId="9" applyFont="1" applyBorder="1" applyAlignment="1" applyProtection="1">
      <alignment vertical="center"/>
    </xf>
    <xf numFmtId="0" fontId="65" fillId="0" borderId="83" xfId="9" applyFont="1" applyBorder="1" applyAlignment="1" applyProtection="1">
      <alignment vertical="center"/>
    </xf>
    <xf numFmtId="0" fontId="65" fillId="0" borderId="84" xfId="9" applyFont="1" applyBorder="1" applyAlignment="1" applyProtection="1">
      <alignment vertical="center"/>
    </xf>
    <xf numFmtId="9" fontId="48" fillId="0" borderId="0" xfId="9" applyNumberFormat="1" applyFont="1" applyFill="1" applyAlignment="1" applyProtection="1">
      <alignment vertical="center"/>
    </xf>
    <xf numFmtId="0" fontId="12" fillId="0" borderId="0" xfId="9" applyFont="1" applyAlignment="1" applyProtection="1">
      <alignment vertical="center"/>
    </xf>
    <xf numFmtId="49" fontId="12" fillId="0" borderId="6" xfId="9" applyNumberFormat="1" applyFill="1" applyBorder="1" applyAlignment="1" applyProtection="1">
      <alignment vertical="center"/>
    </xf>
    <xf numFmtId="49" fontId="12" fillId="0" borderId="64" xfId="9" applyNumberFormat="1" applyFont="1" applyFill="1" applyBorder="1" applyAlignment="1" applyProtection="1">
      <alignment vertical="center"/>
    </xf>
    <xf numFmtId="0" fontId="12" fillId="0" borderId="64" xfId="9" applyFont="1" applyFill="1" applyBorder="1" applyAlignment="1" applyProtection="1">
      <alignment horizontal="right" vertical="center" indent="1"/>
    </xf>
    <xf numFmtId="3" fontId="12" fillId="0" borderId="64" xfId="9" applyNumberFormat="1" applyFont="1" applyFill="1" applyBorder="1" applyAlignment="1" applyProtection="1">
      <alignment vertical="center"/>
    </xf>
    <xf numFmtId="49" fontId="12" fillId="0" borderId="0" xfId="9" applyNumberFormat="1" applyFont="1" applyFill="1" applyAlignment="1" applyProtection="1">
      <alignment vertical="center"/>
    </xf>
    <xf numFmtId="0" fontId="12" fillId="0" borderId="75" xfId="9" applyFill="1" applyBorder="1" applyAlignment="1" applyProtection="1">
      <alignment vertical="center"/>
    </xf>
    <xf numFmtId="0" fontId="12" fillId="0" borderId="0" xfId="9" applyFill="1" applyAlignment="1" applyProtection="1">
      <alignment horizontal="center" vertical="center"/>
    </xf>
    <xf numFmtId="0" fontId="12" fillId="0" borderId="15" xfId="9" applyFill="1" applyBorder="1" applyAlignment="1" applyProtection="1">
      <alignment vertical="center"/>
    </xf>
    <xf numFmtId="49" fontId="12" fillId="0" borderId="0" xfId="9" applyNumberFormat="1" applyFill="1" applyBorder="1" applyAlignment="1" applyProtection="1">
      <alignment vertical="center"/>
    </xf>
    <xf numFmtId="0" fontId="19" fillId="12" borderId="0" xfId="9" applyFont="1" applyFill="1" applyBorder="1" applyAlignment="1" applyProtection="1">
      <alignment horizontal="center" vertical="center" wrapText="1"/>
    </xf>
    <xf numFmtId="0" fontId="12" fillId="12" borderId="0" xfId="9" applyFill="1" applyBorder="1" applyAlignment="1" applyProtection="1">
      <alignment vertical="center"/>
    </xf>
    <xf numFmtId="0" fontId="12" fillId="0" borderId="62" xfId="9" applyFill="1" applyBorder="1" applyAlignment="1" applyProtection="1">
      <alignment vertical="center"/>
    </xf>
    <xf numFmtId="0" fontId="15" fillId="12" borderId="0" xfId="9" applyFont="1" applyFill="1" applyBorder="1" applyAlignment="1" applyProtection="1">
      <alignment vertical="center"/>
    </xf>
    <xf numFmtId="3" fontId="15" fillId="12" borderId="0" xfId="9" applyNumberFormat="1" applyFont="1" applyFill="1" applyBorder="1" applyAlignment="1" applyProtection="1">
      <alignment horizontal="right" vertical="center"/>
    </xf>
    <xf numFmtId="49" fontId="12" fillId="0" borderId="9" xfId="9" applyNumberFormat="1" applyFill="1" applyBorder="1" applyAlignment="1" applyProtection="1">
      <alignment vertical="center"/>
    </xf>
    <xf numFmtId="0" fontId="15" fillId="0" borderId="64" xfId="9" applyFont="1" applyFill="1" applyBorder="1" applyAlignment="1" applyProtection="1">
      <alignment vertical="center" wrapText="1"/>
    </xf>
    <xf numFmtId="0" fontId="15" fillId="0" borderId="70" xfId="9" applyFont="1" applyFill="1" applyBorder="1" applyAlignment="1" applyProtection="1">
      <alignment vertical="center" wrapText="1"/>
    </xf>
    <xf numFmtId="49" fontId="17" fillId="0" borderId="0" xfId="9" applyNumberFormat="1" applyFont="1" applyAlignment="1" applyProtection="1">
      <alignment vertical="center"/>
    </xf>
    <xf numFmtId="0" fontId="65" fillId="0" borderId="0" xfId="9" applyFont="1" applyAlignment="1" applyProtection="1">
      <alignment vertical="center"/>
    </xf>
    <xf numFmtId="0" fontId="64" fillId="0" borderId="77" xfId="9" applyFont="1" applyBorder="1" applyAlignment="1" applyProtection="1">
      <alignment vertical="center"/>
    </xf>
    <xf numFmtId="0" fontId="65" fillId="0" borderId="79" xfId="9" applyFont="1" applyBorder="1" applyAlignment="1" applyProtection="1">
      <alignment vertical="center"/>
    </xf>
    <xf numFmtId="49" fontId="12" fillId="0" borderId="65" xfId="9" applyNumberFormat="1" applyFont="1" applyBorder="1" applyAlignment="1" applyProtection="1">
      <alignment horizontal="right" vertical="center" indent="1"/>
    </xf>
    <xf numFmtId="0" fontId="12" fillId="0" borderId="65" xfId="9" applyFont="1" applyBorder="1" applyAlignment="1" applyProtection="1">
      <alignment horizontal="right" vertical="center"/>
    </xf>
    <xf numFmtId="0" fontId="12" fillId="0" borderId="65" xfId="9" applyBorder="1" applyAlignment="1" applyProtection="1">
      <alignment vertical="center"/>
    </xf>
    <xf numFmtId="0" fontId="65" fillId="0" borderId="77" xfId="9" applyFont="1" applyBorder="1" applyAlignment="1" applyProtection="1">
      <alignment vertical="center"/>
    </xf>
    <xf numFmtId="0" fontId="65" fillId="0" borderId="78" xfId="9" applyFont="1" applyBorder="1" applyAlignment="1" applyProtection="1">
      <alignment vertical="center"/>
    </xf>
    <xf numFmtId="49" fontId="23" fillId="0" borderId="0" xfId="9" applyNumberFormat="1" applyFont="1" applyAlignment="1" applyProtection="1"/>
    <xf numFmtId="0" fontId="65" fillId="0" borderId="0" xfId="9" applyFont="1" applyAlignment="1" applyProtection="1"/>
    <xf numFmtId="0" fontId="65" fillId="0" borderId="0" xfId="9" applyFont="1" applyAlignment="1" applyProtection="1">
      <alignment horizontal="left"/>
    </xf>
    <xf numFmtId="49" fontId="12" fillId="0" borderId="64" xfId="9" applyNumberFormat="1" applyFill="1" applyBorder="1" applyAlignment="1" applyProtection="1">
      <alignment horizontal="left" vertical="center"/>
      <protection locked="0"/>
    </xf>
    <xf numFmtId="180" fontId="101" fillId="7" borderId="18" xfId="8" applyNumberFormat="1" applyFont="1" applyFill="1" applyBorder="1" applyAlignment="1" applyProtection="1">
      <alignment horizontal="center" vertical="center"/>
      <protection locked="0"/>
    </xf>
    <xf numFmtId="180" fontId="101" fillId="7" borderId="17" xfId="8" applyNumberFormat="1" applyFont="1" applyFill="1" applyBorder="1" applyAlignment="1" applyProtection="1">
      <alignment horizontal="center" vertical="center"/>
      <protection locked="0"/>
    </xf>
    <xf numFmtId="9" fontId="9" fillId="7" borderId="125" xfId="5" applyFont="1" applyFill="1" applyBorder="1" applyAlignment="1" applyProtection="1">
      <alignment horizontal="right"/>
      <protection locked="0"/>
    </xf>
    <xf numFmtId="180" fontId="101" fillId="7" borderId="19" xfId="8" applyNumberFormat="1" applyFont="1" applyFill="1" applyBorder="1" applyAlignment="1" applyProtection="1">
      <alignment horizontal="center" vertical="center"/>
      <protection locked="0"/>
    </xf>
    <xf numFmtId="49" fontId="9" fillId="7" borderId="3" xfId="8" applyNumberFormat="1" applyFont="1" applyFill="1" applyBorder="1" applyAlignment="1" applyProtection="1">
      <protection locked="0"/>
    </xf>
    <xf numFmtId="49" fontId="9" fillId="7" borderId="3" xfId="8" applyNumberFormat="1" applyFont="1" applyBorder="1" applyAlignment="1" applyProtection="1">
      <protection locked="0"/>
    </xf>
    <xf numFmtId="186" fontId="9" fillId="7" borderId="125" xfId="5" applyNumberFormat="1" applyFont="1" applyFill="1" applyBorder="1" applyAlignment="1" applyProtection="1">
      <alignment horizontal="right"/>
      <protection locked="0"/>
    </xf>
    <xf numFmtId="0" fontId="9" fillId="0" borderId="0" xfId="0" applyFont="1" applyProtection="1"/>
    <xf numFmtId="3" fontId="22" fillId="0" borderId="61" xfId="1" applyNumberFormat="1" applyFont="1" applyFill="1" applyBorder="1" applyAlignment="1" applyProtection="1">
      <alignment horizontal="center" vertical="center"/>
    </xf>
    <xf numFmtId="0" fontId="34" fillId="0" borderId="226" xfId="1" applyFont="1" applyFill="1" applyBorder="1" applyAlignment="1" applyProtection="1">
      <alignment vertical="center"/>
    </xf>
    <xf numFmtId="168" fontId="34" fillId="0" borderId="175" xfId="8" applyNumberFormat="1" applyFont="1" applyFill="1" applyBorder="1" applyAlignment="1" applyProtection="1">
      <alignment horizontal="right"/>
    </xf>
    <xf numFmtId="0" fontId="9" fillId="0" borderId="31" xfId="1" applyFont="1" applyFill="1" applyBorder="1" applyAlignment="1" applyProtection="1">
      <alignment vertical="center"/>
    </xf>
    <xf numFmtId="3" fontId="105" fillId="23" borderId="17" xfId="1" applyNumberFormat="1" applyFont="1" applyFill="1" applyBorder="1" applyAlignment="1" applyProtection="1">
      <alignment horizontal="center" vertical="center"/>
    </xf>
    <xf numFmtId="3" fontId="22" fillId="0" borderId="17" xfId="1" applyNumberFormat="1" applyFont="1" applyFill="1" applyBorder="1" applyAlignment="1" applyProtection="1">
      <alignment horizontal="center" vertical="center"/>
    </xf>
    <xf numFmtId="3" fontId="22" fillId="0" borderId="14" xfId="1" applyNumberFormat="1" applyFont="1" applyFill="1" applyBorder="1" applyAlignment="1" applyProtection="1">
      <alignment horizontal="center" vertical="center"/>
    </xf>
    <xf numFmtId="0" fontId="9" fillId="0" borderId="71" xfId="1" applyFont="1" applyFill="1" applyBorder="1" applyAlignment="1" applyProtection="1">
      <alignment vertical="center"/>
    </xf>
    <xf numFmtId="3" fontId="22" fillId="0" borderId="47" xfId="1" applyNumberFormat="1" applyFont="1" applyFill="1" applyBorder="1" applyAlignment="1" applyProtection="1">
      <alignment horizontal="center" vertical="center"/>
    </xf>
    <xf numFmtId="0" fontId="101" fillId="0" borderId="134" xfId="1" applyNumberFormat="1" applyFont="1" applyFill="1" applyBorder="1" applyAlignment="1" applyProtection="1">
      <alignment horizontal="center" vertical="center"/>
    </xf>
    <xf numFmtId="190" fontId="101" fillId="0" borderId="134" xfId="8" applyNumberFormat="1" applyFont="1" applyFill="1" applyBorder="1" applyAlignment="1" applyProtection="1">
      <alignment horizontal="right" vertical="center"/>
    </xf>
    <xf numFmtId="168" fontId="9" fillId="0" borderId="162" xfId="8" applyNumberFormat="1" applyFont="1" applyFill="1" applyBorder="1" applyAlignment="1" applyProtection="1">
      <alignment horizontal="right" vertical="center"/>
    </xf>
    <xf numFmtId="0" fontId="34" fillId="0" borderId="229" xfId="1" applyFont="1" applyFill="1" applyBorder="1" applyAlignment="1" applyProtection="1">
      <alignment vertical="center"/>
    </xf>
    <xf numFmtId="0" fontId="34" fillId="0" borderId="25" xfId="1" applyFont="1" applyFill="1" applyBorder="1" applyAlignment="1" applyProtection="1">
      <alignment vertical="center"/>
    </xf>
    <xf numFmtId="3" fontId="22" fillId="0" borderId="12" xfId="1" applyNumberFormat="1" applyFont="1" applyFill="1" applyBorder="1" applyAlignment="1" applyProtection="1">
      <alignment horizontal="center" vertical="center"/>
    </xf>
    <xf numFmtId="0" fontId="9" fillId="0" borderId="230" xfId="1" applyFont="1" applyFill="1" applyBorder="1" applyAlignment="1" applyProtection="1">
      <alignment vertical="center"/>
    </xf>
    <xf numFmtId="3" fontId="22" fillId="0" borderId="19" xfId="1" applyNumberFormat="1" applyFont="1" applyFill="1" applyBorder="1" applyAlignment="1" applyProtection="1">
      <alignment horizontal="center" vertical="center"/>
    </xf>
    <xf numFmtId="0" fontId="9" fillId="0" borderId="26" xfId="1" applyFont="1" applyFill="1" applyBorder="1" applyAlignment="1" applyProtection="1">
      <alignment vertical="center"/>
    </xf>
    <xf numFmtId="0" fontId="9" fillId="0" borderId="231" xfId="1" applyFont="1" applyFill="1" applyBorder="1" applyAlignment="1" applyProtection="1">
      <alignment vertical="center"/>
    </xf>
    <xf numFmtId="0" fontId="9" fillId="0" borderId="232" xfId="1" applyFont="1" applyFill="1" applyBorder="1" applyAlignment="1" applyProtection="1">
      <alignment vertical="center"/>
    </xf>
    <xf numFmtId="0" fontId="9" fillId="0" borderId="233" xfId="1" applyFont="1" applyFill="1" applyBorder="1" applyAlignment="1" applyProtection="1">
      <alignment vertical="center"/>
    </xf>
    <xf numFmtId="0" fontId="9" fillId="0" borderId="3" xfId="1" applyFont="1" applyFill="1" applyBorder="1" applyAlignment="1" applyProtection="1">
      <alignment vertical="center"/>
    </xf>
    <xf numFmtId="0" fontId="9" fillId="0" borderId="0" xfId="1" applyFont="1" applyFill="1" applyBorder="1" applyAlignment="1" applyProtection="1">
      <alignment vertical="center"/>
    </xf>
    <xf numFmtId="0" fontId="9" fillId="0" borderId="75" xfId="1" applyFont="1" applyFill="1" applyBorder="1" applyAlignment="1" applyProtection="1">
      <alignment vertical="center"/>
    </xf>
    <xf numFmtId="168" fontId="9" fillId="0" borderId="33" xfId="8" applyNumberFormat="1" applyFont="1" applyFill="1" applyBorder="1" applyAlignment="1" applyProtection="1">
      <alignment horizontal="right" vertical="center"/>
    </xf>
    <xf numFmtId="168" fontId="9" fillId="0" borderId="227" xfId="8" applyNumberFormat="1" applyFont="1" applyFill="1" applyBorder="1" applyAlignment="1" applyProtection="1">
      <alignment horizontal="right" vertical="center"/>
    </xf>
    <xf numFmtId="168" fontId="9" fillId="25" borderId="33" xfId="8" applyNumberFormat="1" applyFont="1" applyFill="1" applyBorder="1" applyAlignment="1" applyProtection="1">
      <alignment horizontal="right" vertical="center"/>
    </xf>
    <xf numFmtId="2" fontId="9" fillId="0" borderId="75" xfId="8" applyNumberFormat="1" applyFont="1" applyFill="1" applyBorder="1" applyAlignment="1" applyProtection="1"/>
    <xf numFmtId="0" fontId="9" fillId="25" borderId="0" xfId="8" applyNumberFormat="1" applyFill="1" applyBorder="1" applyAlignment="1" applyProtection="1"/>
    <xf numFmtId="0" fontId="9" fillId="25" borderId="75" xfId="8" applyNumberFormat="1" applyFill="1" applyBorder="1" applyAlignment="1" applyProtection="1"/>
    <xf numFmtId="2" fontId="9" fillId="0" borderId="75" xfId="8" applyNumberFormat="1" applyFont="1" applyFill="1" applyBorder="1" applyAlignment="1" applyProtection="1">
      <alignment horizontal="left"/>
    </xf>
    <xf numFmtId="0" fontId="9" fillId="0" borderId="64" xfId="8" applyNumberFormat="1" applyFill="1" applyBorder="1" applyAlignment="1" applyProtection="1"/>
    <xf numFmtId="0" fontId="9" fillId="0" borderId="133" xfId="8" applyNumberFormat="1" applyFill="1" applyBorder="1" applyAlignment="1" applyProtection="1"/>
    <xf numFmtId="0" fontId="96" fillId="0" borderId="3" xfId="7" applyFont="1" applyBorder="1" applyAlignment="1" applyProtection="1">
      <alignment horizontal="left"/>
    </xf>
    <xf numFmtId="190" fontId="34" fillId="0" borderId="0" xfId="7" applyNumberFormat="1" applyFont="1" applyFill="1" applyBorder="1" applyAlignment="1" applyProtection="1">
      <alignment horizontal="right"/>
    </xf>
    <xf numFmtId="186" fontId="9" fillId="0" borderId="75" xfId="7" applyNumberFormat="1" applyFont="1" applyBorder="1" applyAlignment="1" applyProtection="1">
      <alignment horizontal="center"/>
    </xf>
    <xf numFmtId="186" fontId="9" fillId="0" borderId="0" xfId="7" applyNumberFormat="1" applyFont="1" applyBorder="1" applyAlignment="1" applyProtection="1">
      <alignment horizontal="center"/>
    </xf>
    <xf numFmtId="192" fontId="96" fillId="0" borderId="0" xfId="7" applyNumberFormat="1" applyFont="1" applyFill="1" applyBorder="1" applyAlignment="1" applyProtection="1">
      <alignment horizontal="right"/>
    </xf>
    <xf numFmtId="0" fontId="9" fillId="0" borderId="226" xfId="1" applyFont="1" applyFill="1" applyBorder="1" applyAlignment="1" applyProtection="1">
      <alignment vertical="center"/>
    </xf>
    <xf numFmtId="3" fontId="105" fillId="0" borderId="135" xfId="1" applyNumberFormat="1" applyFont="1" applyFill="1" applyBorder="1" applyAlignment="1" applyProtection="1">
      <alignment horizontal="center" vertical="center"/>
    </xf>
    <xf numFmtId="0" fontId="101" fillId="0" borderId="58" xfId="1" applyNumberFormat="1" applyFont="1" applyFill="1" applyBorder="1" applyAlignment="1" applyProtection="1">
      <alignment horizontal="center" vertical="center"/>
    </xf>
    <xf numFmtId="3" fontId="22" fillId="0" borderId="5" xfId="1" applyNumberFormat="1" applyFont="1" applyFill="1" applyBorder="1" applyAlignment="1" applyProtection="1">
      <alignment horizontal="center" vertical="center"/>
    </xf>
    <xf numFmtId="0" fontId="101" fillId="0" borderId="125" xfId="1" applyNumberFormat="1" applyFont="1" applyFill="1" applyBorder="1" applyAlignment="1" applyProtection="1">
      <alignment horizontal="center" vertical="center"/>
    </xf>
    <xf numFmtId="0" fontId="34" fillId="0" borderId="10" xfId="0" applyFont="1" applyBorder="1" applyProtection="1"/>
    <xf numFmtId="0" fontId="9" fillId="0" borderId="10" xfId="0" applyFont="1" applyBorder="1" applyProtection="1"/>
    <xf numFmtId="0" fontId="9" fillId="0" borderId="49" xfId="0" applyFont="1" applyBorder="1" applyProtection="1"/>
    <xf numFmtId="0" fontId="9" fillId="0" borderId="21" xfId="0" applyFont="1" applyBorder="1" applyProtection="1"/>
    <xf numFmtId="0" fontId="9" fillId="0" borderId="23" xfId="0" applyFont="1" applyBorder="1" applyProtection="1"/>
    <xf numFmtId="0" fontId="9" fillId="0" borderId="10" xfId="1" applyFont="1" applyFill="1" applyBorder="1" applyAlignment="1" applyProtection="1">
      <alignment vertical="center"/>
    </xf>
    <xf numFmtId="170" fontId="34" fillId="0" borderId="0" xfId="1" applyNumberFormat="1" applyFont="1" applyFill="1" applyBorder="1" applyAlignment="1" applyProtection="1">
      <alignment horizontal="center"/>
    </xf>
    <xf numFmtId="186" fontId="98" fillId="0" borderId="0" xfId="0" applyNumberFormat="1" applyFont="1" applyBorder="1" applyProtection="1"/>
    <xf numFmtId="179" fontId="99" fillId="0" borderId="0" xfId="1" applyNumberFormat="1" applyFont="1" applyFill="1" applyBorder="1" applyAlignment="1" applyProtection="1">
      <alignment horizontal="right" vertical="center"/>
    </xf>
    <xf numFmtId="185" fontId="34" fillId="0" borderId="34" xfId="2" applyNumberFormat="1" applyFont="1" applyFill="1" applyBorder="1" applyAlignment="1" applyProtection="1">
      <alignment horizontal="right" indent="2"/>
      <protection hidden="1"/>
    </xf>
    <xf numFmtId="185" fontId="34" fillId="0" borderId="22" xfId="2" applyNumberFormat="1" applyFont="1" applyFill="1" applyBorder="1" applyAlignment="1" applyProtection="1">
      <alignment horizontal="right" indent="2"/>
      <protection hidden="1"/>
    </xf>
    <xf numFmtId="185" fontId="34" fillId="0" borderId="38" xfId="2" applyNumberFormat="1" applyFont="1" applyFill="1" applyBorder="1" applyAlignment="1" applyProtection="1">
      <alignment horizontal="right" indent="2"/>
      <protection hidden="1"/>
    </xf>
    <xf numFmtId="0" fontId="9" fillId="0" borderId="37" xfId="8" applyNumberFormat="1" applyFont="1" applyFill="1" applyBorder="1" applyAlignment="1" applyProtection="1"/>
    <xf numFmtId="0" fontId="22" fillId="0" borderId="64" xfId="1" applyFont="1" applyBorder="1" applyAlignment="1" applyProtection="1">
      <alignment horizontal="center" vertical="center"/>
      <protection hidden="1"/>
    </xf>
    <xf numFmtId="178" fontId="34" fillId="0" borderId="64" xfId="1" applyNumberFormat="1" applyFont="1" applyBorder="1" applyAlignment="1" applyProtection="1">
      <alignment horizontal="center" vertical="center"/>
      <protection hidden="1"/>
    </xf>
    <xf numFmtId="178" fontId="34" fillId="0" borderId="8" xfId="1" applyNumberFormat="1" applyFont="1" applyBorder="1" applyAlignment="1" applyProtection="1">
      <alignment horizontal="center" vertical="center"/>
      <protection hidden="1"/>
    </xf>
    <xf numFmtId="0" fontId="0" fillId="0" borderId="0" xfId="0" applyProtection="1"/>
    <xf numFmtId="0" fontId="34" fillId="0" borderId="10" xfId="1" applyFont="1" applyBorder="1" applyAlignment="1" applyProtection="1">
      <alignment horizontal="center" vertical="center"/>
      <protection hidden="1"/>
    </xf>
    <xf numFmtId="0" fontId="34" fillId="0" borderId="0" xfId="1" applyFont="1" applyBorder="1" applyAlignment="1" applyProtection="1">
      <alignment horizontal="center" vertical="center"/>
      <protection hidden="1"/>
    </xf>
    <xf numFmtId="0" fontId="34" fillId="0" borderId="44" xfId="1" applyFont="1" applyBorder="1" applyAlignment="1" applyProtection="1">
      <alignment vertical="center"/>
      <protection hidden="1"/>
    </xf>
    <xf numFmtId="190" fontId="9" fillId="0" borderId="63" xfId="7" applyNumberFormat="1" applyFont="1" applyFill="1" applyBorder="1" applyAlignment="1" applyProtection="1">
      <alignment horizontal="right"/>
    </xf>
    <xf numFmtId="190" fontId="9" fillId="0" borderId="64" xfId="7" applyNumberFormat="1" applyFont="1" applyFill="1" applyBorder="1" applyAlignment="1" applyProtection="1">
      <alignment horizontal="right"/>
    </xf>
    <xf numFmtId="190" fontId="9" fillId="0" borderId="133" xfId="7" applyNumberFormat="1" applyFont="1" applyFill="1" applyBorder="1" applyAlignment="1" applyProtection="1">
      <alignment horizontal="right"/>
    </xf>
    <xf numFmtId="0" fontId="12" fillId="0" borderId="42" xfId="1" applyFont="1" applyBorder="1" applyAlignment="1" applyProtection="1">
      <alignment vertical="center"/>
      <protection hidden="1"/>
    </xf>
    <xf numFmtId="170" fontId="34" fillId="0" borderId="0" xfId="1" applyNumberFormat="1" applyFont="1" applyFill="1" applyAlignment="1" applyProtection="1">
      <alignment horizontal="center"/>
      <protection hidden="1"/>
    </xf>
    <xf numFmtId="0" fontId="9" fillId="0" borderId="42" xfId="1" applyFont="1" applyBorder="1" applyAlignment="1" applyProtection="1">
      <alignment vertical="center"/>
      <protection hidden="1"/>
    </xf>
    <xf numFmtId="186" fontId="9" fillId="0" borderId="124" xfId="1" applyNumberFormat="1" applyFont="1" applyBorder="1" applyAlignment="1" applyProtection="1">
      <alignment vertical="center"/>
      <protection hidden="1"/>
    </xf>
    <xf numFmtId="186" fontId="9" fillId="0" borderId="134" xfId="1" applyNumberFormat="1" applyFont="1" applyBorder="1" applyAlignment="1" applyProtection="1">
      <alignment vertical="center"/>
      <protection hidden="1"/>
    </xf>
    <xf numFmtId="186" fontId="9" fillId="0" borderId="134" xfId="1" applyNumberFormat="1" applyFont="1" applyFill="1" applyBorder="1" applyAlignment="1" applyProtection="1">
      <alignment vertical="center"/>
      <protection hidden="1"/>
    </xf>
    <xf numFmtId="186" fontId="9" fillId="0" borderId="125" xfId="1" applyNumberFormat="1" applyFont="1" applyBorder="1" applyAlignment="1" applyProtection="1">
      <alignment vertical="center"/>
      <protection hidden="1"/>
    </xf>
    <xf numFmtId="0" fontId="57" fillId="0" borderId="0" xfId="0" applyFont="1" applyAlignment="1" applyProtection="1">
      <alignment horizontal="center" vertical="top" wrapText="1"/>
    </xf>
    <xf numFmtId="0" fontId="12" fillId="6" borderId="0" xfId="0" applyFont="1" applyFill="1" applyBorder="1" applyAlignment="1" applyProtection="1">
      <alignment vertical="center"/>
    </xf>
    <xf numFmtId="0" fontId="9" fillId="0" borderId="55" xfId="1" applyFont="1" applyFill="1" applyBorder="1" applyAlignment="1" applyProtection="1">
      <alignment vertical="center"/>
    </xf>
    <xf numFmtId="3" fontId="22" fillId="0" borderId="137" xfId="1" applyNumberFormat="1" applyFont="1" applyFill="1" applyBorder="1" applyAlignment="1" applyProtection="1">
      <alignment horizontal="center" vertical="center"/>
    </xf>
    <xf numFmtId="0" fontId="101" fillId="0" borderId="136" xfId="1" applyNumberFormat="1" applyFont="1" applyFill="1" applyBorder="1" applyAlignment="1" applyProtection="1">
      <alignment horizontal="center" vertical="center"/>
    </xf>
    <xf numFmtId="190" fontId="9" fillId="0" borderId="137" xfId="1" applyNumberFormat="1" applyFont="1" applyFill="1" applyBorder="1" applyAlignment="1" applyProtection="1">
      <alignment horizontal="right" vertical="center"/>
      <protection hidden="1"/>
    </xf>
    <xf numFmtId="190" fontId="101" fillId="0" borderId="136" xfId="8" applyNumberFormat="1" applyFont="1" applyFill="1" applyBorder="1" applyAlignment="1" applyProtection="1">
      <alignment horizontal="right" vertical="center"/>
    </xf>
    <xf numFmtId="0" fontId="65" fillId="0" borderId="85" xfId="9" applyFont="1" applyBorder="1" applyAlignment="1" applyProtection="1">
      <alignment vertical="center"/>
    </xf>
    <xf numFmtId="0" fontId="65" fillId="0" borderId="223" xfId="9" applyFont="1" applyBorder="1" applyAlignment="1" applyProtection="1">
      <alignment vertical="center"/>
    </xf>
    <xf numFmtId="188" fontId="0" fillId="0" borderId="0" xfId="6" applyNumberFormat="1" applyFont="1"/>
    <xf numFmtId="3" fontId="0" fillId="0" borderId="0" xfId="0" applyNumberFormat="1"/>
    <xf numFmtId="0" fontId="12" fillId="13" borderId="52" xfId="0" applyFont="1" applyFill="1" applyBorder="1" applyAlignment="1">
      <alignment vertical="center" wrapText="1"/>
    </xf>
    <xf numFmtId="9" fontId="72" fillId="0" borderId="64" xfId="9" applyNumberFormat="1" applyFont="1" applyFill="1" applyBorder="1" applyAlignment="1" applyProtection="1">
      <alignment vertical="center"/>
      <protection locked="0"/>
    </xf>
    <xf numFmtId="9" fontId="15" fillId="0" borderId="12" xfId="9" applyNumberFormat="1" applyFont="1" applyFill="1" applyBorder="1" applyAlignment="1" applyProtection="1">
      <alignment vertical="center"/>
    </xf>
    <xf numFmtId="9" fontId="15" fillId="0" borderId="13" xfId="9" applyNumberFormat="1" applyFont="1" applyFill="1" applyBorder="1" applyAlignment="1" applyProtection="1">
      <alignment vertical="center"/>
    </xf>
    <xf numFmtId="49" fontId="17" fillId="0" borderId="64" xfId="9" applyNumberFormat="1" applyFont="1" applyFill="1" applyBorder="1" applyAlignment="1" applyProtection="1">
      <alignment vertical="center"/>
    </xf>
    <xf numFmtId="49" fontId="17" fillId="0" borderId="64" xfId="9" applyNumberFormat="1" applyFont="1" applyFill="1" applyBorder="1" applyAlignment="1">
      <alignment vertical="center"/>
    </xf>
    <xf numFmtId="0" fontId="15" fillId="0" borderId="64" xfId="9" applyFont="1" applyFill="1" applyBorder="1" applyAlignment="1">
      <alignment horizontal="right" vertical="center"/>
    </xf>
    <xf numFmtId="9" fontId="72" fillId="0" borderId="64" xfId="9" applyNumberFormat="1" applyFont="1" applyFill="1" applyBorder="1" applyAlignment="1" applyProtection="1">
      <alignment vertical="center"/>
    </xf>
    <xf numFmtId="0" fontId="11" fillId="0" borderId="0" xfId="0" applyFont="1" applyProtection="1"/>
    <xf numFmtId="0" fontId="11" fillId="0" borderId="0" xfId="9" applyFont="1" applyProtection="1"/>
    <xf numFmtId="0" fontId="11" fillId="0" borderId="0" xfId="9" applyFont="1"/>
    <xf numFmtId="0" fontId="11" fillId="0" borderId="0" xfId="2" applyFont="1" applyAlignment="1" applyProtection="1">
      <alignment vertical="center"/>
      <protection hidden="1"/>
    </xf>
    <xf numFmtId="0" fontId="0" fillId="0" borderId="0" xfId="0" applyProtection="1"/>
    <xf numFmtId="0" fontId="57" fillId="0" borderId="0" xfId="0" applyFont="1" applyAlignment="1" applyProtection="1">
      <alignment horizontal="center" vertical="top" wrapText="1"/>
    </xf>
    <xf numFmtId="0" fontId="13" fillId="0" borderId="0" xfId="1" applyFont="1" applyBorder="1" applyProtection="1">
      <protection hidden="1"/>
    </xf>
    <xf numFmtId="0" fontId="13" fillId="0" borderId="0" xfId="1" applyFont="1" applyBorder="1" applyAlignment="1" applyProtection="1">
      <alignment horizontal="right"/>
      <protection hidden="1"/>
    </xf>
    <xf numFmtId="0" fontId="0" fillId="0" borderId="0" xfId="0"/>
    <xf numFmtId="0" fontId="0" fillId="0" borderId="0" xfId="0" applyProtection="1"/>
    <xf numFmtId="0" fontId="34" fillId="0" borderId="0" xfId="1" applyFont="1" applyBorder="1" applyAlignment="1" applyProtection="1">
      <alignment horizontal="center" vertical="center"/>
      <protection hidden="1"/>
    </xf>
    <xf numFmtId="0" fontId="34" fillId="0" borderId="39" xfId="1" applyFont="1" applyBorder="1" applyAlignment="1" applyProtection="1">
      <alignment vertical="center"/>
      <protection hidden="1"/>
    </xf>
    <xf numFmtId="0" fontId="34" fillId="0" borderId="10" xfId="1" applyFont="1" applyBorder="1" applyAlignment="1" applyProtection="1">
      <alignment vertical="center"/>
      <protection hidden="1"/>
    </xf>
    <xf numFmtId="170" fontId="34" fillId="0" borderId="0" xfId="1" applyNumberFormat="1" applyFont="1" applyFill="1" applyAlignment="1" applyProtection="1">
      <alignment horizontal="center"/>
      <protection hidden="1"/>
    </xf>
    <xf numFmtId="0" fontId="57" fillId="0" borderId="0" xfId="0" applyFont="1" applyAlignment="1" applyProtection="1">
      <alignment horizontal="center" vertical="top" wrapText="1"/>
    </xf>
    <xf numFmtId="0" fontId="57" fillId="0" borderId="0" xfId="0" applyFont="1" applyAlignment="1">
      <alignment horizontal="center" vertical="top" wrapText="1"/>
    </xf>
    <xf numFmtId="186" fontId="9" fillId="0" borderId="124" xfId="1" applyNumberFormat="1" applyFont="1" applyBorder="1" applyAlignment="1" applyProtection="1">
      <alignment vertical="center"/>
      <protection hidden="1"/>
    </xf>
    <xf numFmtId="186" fontId="9" fillId="0" borderId="134" xfId="1" applyNumberFormat="1" applyFont="1" applyBorder="1" applyAlignment="1" applyProtection="1">
      <alignment vertical="center"/>
      <protection hidden="1"/>
    </xf>
    <xf numFmtId="186" fontId="9" fillId="0" borderId="134" xfId="1" applyNumberFormat="1" applyFont="1" applyFill="1" applyBorder="1" applyAlignment="1" applyProtection="1">
      <alignment vertical="center"/>
      <protection hidden="1"/>
    </xf>
    <xf numFmtId="186" fontId="9" fillId="0" borderId="125" xfId="1" applyNumberFormat="1" applyFont="1" applyBorder="1" applyAlignment="1" applyProtection="1">
      <alignment vertical="center"/>
      <protection hidden="1"/>
    </xf>
    <xf numFmtId="0" fontId="34" fillId="0" borderId="226" xfId="1" applyFont="1" applyFill="1" applyBorder="1" applyAlignment="1" applyProtection="1">
      <alignment vertical="center"/>
    </xf>
    <xf numFmtId="0" fontId="106" fillId="15" borderId="0" xfId="1" applyFont="1" applyFill="1" applyBorder="1" applyProtection="1">
      <protection hidden="1"/>
    </xf>
    <xf numFmtId="174" fontId="9" fillId="0" borderId="0" xfId="1" applyNumberFormat="1" applyFont="1" applyBorder="1" applyProtection="1">
      <protection hidden="1"/>
    </xf>
    <xf numFmtId="0" fontId="107" fillId="15" borderId="0" xfId="1" applyFont="1" applyFill="1" applyProtection="1">
      <protection hidden="1"/>
    </xf>
    <xf numFmtId="0" fontId="110" fillId="15" borderId="0" xfId="1" applyFont="1" applyFill="1" applyBorder="1" applyAlignment="1" applyProtection="1">
      <alignment horizontal="left" vertical="center" indent="2"/>
      <protection hidden="1"/>
    </xf>
    <xf numFmtId="0" fontId="108" fillId="15" borderId="0" xfId="1" applyFont="1" applyFill="1" applyBorder="1" applyAlignment="1" applyProtection="1">
      <alignment horizontal="center" vertical="center"/>
      <protection hidden="1"/>
    </xf>
    <xf numFmtId="190" fontId="108" fillId="15" borderId="0" xfId="1" applyNumberFormat="1" applyFont="1" applyFill="1" applyBorder="1" applyAlignment="1" applyProtection="1">
      <alignment horizontal="left" vertical="center"/>
      <protection hidden="1"/>
    </xf>
    <xf numFmtId="176" fontId="108" fillId="15" borderId="0" xfId="1" applyNumberFormat="1" applyFont="1" applyFill="1" applyBorder="1" applyAlignment="1" applyProtection="1">
      <alignment horizontal="left" vertical="center"/>
      <protection hidden="1"/>
    </xf>
    <xf numFmtId="3" fontId="108" fillId="15" borderId="0" xfId="1" applyNumberFormat="1" applyFont="1" applyFill="1" applyAlignment="1" applyProtection="1">
      <alignment horizontal="left" vertical="center"/>
      <protection hidden="1"/>
    </xf>
    <xf numFmtId="0" fontId="0" fillId="0" borderId="0" xfId="0" applyAlignment="1" applyProtection="1">
      <alignment horizontal="center"/>
      <protection hidden="1"/>
    </xf>
    <xf numFmtId="0" fontId="11" fillId="0" borderId="0" xfId="0" applyFont="1" applyProtection="1">
      <protection hidden="1"/>
    </xf>
    <xf numFmtId="0" fontId="58" fillId="0" borderId="0" xfId="0" applyFont="1" applyProtection="1">
      <protection hidden="1"/>
    </xf>
    <xf numFmtId="0" fontId="41" fillId="14" borderId="0" xfId="1" applyFont="1" applyFill="1" applyBorder="1" applyAlignment="1" applyProtection="1">
      <alignment horizontal="left"/>
      <protection hidden="1"/>
    </xf>
    <xf numFmtId="0" fontId="59" fillId="14" borderId="0" xfId="1" applyFont="1" applyFill="1" applyAlignment="1" applyProtection="1">
      <alignment horizontal="left"/>
      <protection hidden="1"/>
    </xf>
    <xf numFmtId="190" fontId="9" fillId="0" borderId="133" xfId="7" applyNumberFormat="1" applyFont="1" applyFill="1" applyBorder="1" applyAlignment="1" applyProtection="1">
      <alignment horizontal="right"/>
      <protection hidden="1"/>
    </xf>
    <xf numFmtId="0" fontId="9" fillId="0" borderId="3" xfId="1" applyFont="1" applyFill="1" applyBorder="1" applyAlignment="1" applyProtection="1">
      <alignment vertical="center"/>
      <protection hidden="1"/>
    </xf>
    <xf numFmtId="0" fontId="34" fillId="0" borderId="226" xfId="7" applyFont="1" applyBorder="1" applyAlignment="1" applyProtection="1">
      <alignment horizontal="left" vertical="center"/>
      <protection hidden="1"/>
    </xf>
    <xf numFmtId="0" fontId="34" fillId="0" borderId="3" xfId="7" applyFont="1" applyBorder="1" applyAlignment="1" applyProtection="1">
      <alignment horizontal="left" vertical="center"/>
      <protection hidden="1"/>
    </xf>
    <xf numFmtId="0" fontId="34" fillId="0" borderId="3" xfId="7" applyFont="1" applyFill="1" applyBorder="1" applyProtection="1">
      <protection hidden="1"/>
    </xf>
    <xf numFmtId="0" fontId="9" fillId="0" borderId="3" xfId="7" applyFont="1" applyFill="1" applyBorder="1" applyProtection="1">
      <protection hidden="1"/>
    </xf>
    <xf numFmtId="0" fontId="34" fillId="0" borderId="226" xfId="7" applyFont="1" applyFill="1" applyBorder="1" applyProtection="1">
      <protection hidden="1"/>
    </xf>
    <xf numFmtId="0" fontId="96" fillId="0" borderId="3" xfId="7" applyFont="1" applyBorder="1" applyAlignment="1" applyProtection="1">
      <alignment horizontal="left"/>
      <protection hidden="1"/>
    </xf>
    <xf numFmtId="0" fontId="9" fillId="0" borderId="231" xfId="1" applyFont="1" applyFill="1" applyBorder="1" applyAlignment="1" applyProtection="1">
      <alignment vertical="center"/>
      <protection hidden="1"/>
    </xf>
    <xf numFmtId="0" fontId="34" fillId="0" borderId="226" xfId="1" applyFont="1" applyFill="1" applyBorder="1" applyAlignment="1" applyProtection="1">
      <alignment vertical="center"/>
      <protection hidden="1"/>
    </xf>
    <xf numFmtId="0" fontId="9" fillId="0" borderId="232" xfId="1" applyFont="1" applyFill="1" applyBorder="1" applyAlignment="1" applyProtection="1">
      <alignment vertical="center"/>
      <protection hidden="1"/>
    </xf>
    <xf numFmtId="0" fontId="9" fillId="0" borderId="233" xfId="1" applyFont="1" applyFill="1" applyBorder="1" applyAlignment="1" applyProtection="1">
      <alignment vertical="center"/>
      <protection hidden="1"/>
    </xf>
    <xf numFmtId="0" fontId="9" fillId="0" borderId="230" xfId="1" applyFont="1" applyFill="1" applyBorder="1" applyAlignment="1" applyProtection="1">
      <alignment vertical="center"/>
      <protection hidden="1"/>
    </xf>
    <xf numFmtId="0" fontId="9" fillId="0" borderId="26" xfId="1" applyFont="1" applyFill="1" applyBorder="1" applyAlignment="1" applyProtection="1">
      <alignment vertical="center"/>
      <protection hidden="1"/>
    </xf>
    <xf numFmtId="0" fontId="34" fillId="0" borderId="229" xfId="1" applyFont="1" applyFill="1" applyBorder="1" applyAlignment="1" applyProtection="1">
      <alignment vertical="center"/>
      <protection hidden="1"/>
    </xf>
    <xf numFmtId="0" fontId="34" fillId="0" borderId="25" xfId="1" applyFont="1" applyFill="1" applyBorder="1" applyAlignment="1" applyProtection="1">
      <alignment vertical="center"/>
      <protection hidden="1"/>
    </xf>
    <xf numFmtId="0" fontId="9" fillId="0" borderId="24" xfId="8" applyNumberFormat="1" applyFont="1" applyFill="1" applyBorder="1" applyAlignment="1" applyProtection="1">
      <protection hidden="1"/>
    </xf>
    <xf numFmtId="0" fontId="9" fillId="0" borderId="55" xfId="1" applyFont="1" applyFill="1" applyBorder="1" applyAlignment="1" applyProtection="1">
      <alignment vertical="center"/>
      <protection hidden="1"/>
    </xf>
    <xf numFmtId="190" fontId="9" fillId="0" borderId="73" xfId="7" applyNumberFormat="1" applyFont="1" applyFill="1" applyBorder="1" applyAlignment="1" applyProtection="1">
      <alignment horizontal="right"/>
      <protection hidden="1"/>
    </xf>
    <xf numFmtId="190" fontId="9" fillId="0" borderId="134" xfId="7" applyNumberFormat="1" applyFont="1" applyFill="1" applyBorder="1" applyAlignment="1" applyProtection="1">
      <alignment horizontal="right"/>
      <protection hidden="1"/>
    </xf>
    <xf numFmtId="0" fontId="9" fillId="0" borderId="0" xfId="1" applyFont="1" applyFill="1" applyBorder="1" applyAlignment="1" applyProtection="1">
      <alignment vertical="center"/>
      <protection hidden="1"/>
    </xf>
    <xf numFmtId="0" fontId="9" fillId="0" borderId="75" xfId="1" applyFont="1" applyFill="1" applyBorder="1" applyAlignment="1" applyProtection="1">
      <alignment vertical="center"/>
      <protection hidden="1"/>
    </xf>
    <xf numFmtId="0" fontId="9" fillId="0" borderId="64" xfId="7" applyFont="1" applyFill="1" applyBorder="1" applyProtection="1">
      <protection hidden="1"/>
    </xf>
    <xf numFmtId="0" fontId="9" fillId="0" borderId="64" xfId="7" applyFont="1" applyFill="1" applyBorder="1" applyAlignment="1" applyProtection="1">
      <alignment horizontal="left"/>
      <protection hidden="1"/>
    </xf>
    <xf numFmtId="0" fontId="9" fillId="0" borderId="0" xfId="7" applyFont="1" applyFill="1" applyBorder="1" applyProtection="1">
      <protection hidden="1"/>
    </xf>
    <xf numFmtId="0" fontId="9" fillId="0" borderId="0" xfId="7" applyFont="1" applyFill="1" applyBorder="1" applyAlignment="1" applyProtection="1">
      <alignment horizontal="left"/>
      <protection hidden="1"/>
    </xf>
    <xf numFmtId="0" fontId="34" fillId="0" borderId="0" xfId="7" applyFont="1" applyFill="1" applyBorder="1" applyProtection="1">
      <protection hidden="1"/>
    </xf>
    <xf numFmtId="0" fontId="9" fillId="0" borderId="75" xfId="7" applyFont="1" applyFill="1" applyBorder="1" applyAlignment="1" applyProtection="1">
      <alignment horizontal="left"/>
      <protection hidden="1"/>
    </xf>
    <xf numFmtId="0" fontId="9" fillId="0" borderId="75" xfId="7" applyFont="1" applyFill="1" applyBorder="1" applyAlignment="1" applyProtection="1">
      <alignment horizontal="right"/>
      <protection hidden="1"/>
    </xf>
    <xf numFmtId="0" fontId="34" fillId="0" borderId="133" xfId="7" applyFont="1" applyFill="1" applyBorder="1" applyAlignment="1" applyProtection="1">
      <alignment horizontal="right"/>
      <protection hidden="1"/>
    </xf>
    <xf numFmtId="0" fontId="9" fillId="0" borderId="133" xfId="7" applyFont="1" applyFill="1" applyBorder="1" applyAlignment="1" applyProtection="1">
      <alignment horizontal="left"/>
      <protection hidden="1"/>
    </xf>
    <xf numFmtId="49" fontId="34" fillId="0" borderId="226" xfId="7" applyNumberFormat="1" applyFont="1" applyFill="1" applyBorder="1" applyProtection="1">
      <protection hidden="1"/>
    </xf>
    <xf numFmtId="0" fontId="34" fillId="0" borderId="64" xfId="7" applyFont="1" applyFill="1" applyBorder="1" applyProtection="1">
      <protection hidden="1"/>
    </xf>
    <xf numFmtId="0" fontId="9" fillId="0" borderId="226" xfId="1" applyFont="1" applyFill="1" applyBorder="1" applyAlignment="1" applyProtection="1">
      <alignment vertical="center"/>
      <protection hidden="1"/>
    </xf>
    <xf numFmtId="190" fontId="9" fillId="0" borderId="64" xfId="7" applyNumberFormat="1" applyFont="1" applyFill="1" applyBorder="1" applyAlignment="1" applyProtection="1">
      <alignment horizontal="right"/>
      <protection hidden="1"/>
    </xf>
    <xf numFmtId="0" fontId="9" fillId="0" borderId="3" xfId="8" applyNumberFormat="1" applyFont="1" applyFill="1" applyBorder="1" applyAlignment="1" applyProtection="1">
      <protection hidden="1"/>
    </xf>
    <xf numFmtId="190" fontId="9" fillId="0" borderId="4" xfId="7" applyNumberFormat="1" applyFont="1" applyFill="1" applyBorder="1" applyAlignment="1" applyProtection="1">
      <alignment horizontal="right"/>
      <protection hidden="1"/>
    </xf>
    <xf numFmtId="0" fontId="9" fillId="0" borderId="21" xfId="0" applyFont="1" applyBorder="1" applyProtection="1">
      <protection hidden="1"/>
    </xf>
    <xf numFmtId="0" fontId="9" fillId="0" borderId="23" xfId="0" applyFont="1" applyBorder="1" applyProtection="1">
      <protection hidden="1"/>
    </xf>
    <xf numFmtId="0" fontId="83" fillId="0" borderId="0" xfId="1" applyFont="1" applyFill="1" applyAlignment="1" applyProtection="1">
      <alignment horizontal="center" vertical="center"/>
      <protection hidden="1"/>
    </xf>
    <xf numFmtId="0" fontId="83" fillId="0" borderId="0" xfId="1" applyFont="1" applyFill="1" applyAlignment="1" applyProtection="1">
      <alignment vertical="center"/>
      <protection hidden="1"/>
    </xf>
    <xf numFmtId="0" fontId="83" fillId="0" borderId="0" xfId="1" applyFont="1" applyFill="1" applyProtection="1">
      <protection hidden="1"/>
    </xf>
    <xf numFmtId="0" fontId="83" fillId="0" borderId="0" xfId="1" applyFont="1" applyProtection="1">
      <protection hidden="1"/>
    </xf>
    <xf numFmtId="0" fontId="83" fillId="0" borderId="0" xfId="1" applyFont="1" applyFill="1" applyBorder="1" applyProtection="1">
      <protection hidden="1"/>
    </xf>
    <xf numFmtId="0" fontId="83" fillId="0" borderId="0" xfId="1" applyFont="1" applyFill="1" applyAlignment="1" applyProtection="1">
      <alignment horizontal="center"/>
      <protection hidden="1"/>
    </xf>
    <xf numFmtId="0" fontId="98" fillId="0" borderId="0" xfId="1" applyFont="1" applyFill="1" applyBorder="1" applyAlignment="1" applyProtection="1">
      <alignment vertical="center"/>
      <protection hidden="1"/>
    </xf>
    <xf numFmtId="0" fontId="86" fillId="0" borderId="0" xfId="1" applyFont="1" applyAlignment="1" applyProtection="1">
      <alignment horizontal="left" vertical="center"/>
      <protection hidden="1"/>
    </xf>
    <xf numFmtId="169" fontId="85" fillId="0" borderId="0" xfId="1" applyNumberFormat="1" applyFont="1" applyFill="1" applyBorder="1" applyAlignment="1" applyProtection="1">
      <alignment horizontal="right" vertical="center"/>
      <protection hidden="1"/>
    </xf>
    <xf numFmtId="3" fontId="83" fillId="0" borderId="0" xfId="1" applyNumberFormat="1" applyFont="1" applyFill="1" applyAlignment="1" applyProtection="1">
      <alignment horizontal="center" vertical="center"/>
      <protection hidden="1"/>
    </xf>
    <xf numFmtId="2" fontId="85" fillId="0" borderId="0" xfId="1" applyNumberFormat="1" applyFont="1" applyFill="1" applyAlignment="1" applyProtection="1">
      <alignment vertical="center"/>
      <protection hidden="1"/>
    </xf>
    <xf numFmtId="0" fontId="9" fillId="0" borderId="10" xfId="1" applyFont="1" applyFill="1" applyBorder="1" applyAlignment="1" applyProtection="1">
      <alignment vertical="center"/>
      <protection hidden="1"/>
    </xf>
    <xf numFmtId="0" fontId="0" fillId="0" borderId="0" xfId="0" applyBorder="1" applyProtection="1">
      <protection hidden="1"/>
    </xf>
    <xf numFmtId="0" fontId="86" fillId="0" borderId="0" xfId="1" applyFont="1" applyBorder="1" applyAlignment="1" applyProtection="1">
      <alignment horizontal="center" vertical="center"/>
      <protection hidden="1"/>
    </xf>
    <xf numFmtId="190" fontId="86" fillId="0" borderId="0" xfId="1" applyNumberFormat="1" applyFont="1" applyBorder="1" applyAlignment="1" applyProtection="1">
      <alignment horizontal="center" vertical="center"/>
      <protection hidden="1"/>
    </xf>
    <xf numFmtId="176" fontId="83" fillId="0" borderId="0" xfId="1" applyNumberFormat="1" applyFont="1" applyFill="1" applyBorder="1" applyAlignment="1" applyProtection="1">
      <alignment horizontal="center" vertical="center"/>
      <protection hidden="1"/>
    </xf>
    <xf numFmtId="3" fontId="83" fillId="0" borderId="0" xfId="1" applyNumberFormat="1" applyFont="1" applyFill="1" applyBorder="1" applyAlignment="1" applyProtection="1">
      <alignment horizontal="center" vertical="center"/>
      <protection hidden="1"/>
    </xf>
    <xf numFmtId="0" fontId="83" fillId="0" borderId="0" xfId="1" applyFont="1" applyFill="1" applyBorder="1" applyAlignment="1" applyProtection="1">
      <alignment vertical="center"/>
      <protection hidden="1"/>
    </xf>
    <xf numFmtId="0" fontId="83" fillId="0" borderId="0" xfId="1" applyFont="1" applyBorder="1" applyAlignment="1" applyProtection="1">
      <alignment vertical="center"/>
      <protection hidden="1"/>
    </xf>
    <xf numFmtId="0" fontId="83" fillId="0" borderId="0" xfId="1" applyFont="1" applyBorder="1" applyProtection="1">
      <protection hidden="1"/>
    </xf>
    <xf numFmtId="0" fontId="99" fillId="0" borderId="0" xfId="1" applyFont="1" applyFill="1" applyAlignment="1" applyProtection="1">
      <alignment horizontal="left"/>
      <protection hidden="1"/>
    </xf>
    <xf numFmtId="0" fontId="98" fillId="0" borderId="191" xfId="1" applyFont="1" applyFill="1" applyBorder="1" applyAlignment="1" applyProtection="1">
      <alignment vertical="center"/>
      <protection hidden="1"/>
    </xf>
    <xf numFmtId="0" fontId="98" fillId="0" borderId="192" xfId="1" applyFont="1" applyFill="1" applyBorder="1" applyAlignment="1" applyProtection="1">
      <alignment vertical="center"/>
      <protection hidden="1"/>
    </xf>
    <xf numFmtId="0" fontId="98" fillId="0" borderId="193" xfId="1" applyFont="1" applyFill="1" applyBorder="1" applyAlignment="1" applyProtection="1">
      <alignment vertical="center"/>
      <protection hidden="1"/>
    </xf>
    <xf numFmtId="0" fontId="83" fillId="0" borderId="0" xfId="0" applyFont="1" applyAlignment="1" applyProtection="1">
      <alignment horizontal="center" vertical="top"/>
      <protection hidden="1"/>
    </xf>
    <xf numFmtId="0" fontId="82" fillId="0" borderId="0" xfId="0" applyFont="1" applyAlignment="1" applyProtection="1">
      <alignment horizontal="center" vertical="top"/>
      <protection hidden="1"/>
    </xf>
    <xf numFmtId="0" fontId="100" fillId="0" borderId="0" xfId="0" applyFont="1" applyAlignment="1" applyProtection="1">
      <alignment horizontal="center" vertical="top"/>
      <protection hidden="1"/>
    </xf>
    <xf numFmtId="0" fontId="83" fillId="0" borderId="0" xfId="0" applyFont="1" applyProtection="1">
      <protection hidden="1"/>
    </xf>
    <xf numFmtId="0" fontId="9" fillId="0" borderId="0" xfId="0" applyFont="1" applyProtection="1">
      <protection hidden="1"/>
    </xf>
    <xf numFmtId="0" fontId="12" fillId="0" borderId="0" xfId="0" applyFont="1" applyFill="1" applyAlignment="1" applyProtection="1">
      <alignment vertical="center" wrapText="1"/>
      <protection hidden="1"/>
    </xf>
    <xf numFmtId="0" fontId="83" fillId="0" borderId="0" xfId="0" applyFont="1" applyBorder="1" applyAlignment="1" applyProtection="1">
      <alignment horizontal="right" vertical="center"/>
      <protection hidden="1"/>
    </xf>
    <xf numFmtId="0" fontId="83" fillId="0" borderId="0" xfId="0" applyFont="1" applyBorder="1" applyAlignment="1" applyProtection="1">
      <alignment horizontal="left" vertical="center"/>
      <protection hidden="1"/>
    </xf>
    <xf numFmtId="0" fontId="5" fillId="0" borderId="0" xfId="0" applyFont="1" applyProtection="1">
      <protection hidden="1"/>
    </xf>
    <xf numFmtId="164" fontId="83" fillId="0" borderId="0" xfId="0" applyNumberFormat="1" applyFont="1" applyProtection="1">
      <protection hidden="1"/>
    </xf>
    <xf numFmtId="0" fontId="4" fillId="0" borderId="0" xfId="1" applyFont="1" applyProtection="1">
      <protection hidden="1"/>
    </xf>
    <xf numFmtId="0" fontId="83" fillId="0" borderId="0" xfId="1" applyFont="1" applyAlignment="1" applyProtection="1">
      <alignment horizontal="center"/>
      <protection hidden="1"/>
    </xf>
    <xf numFmtId="0" fontId="83" fillId="0" borderId="0" xfId="1" applyFont="1" applyAlignment="1" applyProtection="1">
      <alignment horizontal="left"/>
      <protection hidden="1"/>
    </xf>
    <xf numFmtId="0" fontId="84" fillId="0" borderId="0" xfId="1" applyFont="1" applyFill="1" applyAlignment="1" applyProtection="1">
      <alignment horizontal="left"/>
      <protection hidden="1"/>
    </xf>
    <xf numFmtId="0" fontId="85" fillId="0" borderId="0" xfId="1" applyFont="1" applyFill="1" applyAlignment="1" applyProtection="1">
      <alignment horizontal="left"/>
      <protection hidden="1"/>
    </xf>
    <xf numFmtId="0" fontId="83" fillId="0" borderId="0" xfId="1" applyFont="1" applyFill="1" applyAlignment="1" applyProtection="1">
      <protection hidden="1"/>
    </xf>
    <xf numFmtId="0" fontId="83" fillId="0" borderId="0" xfId="1" applyFont="1" applyFill="1" applyAlignment="1" applyProtection="1">
      <alignment horizontal="left"/>
      <protection hidden="1"/>
    </xf>
    <xf numFmtId="0" fontId="83" fillId="0" borderId="0" xfId="1" applyFont="1" applyAlignment="1" applyProtection="1">
      <protection hidden="1"/>
    </xf>
    <xf numFmtId="0" fontId="85" fillId="0" borderId="0" xfId="1" applyFont="1" applyFill="1" applyAlignment="1" applyProtection="1">
      <alignment vertical="center"/>
      <protection hidden="1"/>
    </xf>
    <xf numFmtId="0" fontId="83" fillId="0" borderId="0" xfId="1" applyFont="1" applyAlignment="1" applyProtection="1">
      <alignment vertical="center"/>
      <protection hidden="1"/>
    </xf>
    <xf numFmtId="188" fontId="98" fillId="0" borderId="204" xfId="6" applyNumberFormat="1" applyFont="1" applyFill="1" applyBorder="1" applyAlignment="1" applyProtection="1">
      <alignment vertical="center"/>
      <protection hidden="1"/>
    </xf>
    <xf numFmtId="188" fontId="98" fillId="0" borderId="205" xfId="6" applyNumberFormat="1" applyFont="1" applyFill="1" applyBorder="1" applyAlignment="1" applyProtection="1">
      <alignment vertical="center"/>
      <protection hidden="1"/>
    </xf>
    <xf numFmtId="188" fontId="98" fillId="0" borderId="201" xfId="6" applyNumberFormat="1" applyFont="1" applyFill="1" applyBorder="1" applyAlignment="1" applyProtection="1">
      <alignment vertical="center"/>
      <protection hidden="1"/>
    </xf>
    <xf numFmtId="188" fontId="98" fillId="0" borderId="202" xfId="6" applyNumberFormat="1" applyFont="1" applyFill="1" applyBorder="1" applyAlignment="1" applyProtection="1">
      <alignment vertical="center"/>
      <protection hidden="1"/>
    </xf>
    <xf numFmtId="188" fontId="98" fillId="0" borderId="207" xfId="6" applyNumberFormat="1" applyFont="1" applyFill="1" applyBorder="1" applyAlignment="1" applyProtection="1">
      <alignment vertical="center"/>
      <protection hidden="1"/>
    </xf>
    <xf numFmtId="188" fontId="98" fillId="0" borderId="208" xfId="6" applyNumberFormat="1" applyFont="1" applyFill="1" applyBorder="1" applyAlignment="1" applyProtection="1">
      <alignment vertical="center"/>
      <protection hidden="1"/>
    </xf>
    <xf numFmtId="188" fontId="98" fillId="0" borderId="209" xfId="6" applyNumberFormat="1" applyFont="1" applyFill="1" applyBorder="1" applyAlignment="1" applyProtection="1">
      <alignment vertical="center"/>
      <protection hidden="1"/>
    </xf>
    <xf numFmtId="188" fontId="98" fillId="0" borderId="210" xfId="6" applyNumberFormat="1" applyFont="1" applyFill="1" applyBorder="1" applyAlignment="1" applyProtection="1">
      <alignment vertical="center"/>
      <protection hidden="1"/>
    </xf>
    <xf numFmtId="188" fontId="98" fillId="0" borderId="211" xfId="6" applyNumberFormat="1" applyFont="1" applyFill="1" applyBorder="1" applyAlignment="1" applyProtection="1">
      <alignment vertical="center"/>
      <protection hidden="1"/>
    </xf>
    <xf numFmtId="188" fontId="99" fillId="0" borderId="214" xfId="6" applyNumberFormat="1" applyFont="1" applyFill="1" applyBorder="1" applyAlignment="1" applyProtection="1">
      <alignment vertical="center"/>
      <protection hidden="1"/>
    </xf>
    <xf numFmtId="188" fontId="99" fillId="0" borderId="215" xfId="6" applyNumberFormat="1" applyFont="1" applyFill="1" applyBorder="1" applyAlignment="1" applyProtection="1">
      <alignment vertical="center"/>
      <protection hidden="1"/>
    </xf>
    <xf numFmtId="188" fontId="99" fillId="0" borderId="216" xfId="6" applyNumberFormat="1" applyFont="1" applyFill="1" applyBorder="1" applyAlignment="1" applyProtection="1">
      <alignment vertical="center"/>
      <protection hidden="1"/>
    </xf>
    <xf numFmtId="0" fontId="83" fillId="0" borderId="0" xfId="1" applyNumberFormat="1" applyFont="1" applyFill="1" applyProtection="1">
      <protection hidden="1"/>
    </xf>
    <xf numFmtId="0" fontId="83" fillId="0" borderId="0" xfId="1" applyNumberFormat="1" applyFont="1" applyFill="1" applyAlignment="1" applyProtection="1">
      <alignment horizontal="center"/>
      <protection hidden="1"/>
    </xf>
    <xf numFmtId="0" fontId="83" fillId="0" borderId="0" xfId="1" applyNumberFormat="1" applyFont="1" applyProtection="1">
      <protection hidden="1"/>
    </xf>
    <xf numFmtId="0" fontId="83" fillId="0" borderId="0" xfId="1" applyNumberFormat="1" applyFont="1" applyAlignment="1" applyProtection="1">
      <alignment horizontal="center"/>
      <protection hidden="1"/>
    </xf>
    <xf numFmtId="0" fontId="85" fillId="0" borderId="0" xfId="1" applyNumberFormat="1" applyFont="1" applyFill="1" applyBorder="1" applyAlignment="1" applyProtection="1">
      <alignment horizontal="center" vertical="center"/>
      <protection hidden="1"/>
    </xf>
    <xf numFmtId="0" fontId="83" fillId="0" borderId="0" xfId="1" applyNumberFormat="1" applyFont="1" applyFill="1" applyBorder="1" applyAlignment="1" applyProtection="1">
      <alignment horizontal="center" vertical="center"/>
      <protection hidden="1"/>
    </xf>
    <xf numFmtId="0" fontId="83" fillId="0" borderId="0" xfId="1" applyNumberFormat="1" applyFont="1" applyAlignment="1" applyProtection="1">
      <alignment vertical="center"/>
      <protection hidden="1"/>
    </xf>
    <xf numFmtId="0" fontId="83" fillId="9" borderId="0" xfId="1" applyFont="1" applyFill="1" applyAlignment="1" applyProtection="1">
      <alignment vertical="center"/>
      <protection hidden="1"/>
    </xf>
    <xf numFmtId="0" fontId="99" fillId="0" borderId="0" xfId="1" applyFont="1" applyProtection="1">
      <protection hidden="1"/>
    </xf>
    <xf numFmtId="164" fontId="83" fillId="0" borderId="0" xfId="1" applyNumberFormat="1" applyFont="1" applyFill="1" applyBorder="1" applyAlignment="1" applyProtection="1">
      <alignment horizontal="center" vertical="center"/>
      <protection hidden="1"/>
    </xf>
    <xf numFmtId="0" fontId="98" fillId="0" borderId="0" xfId="1" applyFont="1" applyFill="1" applyAlignment="1" applyProtection="1">
      <alignment horizontal="left"/>
      <protection hidden="1"/>
    </xf>
    <xf numFmtId="0" fontId="98" fillId="0" borderId="194" xfId="1" applyFont="1" applyFill="1" applyBorder="1" applyAlignment="1" applyProtection="1">
      <alignment horizontal="center" vertical="center"/>
      <protection hidden="1"/>
    </xf>
    <xf numFmtId="0" fontId="98" fillId="0" borderId="191" xfId="1" applyFont="1" applyFill="1" applyBorder="1" applyAlignment="1" applyProtection="1">
      <alignment horizontal="center" vertical="center"/>
      <protection hidden="1"/>
    </xf>
    <xf numFmtId="0" fontId="99" fillId="0" borderId="83" xfId="1" applyFont="1" applyBorder="1" applyProtection="1">
      <protection hidden="1"/>
    </xf>
    <xf numFmtId="186" fontId="98" fillId="0" borderId="0" xfId="0" applyNumberFormat="1" applyFont="1" applyBorder="1" applyProtection="1">
      <protection hidden="1"/>
    </xf>
    <xf numFmtId="179" fontId="99" fillId="0" borderId="0" xfId="1" applyNumberFormat="1" applyFont="1" applyFill="1" applyBorder="1" applyAlignment="1" applyProtection="1">
      <alignment horizontal="right" vertical="center"/>
      <protection hidden="1"/>
    </xf>
    <xf numFmtId="0" fontId="83" fillId="0" borderId="192" xfId="1" applyFont="1" applyBorder="1" applyProtection="1">
      <protection hidden="1"/>
    </xf>
    <xf numFmtId="180" fontId="94" fillId="0" borderId="0" xfId="1" applyNumberFormat="1" applyFont="1" applyFill="1" applyBorder="1" applyAlignment="1" applyProtection="1">
      <alignment horizontal="center" vertical="top"/>
      <protection hidden="1"/>
    </xf>
    <xf numFmtId="49" fontId="12" fillId="0" borderId="64" xfId="9" applyNumberFormat="1" applyFill="1" applyBorder="1" applyAlignment="1" applyProtection="1">
      <alignment horizontal="left" vertical="center"/>
      <protection hidden="1"/>
    </xf>
    <xf numFmtId="0" fontId="3" fillId="0" borderId="0" xfId="3" applyFont="1" applyAlignment="1">
      <alignment horizontal="left" vertical="center"/>
    </xf>
    <xf numFmtId="0" fontId="0" fillId="0" borderId="0" xfId="0"/>
    <xf numFmtId="0" fontId="0" fillId="0" borderId="117" xfId="0" applyFill="1" applyBorder="1" applyAlignment="1">
      <alignment vertical="center"/>
    </xf>
    <xf numFmtId="0" fontId="0" fillId="0" borderId="120" xfId="0" applyFill="1" applyBorder="1" applyAlignment="1">
      <alignment vertical="center"/>
    </xf>
    <xf numFmtId="0" fontId="0" fillId="0" borderId="130" xfId="0" applyFill="1" applyBorder="1"/>
    <xf numFmtId="0" fontId="0" fillId="0" borderId="132" xfId="0" applyFill="1" applyBorder="1"/>
    <xf numFmtId="0" fontId="0" fillId="0" borderId="0" xfId="0" applyProtection="1"/>
    <xf numFmtId="0" fontId="12" fillId="0" borderId="52" xfId="0" applyFont="1" applyFill="1" applyBorder="1" applyAlignment="1">
      <alignment vertical="center" wrapText="1"/>
    </xf>
    <xf numFmtId="0" fontId="12" fillId="0" borderId="99" xfId="0" quotePrefix="1" applyFont="1" applyFill="1" applyBorder="1" applyAlignment="1">
      <alignment vertical="center" wrapText="1"/>
    </xf>
    <xf numFmtId="0" fontId="0" fillId="0" borderId="0" xfId="0" applyProtection="1"/>
    <xf numFmtId="186" fontId="9" fillId="0" borderId="124" xfId="1" applyNumberFormat="1" applyFont="1" applyBorder="1" applyAlignment="1" applyProtection="1">
      <alignment vertical="center"/>
      <protection hidden="1"/>
    </xf>
    <xf numFmtId="0" fontId="0" fillId="0" borderId="0" xfId="0"/>
    <xf numFmtId="188" fontId="98" fillId="0" borderId="211" xfId="6" applyNumberFormat="1" applyFont="1" applyBorder="1" applyAlignment="1" applyProtection="1">
      <alignment vertical="center"/>
      <protection hidden="1"/>
    </xf>
    <xf numFmtId="188" fontId="98" fillId="0" borderId="212" xfId="6" applyNumberFormat="1" applyFont="1" applyBorder="1" applyAlignment="1" applyProtection="1">
      <alignment vertical="center"/>
      <protection hidden="1"/>
    </xf>
    <xf numFmtId="188" fontId="98" fillId="0" borderId="211" xfId="6" applyNumberFormat="1" applyFont="1" applyBorder="1" applyAlignment="1" applyProtection="1">
      <alignment vertical="center"/>
    </xf>
    <xf numFmtId="186" fontId="9" fillId="0" borderId="124" xfId="1" applyNumberFormat="1" applyFont="1" applyFill="1" applyBorder="1" applyAlignment="1" applyProtection="1">
      <alignment vertical="center"/>
      <protection hidden="1"/>
    </xf>
    <xf numFmtId="181" fontId="22" fillId="0" borderId="55" xfId="1" applyNumberFormat="1" applyFont="1" applyFill="1" applyBorder="1" applyAlignment="1" applyProtection="1">
      <alignment vertical="center"/>
      <protection hidden="1"/>
    </xf>
    <xf numFmtId="181" fontId="22" fillId="0" borderId="123" xfId="1" applyNumberFormat="1" applyFont="1" applyFill="1" applyBorder="1" applyAlignment="1" applyProtection="1">
      <alignment vertical="center"/>
      <protection hidden="1"/>
    </xf>
    <xf numFmtId="186" fontId="9" fillId="0" borderId="136" xfId="1" applyNumberFormat="1" applyFont="1" applyBorder="1" applyAlignment="1" applyProtection="1">
      <alignment vertical="center"/>
      <protection hidden="1"/>
    </xf>
    <xf numFmtId="0" fontId="98" fillId="0" borderId="285" xfId="1" applyFont="1" applyFill="1" applyBorder="1" applyAlignment="1" applyProtection="1">
      <alignment vertical="center"/>
    </xf>
    <xf numFmtId="0" fontId="83" fillId="0" borderId="286" xfId="1" applyFont="1" applyFill="1" applyBorder="1" applyProtection="1"/>
    <xf numFmtId="0" fontId="83" fillId="0" borderId="287" xfId="1" applyFont="1" applyFill="1" applyBorder="1" applyProtection="1"/>
    <xf numFmtId="0" fontId="98" fillId="0" borderId="210" xfId="1" applyFont="1" applyFill="1" applyBorder="1" applyAlignment="1" applyProtection="1">
      <alignment vertical="center"/>
    </xf>
    <xf numFmtId="0" fontId="83" fillId="0" borderId="211" xfId="1" applyFont="1" applyFill="1" applyBorder="1" applyProtection="1"/>
    <xf numFmtId="0" fontId="83" fillId="0" borderId="212" xfId="1" applyFont="1" applyFill="1" applyBorder="1" applyProtection="1"/>
    <xf numFmtId="0" fontId="86" fillId="0" borderId="180" xfId="1" applyFont="1" applyFill="1" applyBorder="1" applyProtection="1"/>
    <xf numFmtId="0" fontId="86" fillId="0" borderId="284" xfId="1" applyFont="1" applyFill="1" applyBorder="1" applyProtection="1"/>
    <xf numFmtId="0" fontId="9" fillId="0" borderId="0" xfId="1" applyFont="1" applyFill="1" applyBorder="1" applyAlignment="1" applyProtection="1">
      <alignment vertical="top" wrapText="1"/>
      <protection hidden="1"/>
    </xf>
    <xf numFmtId="0" fontId="9" fillId="0" borderId="8" xfId="1" applyFont="1" applyFill="1" applyBorder="1" applyAlignment="1" applyProtection="1">
      <alignment vertical="top" wrapText="1"/>
      <protection hidden="1"/>
    </xf>
    <xf numFmtId="49" fontId="12" fillId="0" borderId="0" xfId="0" applyNumberFormat="1" applyFont="1" applyFill="1" applyAlignment="1">
      <alignment vertical="center"/>
    </xf>
    <xf numFmtId="0" fontId="111" fillId="0" borderId="213" xfId="1" applyFont="1" applyFill="1" applyBorder="1" applyAlignment="1" applyProtection="1">
      <alignment horizontal="center" vertical="top"/>
      <protection hidden="1"/>
    </xf>
    <xf numFmtId="0" fontId="88" fillId="0" borderId="289" xfId="1" applyFont="1" applyFill="1" applyBorder="1" applyAlignment="1" applyProtection="1">
      <alignment vertical="top"/>
      <protection hidden="1"/>
    </xf>
    <xf numFmtId="0" fontId="88" fillId="0" borderId="290" xfId="1" applyFont="1" applyFill="1" applyBorder="1" applyAlignment="1" applyProtection="1">
      <alignment vertical="top"/>
      <protection hidden="1"/>
    </xf>
    <xf numFmtId="0" fontId="88" fillId="0" borderId="291" xfId="1" applyFont="1" applyFill="1" applyBorder="1" applyAlignment="1" applyProtection="1">
      <alignment vertical="top"/>
      <protection hidden="1"/>
    </xf>
    <xf numFmtId="0" fontId="89" fillId="0" borderId="289" xfId="1" applyFont="1" applyFill="1" applyBorder="1" applyAlignment="1" applyProtection="1">
      <alignment vertical="top"/>
      <protection hidden="1"/>
    </xf>
    <xf numFmtId="0" fontId="88" fillId="0" borderId="292" xfId="1" applyFont="1" applyFill="1" applyBorder="1" applyAlignment="1" applyProtection="1">
      <alignment vertical="top"/>
      <protection hidden="1"/>
    </xf>
    <xf numFmtId="0" fontId="88" fillId="0" borderId="293" xfId="1" applyFont="1" applyFill="1" applyBorder="1" applyAlignment="1" applyProtection="1">
      <alignment vertical="top"/>
      <protection hidden="1"/>
    </xf>
    <xf numFmtId="0" fontId="88" fillId="0" borderId="295" xfId="1" applyFont="1" applyFill="1" applyBorder="1" applyAlignment="1" applyProtection="1">
      <alignment vertical="top"/>
      <protection hidden="1"/>
    </xf>
    <xf numFmtId="0" fontId="88" fillId="0" borderId="296" xfId="1" applyFont="1" applyFill="1" applyBorder="1" applyAlignment="1" applyProtection="1">
      <alignment vertical="top"/>
      <protection hidden="1"/>
    </xf>
    <xf numFmtId="0" fontId="88" fillId="0" borderId="297" xfId="1" applyFont="1" applyFill="1" applyBorder="1" applyAlignment="1" applyProtection="1">
      <alignment vertical="top"/>
      <protection hidden="1"/>
    </xf>
    <xf numFmtId="196" fontId="65" fillId="0" borderId="81" xfId="9" applyNumberFormat="1" applyFont="1" applyBorder="1" applyAlignment="1" applyProtection="1">
      <alignment vertical="center"/>
    </xf>
    <xf numFmtId="196" fontId="65" fillId="0" borderId="84" xfId="9" applyNumberFormat="1" applyFont="1" applyBorder="1" applyAlignment="1" applyProtection="1">
      <alignment vertical="center"/>
    </xf>
    <xf numFmtId="49" fontId="88" fillId="0" borderId="294" xfId="1" applyNumberFormat="1" applyFont="1" applyFill="1" applyBorder="1" applyAlignment="1" applyProtection="1">
      <alignment horizontal="right" vertical="top"/>
      <protection hidden="1"/>
    </xf>
    <xf numFmtId="0" fontId="88" fillId="0" borderId="291" xfId="1" applyFont="1" applyFill="1" applyBorder="1" applyAlignment="1" applyProtection="1">
      <alignment horizontal="right" vertical="top"/>
      <protection hidden="1"/>
    </xf>
    <xf numFmtId="0" fontId="0" fillId="0" borderId="0" xfId="0"/>
    <xf numFmtId="190" fontId="9" fillId="0" borderId="123" xfId="7" applyNumberFormat="1" applyFont="1" applyFill="1" applyBorder="1" applyAlignment="1" applyProtection="1">
      <alignment horizontal="right"/>
    </xf>
    <xf numFmtId="190" fontId="9" fillId="0" borderId="136" xfId="7" applyNumberFormat="1" applyFont="1" applyFill="1" applyBorder="1" applyAlignment="1" applyProtection="1">
      <alignment horizontal="right"/>
    </xf>
    <xf numFmtId="0" fontId="0" fillId="0" borderId="0" xfId="0" applyProtection="1"/>
    <xf numFmtId="0" fontId="12" fillId="7" borderId="64" xfId="9" applyFill="1" applyBorder="1" applyAlignment="1" applyProtection="1">
      <alignment vertical="center"/>
      <protection locked="0"/>
    </xf>
    <xf numFmtId="0" fontId="0" fillId="0" borderId="0" xfId="0"/>
    <xf numFmtId="0" fontId="0" fillId="0" borderId="0" xfId="0" applyProtection="1"/>
    <xf numFmtId="49" fontId="9" fillId="0" borderId="123" xfId="7" applyNumberFormat="1" applyFont="1" applyFill="1" applyBorder="1" applyAlignment="1" applyProtection="1">
      <alignment horizontal="left"/>
    </xf>
    <xf numFmtId="49" fontId="9" fillId="0" borderId="136" xfId="7" applyNumberFormat="1" applyFont="1" applyFill="1" applyBorder="1" applyAlignment="1" applyProtection="1">
      <alignment horizontal="left"/>
    </xf>
    <xf numFmtId="49" fontId="9" fillId="7" borderId="3" xfId="8" applyNumberFormat="1" applyFont="1" applyFill="1" applyBorder="1" applyAlignment="1" applyProtection="1">
      <alignment horizontal="left"/>
      <protection locked="0"/>
    </xf>
    <xf numFmtId="49" fontId="9" fillId="7" borderId="3" xfId="8" applyNumberFormat="1" applyFont="1" applyBorder="1" applyAlignment="1" applyProtection="1">
      <alignment horizontal="left"/>
      <protection locked="0"/>
    </xf>
    <xf numFmtId="0" fontId="34" fillId="0" borderId="20" xfId="1" applyFont="1" applyFill="1" applyBorder="1" applyAlignment="1" applyProtection="1">
      <alignment vertical="center"/>
    </xf>
    <xf numFmtId="0" fontId="12" fillId="0" borderId="0" xfId="9" applyFont="1" applyAlignment="1" applyProtection="1">
      <alignment vertical="top"/>
    </xf>
    <xf numFmtId="0" fontId="10" fillId="0" borderId="0" xfId="9" applyNumberFormat="1" applyFont="1" applyAlignment="1" applyProtection="1">
      <alignment horizontal="right" vertical="top"/>
    </xf>
    <xf numFmtId="0" fontId="10" fillId="0" borderId="0" xfId="1" applyFont="1" applyBorder="1" applyProtection="1">
      <protection hidden="1"/>
    </xf>
    <xf numFmtId="0" fontId="12" fillId="0" borderId="0" xfId="9" applyFont="1" applyAlignment="1">
      <alignment vertical="top"/>
    </xf>
    <xf numFmtId="0" fontId="10" fillId="0" borderId="0" xfId="9" applyNumberFormat="1" applyFont="1" applyAlignment="1">
      <alignment horizontal="right" vertical="top"/>
    </xf>
    <xf numFmtId="0" fontId="9" fillId="0" borderId="123" xfId="1" applyFont="1" applyFill="1" applyBorder="1" applyAlignment="1" applyProtection="1">
      <alignment vertical="center"/>
    </xf>
    <xf numFmtId="0" fontId="9" fillId="0" borderId="136" xfId="1" applyFont="1" applyFill="1" applyBorder="1" applyAlignment="1" applyProtection="1">
      <alignment vertical="center"/>
    </xf>
    <xf numFmtId="3" fontId="22" fillId="0" borderId="123" xfId="1" applyNumberFormat="1" applyFont="1" applyFill="1" applyBorder="1" applyAlignment="1" applyProtection="1">
      <alignment horizontal="center" vertical="center"/>
    </xf>
    <xf numFmtId="180" fontId="9" fillId="0" borderId="137" xfId="8" applyNumberFormat="1" applyFont="1" applyFill="1" applyBorder="1" applyAlignment="1" applyProtection="1">
      <alignment horizontal="center" vertical="center"/>
    </xf>
    <xf numFmtId="180" fontId="101" fillId="0" borderId="136" xfId="8" applyNumberFormat="1" applyFont="1" applyFill="1" applyBorder="1" applyAlignment="1" applyProtection="1">
      <alignment horizontal="center" vertical="center"/>
    </xf>
    <xf numFmtId="3" fontId="85" fillId="0" borderId="0" xfId="1" applyNumberFormat="1" applyFont="1" applyFill="1" applyAlignment="1" applyProtection="1">
      <alignment horizontal="center" vertical="center"/>
    </xf>
    <xf numFmtId="0" fontId="85" fillId="0" borderId="0" xfId="1" applyFont="1" applyAlignment="1" applyProtection="1">
      <alignment vertical="center"/>
    </xf>
    <xf numFmtId="0" fontId="37" fillId="0" borderId="0" xfId="1" applyFont="1" applyAlignment="1" applyProtection="1">
      <alignment vertical="center"/>
      <protection hidden="1"/>
    </xf>
    <xf numFmtId="190" fontId="34" fillId="0" borderId="235" xfId="7" applyNumberFormat="1" applyFont="1" applyFill="1" applyBorder="1" applyAlignment="1" applyProtection="1"/>
    <xf numFmtId="190" fontId="34" fillId="0" borderId="21" xfId="7" applyNumberFormat="1" applyFont="1" applyFill="1" applyBorder="1" applyAlignment="1" applyProtection="1"/>
    <xf numFmtId="190" fontId="34" fillId="0" borderId="222" xfId="7" applyNumberFormat="1" applyFont="1" applyFill="1" applyBorder="1" applyAlignment="1" applyProtection="1"/>
    <xf numFmtId="49" fontId="9" fillId="0" borderId="12" xfId="7" applyNumberFormat="1" applyFont="1" applyFill="1" applyBorder="1" applyAlignment="1" applyProtection="1">
      <alignment horizontal="left"/>
      <protection hidden="1"/>
    </xf>
    <xf numFmtId="49" fontId="9" fillId="0" borderId="62" xfId="7" applyNumberFormat="1" applyFont="1" applyFill="1" applyBorder="1" applyAlignment="1" applyProtection="1">
      <alignment horizontal="left"/>
      <protection hidden="1"/>
    </xf>
    <xf numFmtId="49" fontId="9" fillId="0" borderId="4" xfId="7" applyNumberFormat="1" applyFont="1" applyFill="1" applyBorder="1" applyAlignment="1" applyProtection="1">
      <alignment horizontal="left"/>
    </xf>
    <xf numFmtId="49" fontId="9" fillId="7" borderId="125" xfId="5" applyNumberFormat="1" applyFont="1" applyFill="1" applyBorder="1" applyAlignment="1" applyProtection="1">
      <alignment horizontal="left"/>
      <protection locked="0"/>
    </xf>
    <xf numFmtId="49" fontId="9" fillId="0" borderId="73" xfId="7" applyNumberFormat="1" applyFont="1" applyFill="1" applyBorder="1" applyAlignment="1" applyProtection="1">
      <alignment horizontal="left"/>
      <protection hidden="1"/>
    </xf>
    <xf numFmtId="49" fontId="9" fillId="0" borderId="134" xfId="7" applyNumberFormat="1" applyFont="1" applyFill="1" applyBorder="1" applyAlignment="1" applyProtection="1">
      <alignment horizontal="left"/>
      <protection hidden="1"/>
    </xf>
    <xf numFmtId="49" fontId="9" fillId="0" borderId="123" xfId="7" applyNumberFormat="1" applyFont="1" applyFill="1" applyBorder="1" applyAlignment="1" applyProtection="1">
      <alignment horizontal="left"/>
      <protection hidden="1"/>
    </xf>
    <xf numFmtId="49" fontId="9" fillId="0" borderId="136" xfId="7" applyNumberFormat="1" applyFont="1" applyFill="1" applyBorder="1" applyAlignment="1" applyProtection="1">
      <alignment horizontal="left"/>
      <protection hidden="1"/>
    </xf>
    <xf numFmtId="49" fontId="9" fillId="0" borderId="12" xfId="7" applyNumberFormat="1" applyFont="1" applyFill="1" applyBorder="1" applyAlignment="1" applyProtection="1">
      <alignment horizontal="left"/>
    </xf>
    <xf numFmtId="49" fontId="9" fillId="0" borderId="62" xfId="7" applyNumberFormat="1" applyFont="1" applyFill="1" applyBorder="1" applyAlignment="1" applyProtection="1">
      <alignment horizontal="left"/>
    </xf>
    <xf numFmtId="49" fontId="9" fillId="0" borderId="73" xfId="7" applyNumberFormat="1" applyFont="1" applyFill="1" applyBorder="1" applyAlignment="1" applyProtection="1">
      <alignment horizontal="left"/>
    </xf>
    <xf numFmtId="49" fontId="9" fillId="0" borderId="134" xfId="7" applyNumberFormat="1" applyFont="1" applyFill="1" applyBorder="1" applyAlignment="1" applyProtection="1">
      <alignment horizontal="left"/>
    </xf>
    <xf numFmtId="0" fontId="12" fillId="0" borderId="32" xfId="9" applyFont="1" applyFill="1" applyBorder="1" applyAlignment="1" applyProtection="1">
      <alignment vertical="center"/>
    </xf>
    <xf numFmtId="186" fontId="65" fillId="0" borderId="0" xfId="5" applyNumberFormat="1" applyFont="1" applyAlignment="1" applyProtection="1">
      <alignment vertical="center"/>
    </xf>
    <xf numFmtId="0" fontId="15" fillId="0" borderId="71" xfId="9" applyFont="1" applyFill="1" applyBorder="1" applyAlignment="1" applyProtection="1">
      <alignment horizontal="left" vertical="center"/>
    </xf>
    <xf numFmtId="0" fontId="15" fillId="0" borderId="73" xfId="9" applyFont="1" applyFill="1" applyBorder="1" applyAlignment="1" applyProtection="1">
      <alignment horizontal="left" vertical="center"/>
    </xf>
    <xf numFmtId="0" fontId="15" fillId="0" borderId="72" xfId="9" applyFont="1" applyFill="1" applyBorder="1" applyAlignment="1" applyProtection="1">
      <alignment vertical="center"/>
    </xf>
    <xf numFmtId="0" fontId="12" fillId="0" borderId="0" xfId="9" applyFont="1" applyFill="1" applyBorder="1" applyAlignment="1" applyProtection="1">
      <alignment vertical="center"/>
    </xf>
    <xf numFmtId="0" fontId="12" fillId="0" borderId="32" xfId="9" applyFont="1" applyFill="1" applyBorder="1" applyAlignment="1">
      <alignment vertical="center"/>
    </xf>
    <xf numFmtId="0" fontId="15" fillId="0" borderId="71" xfId="9" applyFont="1" applyFill="1" applyBorder="1" applyAlignment="1">
      <alignment horizontal="left" vertical="center"/>
    </xf>
    <xf numFmtId="0" fontId="48" fillId="0" borderId="0" xfId="9" applyFont="1" applyFill="1" applyAlignment="1" applyProtection="1">
      <alignment horizontal="right" vertical="center"/>
    </xf>
    <xf numFmtId="198" fontId="48" fillId="0" borderId="0" xfId="9" applyNumberFormat="1" applyFont="1" applyFill="1" applyAlignment="1" applyProtection="1">
      <alignment horizontal="left" vertical="center"/>
    </xf>
    <xf numFmtId="0" fontId="17" fillId="0" borderId="0" xfId="0" applyFont="1" applyFill="1" applyAlignment="1">
      <alignment vertical="center"/>
    </xf>
    <xf numFmtId="0" fontId="12" fillId="13" borderId="99" xfId="0" quotePrefix="1" applyFont="1" applyFill="1" applyBorder="1" applyAlignment="1">
      <alignment vertical="center" wrapText="1"/>
    </xf>
    <xf numFmtId="0" fontId="74" fillId="0" borderId="6" xfId="1" applyFont="1" applyFill="1" applyBorder="1" applyAlignment="1" applyProtection="1">
      <alignment vertical="top"/>
      <protection hidden="1"/>
    </xf>
    <xf numFmtId="0" fontId="74" fillId="0" borderId="0" xfId="1" applyFont="1" applyFill="1" applyBorder="1" applyAlignment="1" applyProtection="1">
      <alignment vertical="top"/>
      <protection hidden="1"/>
    </xf>
    <xf numFmtId="0" fontId="0" fillId="0" borderId="0" xfId="0" applyProtection="1"/>
    <xf numFmtId="180" fontId="88" fillId="0" borderId="300" xfId="1" applyNumberFormat="1" applyFont="1" applyFill="1" applyBorder="1" applyAlignment="1" applyProtection="1">
      <alignment horizontal="center" vertical="center"/>
      <protection hidden="1"/>
    </xf>
    <xf numFmtId="180" fontId="88" fillId="0" borderId="301" xfId="1" applyNumberFormat="1" applyFont="1" applyFill="1" applyBorder="1" applyAlignment="1" applyProtection="1">
      <alignment horizontal="center" vertical="center"/>
      <protection hidden="1"/>
    </xf>
    <xf numFmtId="180" fontId="88" fillId="0" borderId="264" xfId="1" applyNumberFormat="1" applyFont="1" applyFill="1" applyBorder="1" applyAlignment="1" applyProtection="1">
      <alignment horizontal="center" vertical="center"/>
      <protection hidden="1"/>
    </xf>
    <xf numFmtId="180" fontId="88" fillId="0" borderId="302" xfId="1" applyNumberFormat="1" applyFont="1" applyFill="1" applyBorder="1" applyAlignment="1" applyProtection="1">
      <alignment horizontal="center" vertical="center"/>
      <protection hidden="1"/>
    </xf>
    <xf numFmtId="0" fontId="88" fillId="0" borderId="248" xfId="1" applyFont="1" applyFill="1" applyBorder="1" applyAlignment="1" applyProtection="1">
      <alignment vertical="top"/>
      <protection hidden="1"/>
    </xf>
    <xf numFmtId="0" fontId="88" fillId="0" borderId="303" xfId="1" applyFont="1" applyFill="1" applyBorder="1" applyAlignment="1" applyProtection="1">
      <alignment vertical="top"/>
      <protection hidden="1"/>
    </xf>
    <xf numFmtId="0" fontId="115" fillId="0" borderId="0" xfId="0" applyFont="1" applyAlignment="1" applyProtection="1">
      <alignment horizontal="right"/>
    </xf>
    <xf numFmtId="0" fontId="115" fillId="0" borderId="0" xfId="0" applyFont="1" applyAlignment="1" applyProtection="1">
      <protection locked="0"/>
    </xf>
    <xf numFmtId="1" fontId="104" fillId="7" borderId="69" xfId="9" applyNumberFormat="1" applyFont="1" applyFill="1" applyBorder="1" applyAlignment="1" applyProtection="1">
      <alignment vertical="center"/>
      <protection locked="0"/>
    </xf>
    <xf numFmtId="0" fontId="0" fillId="0" borderId="0" xfId="0" applyAlignment="1">
      <alignment horizontal="center"/>
    </xf>
    <xf numFmtId="0" fontId="0" fillId="0" borderId="0" xfId="0" applyProtection="1"/>
    <xf numFmtId="0" fontId="2" fillId="0" borderId="0" xfId="3" applyFont="1" applyAlignment="1">
      <alignment horizontal="left" vertical="center"/>
    </xf>
    <xf numFmtId="3" fontId="0" fillId="0" borderId="51" xfId="0" applyNumberFormat="1" applyBorder="1" applyAlignment="1">
      <alignment horizontal="center" vertical="center"/>
    </xf>
    <xf numFmtId="0" fontId="12" fillId="0" borderId="106" xfId="0" applyFont="1" applyBorder="1"/>
    <xf numFmtId="0" fontId="12" fillId="0" borderId="107" xfId="0" applyFont="1" applyBorder="1"/>
    <xf numFmtId="0" fontId="0" fillId="0" borderId="0" xfId="0"/>
    <xf numFmtId="3" fontId="0" fillId="0" borderId="0" xfId="0" applyNumberFormat="1" applyAlignment="1">
      <alignment vertical="center"/>
    </xf>
    <xf numFmtId="0" fontId="0" fillId="0" borderId="0" xfId="0"/>
    <xf numFmtId="0" fontId="34" fillId="0" borderId="39" xfId="1" applyFont="1" applyBorder="1" applyAlignment="1" applyProtection="1">
      <alignment vertical="center"/>
      <protection hidden="1"/>
    </xf>
    <xf numFmtId="0" fontId="34" fillId="0" borderId="10" xfId="1" applyFont="1" applyBorder="1" applyAlignment="1" applyProtection="1">
      <alignment vertical="center"/>
      <protection hidden="1"/>
    </xf>
    <xf numFmtId="0" fontId="0" fillId="0" borderId="0" xfId="0" applyProtection="1"/>
    <xf numFmtId="0" fontId="34" fillId="0" borderId="20" xfId="1" applyFont="1" applyBorder="1" applyAlignment="1" applyProtection="1">
      <alignment horizontal="left" vertical="center"/>
      <protection hidden="1"/>
    </xf>
    <xf numFmtId="0" fontId="34" fillId="0" borderId="235" xfId="1" applyFont="1" applyBorder="1" applyAlignment="1" applyProtection="1">
      <alignment vertical="center"/>
      <protection hidden="1"/>
    </xf>
    <xf numFmtId="0" fontId="34" fillId="0" borderId="21" xfId="1" applyFont="1" applyBorder="1" applyAlignment="1" applyProtection="1">
      <alignment vertical="center"/>
      <protection hidden="1"/>
    </xf>
    <xf numFmtId="0" fontId="0" fillId="0" borderId="0" xfId="0" applyBorder="1" applyAlignment="1">
      <alignment horizontal="left" vertical="center" wrapText="1" indent="1"/>
    </xf>
    <xf numFmtId="0" fontId="12" fillId="0" borderId="0" xfId="0" applyFont="1" applyBorder="1" applyAlignment="1">
      <alignment horizontal="left" vertical="top" wrapText="1"/>
    </xf>
    <xf numFmtId="0" fontId="12" fillId="0" borderId="0" xfId="0" applyFont="1" applyBorder="1" applyAlignment="1">
      <alignment horizontal="right" indent="1"/>
    </xf>
    <xf numFmtId="0" fontId="0" fillId="0" borderId="0" xfId="0"/>
    <xf numFmtId="181" fontId="22" fillId="0" borderId="65" xfId="1" applyNumberFormat="1" applyFont="1" applyBorder="1" applyAlignment="1" applyProtection="1">
      <alignment vertical="center"/>
      <protection hidden="1"/>
    </xf>
    <xf numFmtId="0" fontId="34" fillId="0" borderId="10" xfId="1" applyFont="1" applyBorder="1" applyAlignment="1" applyProtection="1">
      <alignment horizontal="center" vertical="center"/>
      <protection hidden="1"/>
    </xf>
    <xf numFmtId="0" fontId="9" fillId="0" borderId="0" xfId="1" applyFont="1" applyAlignment="1" applyProtection="1">
      <alignment horizontal="right"/>
      <protection hidden="1"/>
    </xf>
    <xf numFmtId="0" fontId="9" fillId="0" borderId="16" xfId="1" applyFont="1" applyFill="1" applyBorder="1" applyAlignment="1" applyProtection="1">
      <alignment horizontal="right" vertical="center"/>
      <protection hidden="1"/>
    </xf>
    <xf numFmtId="0" fontId="0" fillId="0" borderId="0" xfId="0" applyProtection="1"/>
    <xf numFmtId="186" fontId="94" fillId="7" borderId="133" xfId="5" applyNumberFormat="1" applyFont="1" applyFill="1" applyBorder="1" applyAlignment="1" applyProtection="1">
      <alignment horizontal="center" vertical="center"/>
      <protection locked="0"/>
    </xf>
    <xf numFmtId="0" fontId="34" fillId="0" borderId="0" xfId="1" applyFont="1" applyBorder="1" applyAlignment="1" applyProtection="1">
      <alignment horizontal="left" vertical="center"/>
      <protection hidden="1"/>
    </xf>
    <xf numFmtId="0" fontId="9" fillId="0" borderId="4" xfId="1" applyFont="1" applyBorder="1" applyAlignment="1" applyProtection="1">
      <alignment vertical="center"/>
      <protection hidden="1"/>
    </xf>
    <xf numFmtId="0" fontId="22" fillId="0" borderId="73" xfId="1" applyFont="1" applyFill="1" applyBorder="1" applyAlignment="1" applyProtection="1">
      <alignment vertical="center"/>
      <protection hidden="1"/>
    </xf>
    <xf numFmtId="0" fontId="22" fillId="0" borderId="4" xfId="1" applyFont="1" applyFill="1" applyBorder="1" applyAlignment="1" applyProtection="1">
      <alignment vertical="center"/>
      <protection hidden="1"/>
    </xf>
    <xf numFmtId="0" fontId="9" fillId="0" borderId="73" xfId="1" applyFont="1" applyFill="1" applyBorder="1" applyAlignment="1" applyProtection="1">
      <alignment vertical="center"/>
      <protection hidden="1"/>
    </xf>
    <xf numFmtId="0" fontId="9" fillId="0" borderId="4" xfId="1" applyFont="1" applyFill="1" applyBorder="1" applyAlignment="1" applyProtection="1">
      <alignment vertical="center"/>
      <protection hidden="1"/>
    </xf>
    <xf numFmtId="181" fontId="9" fillId="0" borderId="73" xfId="1" applyNumberFormat="1" applyFont="1" applyBorder="1" applyAlignment="1" applyProtection="1">
      <alignment vertical="center"/>
      <protection hidden="1"/>
    </xf>
    <xf numFmtId="0" fontId="34" fillId="0" borderId="4" xfId="1" applyFont="1" applyBorder="1" applyAlignment="1" applyProtection="1">
      <alignment vertical="center"/>
      <protection hidden="1"/>
    </xf>
    <xf numFmtId="181" fontId="34" fillId="0" borderId="64" xfId="1" applyNumberFormat="1" applyFont="1" applyBorder="1" applyAlignment="1" applyProtection="1">
      <alignment horizontal="left" vertical="center"/>
      <protection hidden="1"/>
    </xf>
    <xf numFmtId="181" fontId="34" fillId="0" borderId="0" xfId="1" applyNumberFormat="1" applyFont="1" applyBorder="1" applyAlignment="1" applyProtection="1">
      <alignment horizontal="left" vertical="center"/>
      <protection hidden="1"/>
    </xf>
    <xf numFmtId="0" fontId="9" fillId="0" borderId="16" xfId="1" applyFont="1" applyFill="1" applyBorder="1" applyAlignment="1" applyProtection="1">
      <alignment vertical="center"/>
      <protection hidden="1"/>
    </xf>
    <xf numFmtId="0" fontId="9" fillId="0" borderId="65" xfId="1" applyFont="1" applyFill="1" applyBorder="1" applyAlignment="1" applyProtection="1">
      <alignment vertical="center"/>
      <protection hidden="1"/>
    </xf>
    <xf numFmtId="0" fontId="9" fillId="0" borderId="42" xfId="1" applyFont="1" applyFill="1" applyBorder="1" applyAlignment="1" applyProtection="1">
      <alignment vertical="center"/>
      <protection hidden="1"/>
    </xf>
    <xf numFmtId="0" fontId="12" fillId="0" borderId="0" xfId="9" applyFill="1" applyAlignment="1">
      <alignment horizontal="right" vertical="center"/>
    </xf>
    <xf numFmtId="0" fontId="79" fillId="0" borderId="0" xfId="9" applyFont="1" applyFill="1" applyAlignment="1">
      <alignment horizontal="right" vertical="center"/>
    </xf>
    <xf numFmtId="9" fontId="15" fillId="7" borderId="64" xfId="5" applyFont="1" applyFill="1" applyBorder="1" applyAlignment="1" applyProtection="1">
      <alignment horizontal="right" vertical="center"/>
      <protection locked="0"/>
    </xf>
    <xf numFmtId="0" fontId="12" fillId="0" borderId="30" xfId="9" applyFill="1" applyBorder="1" applyAlignment="1" applyProtection="1">
      <alignment vertical="center"/>
    </xf>
    <xf numFmtId="0" fontId="79" fillId="0" borderId="0" xfId="9" applyFont="1" applyFill="1" applyAlignment="1" applyProtection="1">
      <alignment horizontal="right" vertical="center"/>
    </xf>
    <xf numFmtId="49" fontId="12" fillId="0" borderId="64" xfId="9" applyNumberFormat="1" applyFont="1" applyFill="1" applyBorder="1" applyAlignment="1" applyProtection="1">
      <alignment horizontal="left" vertical="center"/>
    </xf>
    <xf numFmtId="49" fontId="12" fillId="0" borderId="64" xfId="9" applyNumberFormat="1" applyFont="1" applyFill="1" applyBorder="1" applyAlignment="1">
      <alignment horizontal="left" vertical="center"/>
    </xf>
    <xf numFmtId="0" fontId="34" fillId="0" borderId="39" xfId="1" applyFont="1" applyBorder="1" applyAlignment="1" applyProtection="1">
      <alignment vertical="center"/>
      <protection hidden="1"/>
    </xf>
    <xf numFmtId="0" fontId="34" fillId="0" borderId="10" xfId="1" applyFont="1" applyBorder="1" applyAlignment="1" applyProtection="1">
      <alignment vertical="center"/>
      <protection hidden="1"/>
    </xf>
    <xf numFmtId="199" fontId="22" fillId="0" borderId="17" xfId="1" applyNumberFormat="1" applyFont="1" applyBorder="1" applyAlignment="1" applyProtection="1">
      <alignment horizontal="right" vertical="center"/>
      <protection hidden="1"/>
    </xf>
    <xf numFmtId="0" fontId="22" fillId="0" borderId="217" xfId="1" applyFont="1" applyBorder="1" applyAlignment="1" applyProtection="1">
      <alignment vertical="center"/>
      <protection hidden="1"/>
    </xf>
    <xf numFmtId="199" fontId="34" fillId="0" borderId="43" xfId="1" applyNumberFormat="1" applyFont="1" applyBorder="1" applyAlignment="1" applyProtection="1">
      <alignment horizontal="right" vertical="center"/>
      <protection hidden="1"/>
    </xf>
    <xf numFmtId="199" fontId="22" fillId="0" borderId="14" xfId="1" applyNumberFormat="1" applyFont="1" applyBorder="1" applyAlignment="1" applyProtection="1">
      <alignment horizontal="right" vertical="center"/>
      <protection hidden="1"/>
    </xf>
    <xf numFmtId="200" fontId="9" fillId="0" borderId="5" xfId="1" applyNumberFormat="1" applyFont="1" applyBorder="1" applyAlignment="1" applyProtection="1">
      <alignment horizontal="right" vertical="center"/>
      <protection hidden="1"/>
    </xf>
    <xf numFmtId="200" fontId="22" fillId="0" borderId="43" xfId="5" applyNumberFormat="1" applyFont="1" applyBorder="1" applyAlignment="1" applyProtection="1">
      <alignment horizontal="right" vertical="center"/>
      <protection hidden="1"/>
    </xf>
    <xf numFmtId="199" fontId="34" fillId="0" borderId="175" xfId="8" applyNumberFormat="1" applyFont="1" applyFill="1" applyBorder="1" applyAlignment="1" applyProtection="1">
      <alignment horizontal="right"/>
      <protection hidden="1"/>
    </xf>
    <xf numFmtId="199" fontId="34" fillId="0" borderId="227" xfId="8" applyNumberFormat="1" applyFont="1" applyFill="1" applyBorder="1" applyAlignment="1" applyProtection="1">
      <alignment horizontal="right"/>
      <protection hidden="1"/>
    </xf>
    <xf numFmtId="199" fontId="22" fillId="0" borderId="54" xfId="1" applyNumberFormat="1" applyFont="1" applyFill="1" applyBorder="1" applyAlignment="1" applyProtection="1">
      <alignment vertical="center"/>
      <protection hidden="1"/>
    </xf>
    <xf numFmtId="199" fontId="22" fillId="0" borderId="17" xfId="1" applyNumberFormat="1" applyFont="1" applyFill="1" applyBorder="1" applyAlignment="1" applyProtection="1">
      <alignment horizontal="right" vertical="center"/>
      <protection hidden="1"/>
    </xf>
    <xf numFmtId="199" fontId="22" fillId="0" borderId="54" xfId="1" applyNumberFormat="1" applyFont="1" applyFill="1" applyBorder="1" applyAlignment="1" applyProtection="1">
      <alignment horizontal="right" vertical="center"/>
      <protection hidden="1"/>
    </xf>
    <xf numFmtId="199" fontId="34" fillId="0" borderId="22" xfId="1" applyNumberFormat="1" applyFont="1" applyFill="1" applyBorder="1" applyAlignment="1" applyProtection="1">
      <alignment horizontal="right" vertical="center"/>
      <protection hidden="1"/>
    </xf>
    <xf numFmtId="190" fontId="34" fillId="0" borderId="61" xfId="8" applyNumberFormat="1" applyFont="1" applyFill="1" applyBorder="1" applyAlignment="1" applyProtection="1">
      <alignment horizontal="right" indent="1"/>
    </xf>
    <xf numFmtId="190" fontId="34" fillId="0" borderId="62" xfId="8" applyNumberFormat="1" applyFont="1" applyFill="1" applyBorder="1" applyAlignment="1" applyProtection="1">
      <alignment horizontal="right" indent="1"/>
    </xf>
    <xf numFmtId="190" fontId="9" fillId="0" borderId="137" xfId="8" applyNumberFormat="1" applyFont="1" applyFill="1" applyBorder="1" applyAlignment="1" applyProtection="1">
      <alignment horizontal="right" indent="1"/>
    </xf>
    <xf numFmtId="190" fontId="9" fillId="0" borderId="123" xfId="8" applyNumberFormat="1" applyFont="1" applyFill="1" applyBorder="1" applyAlignment="1" applyProtection="1">
      <alignment horizontal="right" indent="1"/>
    </xf>
    <xf numFmtId="199" fontId="22" fillId="0" borderId="17" xfId="1" applyNumberFormat="1" applyFont="1" applyBorder="1" applyAlignment="1" applyProtection="1">
      <alignment vertical="center"/>
      <protection hidden="1"/>
    </xf>
    <xf numFmtId="199" fontId="22" fillId="0" borderId="19" xfId="1" applyNumberFormat="1" applyFont="1" applyFill="1" applyBorder="1" applyAlignment="1" applyProtection="1">
      <alignment vertical="center"/>
      <protection hidden="1"/>
    </xf>
    <xf numFmtId="199" fontId="34" fillId="0" borderId="175" xfId="8" applyNumberFormat="1" applyFont="1" applyFill="1" applyBorder="1" applyAlignment="1" applyProtection="1">
      <alignment horizontal="right"/>
    </xf>
    <xf numFmtId="199" fontId="34" fillId="0" borderId="13" xfId="8" applyNumberFormat="1" applyFont="1" applyFill="1" applyBorder="1" applyAlignment="1" applyProtection="1">
      <alignment horizontal="right"/>
    </xf>
    <xf numFmtId="199" fontId="22" fillId="0" borderId="19" xfId="1" applyNumberFormat="1" applyFont="1" applyBorder="1" applyAlignment="1" applyProtection="1">
      <alignment vertical="center"/>
      <protection hidden="1"/>
    </xf>
    <xf numFmtId="199" fontId="22" fillId="0" borderId="122" xfId="1" applyNumberFormat="1" applyFont="1" applyBorder="1" applyAlignment="1" applyProtection="1">
      <alignment vertical="center"/>
      <protection hidden="1"/>
    </xf>
    <xf numFmtId="199" fontId="22" fillId="0" borderId="18" xfId="1" applyNumberFormat="1" applyFont="1" applyBorder="1" applyAlignment="1" applyProtection="1">
      <alignment vertical="center"/>
      <protection hidden="1"/>
    </xf>
    <xf numFmtId="199" fontId="9" fillId="0" borderId="34" xfId="8" applyNumberFormat="1" applyFont="1" applyFill="1" applyBorder="1" applyAlignment="1" applyProtection="1">
      <alignment horizontal="right" vertical="center"/>
    </xf>
    <xf numFmtId="199" fontId="9" fillId="0" borderId="162" xfId="8" applyNumberFormat="1" applyFont="1" applyFill="1" applyBorder="1" applyAlignment="1" applyProtection="1">
      <alignment horizontal="right" vertical="center"/>
    </xf>
    <xf numFmtId="199" fontId="34" fillId="0" borderId="227" xfId="8" applyNumberFormat="1" applyFont="1" applyFill="1" applyBorder="1" applyAlignment="1" applyProtection="1">
      <alignment horizontal="right"/>
    </xf>
    <xf numFmtId="199" fontId="9" fillId="0" borderId="53" xfId="8" applyNumberFormat="1" applyFont="1" applyFill="1" applyBorder="1" applyAlignment="1" applyProtection="1">
      <alignment horizontal="right" vertical="center"/>
    </xf>
    <xf numFmtId="199" fontId="34" fillId="0" borderId="225" xfId="8" applyNumberFormat="1" applyFont="1" applyFill="1" applyBorder="1" applyAlignment="1" applyProtection="1">
      <alignment horizontal="right"/>
    </xf>
    <xf numFmtId="199" fontId="9" fillId="0" borderId="127" xfId="8" applyNumberFormat="1" applyFont="1" applyFill="1" applyBorder="1" applyAlignment="1" applyProtection="1">
      <alignment horizontal="right" vertical="center"/>
    </xf>
    <xf numFmtId="199" fontId="9" fillId="0" borderId="234" xfId="8" applyNumberFormat="1" applyFont="1" applyFill="1" applyBorder="1" applyAlignment="1" applyProtection="1">
      <alignment horizontal="right" vertical="center"/>
    </xf>
    <xf numFmtId="200" fontId="9" fillId="0" borderId="63" xfId="1" applyNumberFormat="1" applyFont="1" applyBorder="1" applyAlignment="1" applyProtection="1">
      <alignment horizontal="right" vertical="center"/>
      <protection hidden="1"/>
    </xf>
    <xf numFmtId="200" fontId="9" fillId="0" borderId="47" xfId="1" applyNumberFormat="1" applyFont="1" applyFill="1" applyBorder="1" applyAlignment="1" applyProtection="1">
      <alignment horizontal="right" vertical="center"/>
      <protection hidden="1"/>
    </xf>
    <xf numFmtId="200" fontId="9" fillId="0" borderId="137" xfId="1" applyNumberFormat="1" applyFont="1" applyFill="1" applyBorder="1" applyAlignment="1" applyProtection="1">
      <alignment horizontal="right" vertical="center"/>
      <protection hidden="1"/>
    </xf>
    <xf numFmtId="200" fontId="9" fillId="0" borderId="61" xfId="1" applyNumberFormat="1" applyFont="1" applyFill="1" applyBorder="1" applyAlignment="1" applyProtection="1">
      <alignment horizontal="right" vertical="center"/>
      <protection hidden="1"/>
    </xf>
    <xf numFmtId="200" fontId="9" fillId="0" borderId="47" xfId="1" applyNumberFormat="1" applyFont="1" applyBorder="1" applyAlignment="1" applyProtection="1">
      <alignment horizontal="right" vertical="center"/>
      <protection hidden="1"/>
    </xf>
    <xf numFmtId="200" fontId="9" fillId="0" borderId="135" xfId="1" applyNumberFormat="1" applyFont="1" applyBorder="1" applyAlignment="1" applyProtection="1">
      <alignment horizontal="right" vertical="center"/>
      <protection hidden="1"/>
    </xf>
    <xf numFmtId="200" fontId="9" fillId="0" borderId="48" xfId="1" applyNumberFormat="1" applyFont="1" applyBorder="1" applyAlignment="1" applyProtection="1">
      <alignment horizontal="right" vertical="center"/>
      <protection hidden="1"/>
    </xf>
    <xf numFmtId="199" fontId="9" fillId="7" borderId="34" xfId="8" applyNumberFormat="1" applyFont="1" applyFill="1" applyBorder="1" applyAlignment="1" applyProtection="1">
      <alignment horizontal="right" vertical="center"/>
      <protection locked="0"/>
    </xf>
    <xf numFmtId="199" fontId="9" fillId="0" borderId="33" xfId="8" applyNumberFormat="1" applyFont="1" applyFill="1" applyBorder="1" applyAlignment="1" applyProtection="1">
      <alignment horizontal="right" vertical="center"/>
    </xf>
    <xf numFmtId="190" fontId="9" fillId="0" borderId="6" xfId="1" applyNumberFormat="1" applyFont="1" applyFill="1" applyBorder="1" applyAlignment="1" applyProtection="1">
      <alignment horizontal="right" vertical="center"/>
      <protection hidden="1"/>
    </xf>
    <xf numFmtId="190" fontId="101" fillId="0" borderId="75" xfId="8" applyNumberFormat="1" applyFont="1" applyFill="1" applyBorder="1" applyAlignment="1" applyProtection="1">
      <alignment horizontal="right" vertical="center"/>
    </xf>
    <xf numFmtId="199" fontId="34" fillId="0" borderId="88" xfId="1" applyNumberFormat="1" applyFont="1" applyFill="1" applyBorder="1" applyAlignment="1" applyProtection="1">
      <alignment horizontal="right" vertical="center"/>
      <protection hidden="1"/>
    </xf>
    <xf numFmtId="199" fontId="22" fillId="0" borderId="14" xfId="1" applyNumberFormat="1" applyFont="1" applyFill="1" applyBorder="1" applyAlignment="1" applyProtection="1">
      <alignment horizontal="right" vertical="center"/>
      <protection hidden="1"/>
    </xf>
    <xf numFmtId="200" fontId="9" fillId="0" borderId="5" xfId="1" applyNumberFormat="1" applyFont="1" applyFill="1" applyBorder="1" applyAlignment="1" applyProtection="1">
      <alignment horizontal="right" vertical="center"/>
      <protection hidden="1"/>
    </xf>
    <xf numFmtId="200" fontId="9" fillId="0" borderId="6" xfId="1" applyNumberFormat="1" applyFont="1" applyFill="1" applyBorder="1" applyAlignment="1" applyProtection="1">
      <alignment horizontal="right" vertical="center"/>
      <protection hidden="1"/>
    </xf>
    <xf numFmtId="202" fontId="9" fillId="7" borderId="125" xfId="5" applyNumberFormat="1" applyFont="1" applyFill="1" applyBorder="1" applyAlignment="1" applyProtection="1">
      <alignment horizontal="right"/>
      <protection locked="0"/>
    </xf>
    <xf numFmtId="199" fontId="22" fillId="0" borderId="34" xfId="1" applyNumberFormat="1" applyFont="1" applyBorder="1" applyAlignment="1" applyProtection="1">
      <alignment horizontal="right" vertical="center"/>
      <protection hidden="1"/>
    </xf>
    <xf numFmtId="199" fontId="22" fillId="0" borderId="34" xfId="1" applyNumberFormat="1" applyFont="1" applyFill="1" applyBorder="1" applyAlignment="1" applyProtection="1">
      <alignment horizontal="right" vertical="center"/>
      <protection hidden="1"/>
    </xf>
    <xf numFmtId="199" fontId="22" fillId="0" borderId="53" xfId="1" applyNumberFormat="1" applyFont="1" applyFill="1" applyBorder="1" applyAlignment="1" applyProtection="1">
      <alignment horizontal="right" vertical="center"/>
      <protection hidden="1"/>
    </xf>
    <xf numFmtId="199" fontId="34" fillId="0" borderId="38" xfId="1" applyNumberFormat="1" applyFont="1" applyFill="1" applyBorder="1" applyAlignment="1" applyProtection="1">
      <alignment horizontal="right" vertical="center"/>
      <protection hidden="1"/>
    </xf>
    <xf numFmtId="0" fontId="31" fillId="0" borderId="0" xfId="2" applyFont="1" applyFill="1" applyProtection="1"/>
    <xf numFmtId="0" fontId="1" fillId="0" borderId="0" xfId="3" applyFont="1" applyAlignment="1">
      <alignment horizontal="left" vertical="center"/>
    </xf>
    <xf numFmtId="185" fontId="17" fillId="0" borderId="57" xfId="0" applyNumberFormat="1" applyFont="1" applyFill="1" applyBorder="1" applyAlignment="1">
      <alignment horizontal="right" vertical="center" indent="1"/>
    </xf>
    <xf numFmtId="49" fontId="0" fillId="0" borderId="0" xfId="0" applyNumberFormat="1" applyBorder="1" applyAlignment="1">
      <alignment vertical="center"/>
    </xf>
    <xf numFmtId="49" fontId="0" fillId="0" borderId="57" xfId="0" applyNumberFormat="1" applyBorder="1" applyAlignment="1">
      <alignment vertical="center"/>
    </xf>
    <xf numFmtId="0" fontId="34" fillId="0" borderId="10" xfId="1" applyFont="1" applyBorder="1" applyAlignment="1" applyProtection="1">
      <alignment vertical="center"/>
      <protection hidden="1"/>
    </xf>
    <xf numFmtId="0" fontId="34" fillId="0" borderId="44" xfId="1" applyFont="1" applyBorder="1" applyAlignment="1" applyProtection="1">
      <alignment vertical="center"/>
      <protection hidden="1"/>
    </xf>
    <xf numFmtId="0" fontId="9" fillId="0" borderId="6" xfId="1" applyFont="1" applyBorder="1" applyAlignment="1" applyProtection="1">
      <alignment horizontal="center" vertical="center"/>
      <protection hidden="1"/>
    </xf>
    <xf numFmtId="0" fontId="34" fillId="0" borderId="10" xfId="1" applyFont="1" applyBorder="1" applyAlignment="1" applyProtection="1">
      <alignment horizontal="center" vertical="center"/>
      <protection hidden="1"/>
    </xf>
    <xf numFmtId="0" fontId="34" fillId="0" borderId="8" xfId="1" applyFont="1" applyBorder="1" applyAlignment="1" applyProtection="1">
      <alignment horizontal="center" vertical="center"/>
      <protection hidden="1"/>
    </xf>
    <xf numFmtId="0" fontId="9" fillId="0" borderId="42" xfId="1" applyFont="1" applyBorder="1" applyAlignment="1" applyProtection="1">
      <alignment vertical="center"/>
      <protection hidden="1"/>
    </xf>
    <xf numFmtId="0" fontId="0" fillId="0" borderId="0" xfId="0" applyProtection="1"/>
    <xf numFmtId="0" fontId="88" fillId="0" borderId="194" xfId="1" applyFont="1" applyFill="1" applyBorder="1" applyAlignment="1" applyProtection="1">
      <alignment horizontal="left" vertical="center"/>
      <protection hidden="1"/>
    </xf>
    <xf numFmtId="203" fontId="9" fillId="10" borderId="135" xfId="1" applyNumberFormat="1" applyFont="1" applyFill="1" applyBorder="1" applyAlignment="1" applyProtection="1">
      <alignment horizontal="right" vertical="center" indent="1"/>
      <protection locked="0"/>
    </xf>
    <xf numFmtId="203" fontId="9" fillId="10" borderId="48" xfId="1" applyNumberFormat="1" applyFont="1" applyFill="1" applyBorder="1" applyAlignment="1" applyProtection="1">
      <alignment horizontal="right" vertical="center" indent="1"/>
      <protection locked="0"/>
    </xf>
    <xf numFmtId="203" fontId="9" fillId="10" borderId="47" xfId="1" applyNumberFormat="1" applyFont="1" applyFill="1" applyBorder="1" applyAlignment="1" applyProtection="1">
      <alignment horizontal="right" vertical="center" indent="1"/>
      <protection locked="0"/>
    </xf>
    <xf numFmtId="204" fontId="9" fillId="0" borderId="63" xfId="1" applyNumberFormat="1" applyFont="1" applyBorder="1" applyAlignment="1" applyProtection="1">
      <alignment horizontal="right" vertical="center" indent="1"/>
      <protection hidden="1"/>
    </xf>
    <xf numFmtId="204" fontId="9" fillId="0" borderId="43" xfId="1" applyNumberFormat="1" applyFont="1" applyBorder="1" applyAlignment="1" applyProtection="1">
      <alignment horizontal="right" vertical="center" indent="1"/>
      <protection hidden="1"/>
    </xf>
    <xf numFmtId="0" fontId="9" fillId="0" borderId="46" xfId="1" applyFont="1" applyBorder="1" applyAlignment="1" applyProtection="1">
      <alignment horizontal="center" vertical="center"/>
      <protection hidden="1"/>
    </xf>
    <xf numFmtId="0" fontId="9" fillId="0" borderId="310" xfId="1" applyFont="1" applyBorder="1" applyAlignment="1" applyProtection="1">
      <alignment horizontal="center" vertical="center"/>
      <protection hidden="1"/>
    </xf>
    <xf numFmtId="201" fontId="9" fillId="0" borderId="100" xfId="1" applyNumberFormat="1" applyFont="1" applyBorder="1" applyAlignment="1" applyProtection="1">
      <alignment horizontal="right" vertical="center"/>
      <protection hidden="1"/>
    </xf>
    <xf numFmtId="199" fontId="34" fillId="0" borderId="311" xfId="8" applyNumberFormat="1" applyFont="1" applyFill="1" applyBorder="1" applyAlignment="1" applyProtection="1">
      <alignment horizontal="right"/>
      <protection hidden="1"/>
    </xf>
    <xf numFmtId="201" fontId="9" fillId="7" borderId="59" xfId="8" applyNumberFormat="1" applyFont="1" applyFill="1" applyBorder="1" applyAlignment="1" applyProtection="1">
      <alignment horizontal="right" vertical="center"/>
      <protection locked="0"/>
    </xf>
    <xf numFmtId="199" fontId="9" fillId="0" borderId="312" xfId="8" applyNumberFormat="1" applyFont="1" applyFill="1" applyBorder="1" applyAlignment="1" applyProtection="1">
      <alignment horizontal="right" vertical="center"/>
      <protection hidden="1"/>
    </xf>
    <xf numFmtId="201" fontId="9" fillId="7" borderId="56" xfId="8" applyNumberFormat="1" applyFont="1" applyFill="1" applyBorder="1" applyAlignment="1" applyProtection="1">
      <alignment horizontal="right" vertical="center"/>
      <protection locked="0"/>
    </xf>
    <xf numFmtId="201" fontId="9" fillId="7" borderId="93" xfId="8" applyNumberFormat="1" applyFont="1" applyFill="1" applyBorder="1" applyAlignment="1" applyProtection="1">
      <alignment horizontal="right" vertical="center"/>
      <protection locked="0"/>
    </xf>
    <xf numFmtId="201" fontId="9" fillId="7" borderId="96" xfId="8" applyNumberFormat="1" applyFont="1" applyFill="1" applyBorder="1" applyAlignment="1" applyProtection="1">
      <alignment horizontal="right" vertical="center"/>
      <protection locked="0"/>
    </xf>
    <xf numFmtId="201" fontId="22" fillId="0" borderId="313" xfId="1" applyNumberFormat="1" applyFont="1" applyBorder="1" applyAlignment="1" applyProtection="1">
      <alignment horizontal="right" vertical="center"/>
      <protection hidden="1"/>
    </xf>
    <xf numFmtId="199" fontId="34" fillId="0" borderId="315" xfId="1" applyNumberFormat="1" applyFont="1" applyBorder="1" applyAlignment="1" applyProtection="1">
      <alignment horizontal="right" vertical="center"/>
      <protection hidden="1"/>
    </xf>
    <xf numFmtId="199" fontId="22" fillId="0" borderId="14" xfId="2" applyNumberFormat="1" applyFont="1" applyBorder="1" applyAlignment="1" applyProtection="1">
      <alignment horizontal="right" vertical="center" indent="2"/>
      <protection hidden="1"/>
    </xf>
    <xf numFmtId="199" fontId="22" fillId="0" borderId="14" xfId="2" applyNumberFormat="1" applyFont="1" applyFill="1" applyBorder="1" applyAlignment="1" applyProtection="1">
      <alignment horizontal="right" vertical="center" indent="2"/>
      <protection hidden="1"/>
    </xf>
    <xf numFmtId="199" fontId="22" fillId="0" borderId="33" xfId="2" applyNumberFormat="1" applyFont="1" applyBorder="1" applyAlignment="1" applyProtection="1">
      <alignment horizontal="right" vertical="center" indent="2"/>
      <protection hidden="1"/>
    </xf>
    <xf numFmtId="199" fontId="22" fillId="0" borderId="17" xfId="2" applyNumberFormat="1" applyFont="1" applyBorder="1" applyAlignment="1" applyProtection="1">
      <alignment horizontal="right" vertical="center" indent="2"/>
      <protection hidden="1"/>
    </xf>
    <xf numFmtId="199" fontId="22" fillId="0" borderId="17" xfId="2" applyNumberFormat="1" applyFont="1" applyFill="1" applyBorder="1" applyAlignment="1" applyProtection="1">
      <alignment horizontal="right" vertical="center" indent="2"/>
      <protection hidden="1"/>
    </xf>
    <xf numFmtId="199" fontId="22" fillId="0" borderId="34" xfId="2" applyNumberFormat="1" applyFont="1" applyBorder="1" applyAlignment="1" applyProtection="1">
      <alignment horizontal="right" vertical="center" indent="2"/>
      <protection hidden="1"/>
    </xf>
    <xf numFmtId="199" fontId="34" fillId="0" borderId="17" xfId="2" applyNumberFormat="1" applyFont="1" applyBorder="1" applyAlignment="1" applyProtection="1">
      <alignment horizontal="right" vertical="center" indent="2"/>
      <protection hidden="1"/>
    </xf>
    <xf numFmtId="199" fontId="34" fillId="0" borderId="17" xfId="2" applyNumberFormat="1" applyFont="1" applyFill="1" applyBorder="1" applyAlignment="1" applyProtection="1">
      <alignment horizontal="right" vertical="center" indent="2"/>
      <protection hidden="1"/>
    </xf>
    <xf numFmtId="199" fontId="34" fillId="0" borderId="34" xfId="2" applyNumberFormat="1" applyFont="1" applyBorder="1" applyAlignment="1" applyProtection="1">
      <alignment horizontal="right" vertical="center" indent="2"/>
      <protection hidden="1"/>
    </xf>
    <xf numFmtId="199" fontId="34" fillId="0" borderId="54" xfId="2" applyNumberFormat="1" applyFont="1" applyBorder="1" applyAlignment="1" applyProtection="1">
      <alignment horizontal="right" vertical="center" indent="2"/>
      <protection hidden="1"/>
    </xf>
    <xf numFmtId="199" fontId="34" fillId="0" borderId="54" xfId="2" applyNumberFormat="1" applyFont="1" applyFill="1" applyBorder="1" applyAlignment="1" applyProtection="1">
      <alignment horizontal="right" vertical="center" indent="2"/>
      <protection hidden="1"/>
    </xf>
    <xf numFmtId="199" fontId="34" fillId="0" borderId="53" xfId="2" applyNumberFormat="1" applyFont="1" applyBorder="1" applyAlignment="1" applyProtection="1">
      <alignment horizontal="right" vertical="center" indent="2"/>
      <protection hidden="1"/>
    </xf>
    <xf numFmtId="199" fontId="34" fillId="0" borderId="22" xfId="2" applyNumberFormat="1" applyFont="1" applyBorder="1" applyAlignment="1" applyProtection="1">
      <alignment horizontal="right" vertical="center" indent="2"/>
      <protection hidden="1"/>
    </xf>
    <xf numFmtId="199" fontId="34" fillId="0" borderId="22" xfId="2" applyNumberFormat="1" applyFont="1" applyFill="1" applyBorder="1" applyAlignment="1" applyProtection="1">
      <alignment horizontal="right" vertical="center" indent="2"/>
      <protection hidden="1"/>
    </xf>
    <xf numFmtId="199" fontId="34" fillId="0" borderId="23" xfId="2" applyNumberFormat="1" applyFont="1" applyBorder="1" applyAlignment="1" applyProtection="1">
      <alignment horizontal="right" vertical="center" indent="2"/>
      <protection hidden="1"/>
    </xf>
    <xf numFmtId="199" fontId="22" fillId="0" borderId="33" xfId="2" applyNumberFormat="1" applyFont="1" applyFill="1" applyBorder="1" applyAlignment="1" applyProtection="1">
      <alignment horizontal="right" vertical="center" indent="2"/>
      <protection hidden="1"/>
    </xf>
    <xf numFmtId="199" fontId="22" fillId="0" borderId="34" xfId="2" applyNumberFormat="1" applyFont="1" applyFill="1" applyBorder="1" applyAlignment="1" applyProtection="1">
      <alignment horizontal="right" vertical="center" indent="2"/>
      <protection hidden="1"/>
    </xf>
    <xf numFmtId="199" fontId="34" fillId="0" borderId="17" xfId="2" applyNumberFormat="1" applyFont="1" applyFill="1" applyBorder="1" applyAlignment="1" applyProtection="1">
      <alignment horizontal="right" indent="2"/>
      <protection hidden="1"/>
    </xf>
    <xf numFmtId="199" fontId="34" fillId="0" borderId="34" xfId="2" applyNumberFormat="1" applyFont="1" applyFill="1" applyBorder="1" applyAlignment="1" applyProtection="1">
      <alignment horizontal="right" indent="2"/>
      <protection hidden="1"/>
    </xf>
    <xf numFmtId="199" fontId="34" fillId="0" borderId="54" xfId="2" applyNumberFormat="1" applyFont="1" applyFill="1" applyBorder="1" applyAlignment="1" applyProtection="1">
      <alignment horizontal="right" indent="2"/>
      <protection hidden="1"/>
    </xf>
    <xf numFmtId="199" fontId="34" fillId="0" borderId="53" xfId="2" applyNumberFormat="1" applyFont="1" applyFill="1" applyBorder="1" applyAlignment="1" applyProtection="1">
      <alignment horizontal="right" indent="2"/>
      <protection hidden="1"/>
    </xf>
    <xf numFmtId="199" fontId="34" fillId="0" borderId="38" xfId="2" applyNumberFormat="1" applyFont="1" applyFill="1" applyBorder="1" applyAlignment="1" applyProtection="1">
      <alignment horizontal="right" vertical="center" indent="2"/>
      <protection hidden="1"/>
    </xf>
    <xf numFmtId="199" fontId="34" fillId="0" borderId="43" xfId="2" applyNumberFormat="1" applyFont="1" applyBorder="1" applyAlignment="1" applyProtection="1">
      <alignment horizontal="right" vertical="center" indent="2"/>
      <protection hidden="1"/>
    </xf>
    <xf numFmtId="199" fontId="34" fillId="0" borderId="43" xfId="2" applyNumberFormat="1" applyFont="1" applyFill="1" applyBorder="1" applyAlignment="1" applyProtection="1">
      <alignment horizontal="right" vertical="center" indent="2"/>
      <protection hidden="1"/>
    </xf>
    <xf numFmtId="199" fontId="34" fillId="0" borderId="88" xfId="2" applyNumberFormat="1" applyFont="1" applyBorder="1" applyAlignment="1" applyProtection="1">
      <alignment horizontal="right" vertical="center" indent="2"/>
      <protection hidden="1"/>
    </xf>
    <xf numFmtId="199" fontId="22" fillId="0" borderId="122" xfId="2" applyNumberFormat="1" applyFont="1" applyFill="1" applyBorder="1" applyAlignment="1" applyProtection="1">
      <alignment horizontal="right" vertical="center" indent="2"/>
    </xf>
    <xf numFmtId="199" fontId="22" fillId="0" borderId="127" xfId="2" applyNumberFormat="1" applyFont="1" applyFill="1" applyBorder="1" applyAlignment="1" applyProtection="1">
      <alignment horizontal="right" vertical="center" indent="2"/>
    </xf>
    <xf numFmtId="199" fontId="70" fillId="0" borderId="54" xfId="2" applyNumberFormat="1" applyFont="1" applyFill="1" applyBorder="1" applyAlignment="1" applyProtection="1">
      <alignment horizontal="center" vertical="top" wrapText="1"/>
    </xf>
    <xf numFmtId="199" fontId="70" fillId="0" borderId="53" xfId="2" applyNumberFormat="1" applyFont="1" applyFill="1" applyBorder="1" applyAlignment="1" applyProtection="1">
      <alignment horizontal="center" vertical="top" wrapText="1"/>
    </xf>
    <xf numFmtId="199" fontId="22" fillId="0" borderId="17" xfId="2" applyNumberFormat="1" applyFont="1" applyFill="1" applyBorder="1" applyAlignment="1" applyProtection="1">
      <alignment horizontal="right" vertical="center" indent="2"/>
    </xf>
    <xf numFmtId="199" fontId="22" fillId="0" borderId="34" xfId="2" applyNumberFormat="1" applyFont="1" applyFill="1" applyBorder="1" applyAlignment="1" applyProtection="1">
      <alignment horizontal="right" vertical="center" indent="2"/>
    </xf>
    <xf numFmtId="199" fontId="70" fillId="0" borderId="15" xfId="2" applyNumberFormat="1" applyFont="1" applyFill="1" applyBorder="1" applyAlignment="1" applyProtection="1">
      <alignment horizontal="center" vertical="top" wrapText="1"/>
    </xf>
    <xf numFmtId="199" fontId="70" fillId="0" borderId="35" xfId="2" applyNumberFormat="1" applyFont="1" applyFill="1" applyBorder="1" applyAlignment="1" applyProtection="1">
      <alignment horizontal="center" vertical="top" wrapText="1"/>
    </xf>
    <xf numFmtId="0" fontId="22" fillId="0" borderId="75" xfId="1" applyFont="1" applyBorder="1" applyAlignment="1" applyProtection="1">
      <alignment vertical="center"/>
      <protection hidden="1"/>
    </xf>
    <xf numFmtId="0" fontId="98" fillId="0" borderId="196" xfId="1" applyFont="1" applyFill="1" applyBorder="1" applyAlignment="1" applyProtection="1">
      <alignment vertical="center"/>
    </xf>
    <xf numFmtId="0" fontId="98" fillId="0" borderId="197" xfId="1" applyFont="1" applyFill="1" applyBorder="1" applyAlignment="1" applyProtection="1">
      <alignment vertical="center"/>
    </xf>
    <xf numFmtId="0" fontId="9" fillId="0" borderId="31" xfId="1" applyFont="1" applyBorder="1" applyAlignment="1" applyProtection="1">
      <alignment vertical="center"/>
      <protection hidden="1"/>
    </xf>
    <xf numFmtId="0" fontId="34" fillId="0" borderId="3" xfId="1" applyFont="1" applyBorder="1" applyAlignment="1" applyProtection="1">
      <alignment horizontal="center" vertical="center"/>
      <protection hidden="1"/>
    </xf>
    <xf numFmtId="0" fontId="34" fillId="0" borderId="75" xfId="1" applyFont="1" applyBorder="1" applyAlignment="1" applyProtection="1">
      <alignment vertical="center"/>
      <protection hidden="1"/>
    </xf>
    <xf numFmtId="0" fontId="9" fillId="0" borderId="4" xfId="1" applyFont="1" applyFill="1" applyBorder="1" applyAlignment="1" applyProtection="1">
      <alignment horizontal="right" vertical="center"/>
      <protection hidden="1"/>
    </xf>
    <xf numFmtId="190" fontId="34" fillId="0" borderId="0" xfId="1" applyNumberFormat="1" applyFont="1" applyBorder="1" applyAlignment="1" applyProtection="1">
      <alignment vertical="center"/>
      <protection hidden="1"/>
    </xf>
    <xf numFmtId="190" fontId="22" fillId="0" borderId="0" xfId="1" applyNumberFormat="1" applyFont="1" applyAlignment="1" applyProtection="1">
      <alignment vertical="center"/>
      <protection hidden="1"/>
    </xf>
    <xf numFmtId="0" fontId="98" fillId="0" borderId="196" xfId="1" applyFont="1" applyFill="1" applyBorder="1" applyAlignment="1" applyProtection="1">
      <alignment vertical="center"/>
      <protection hidden="1"/>
    </xf>
    <xf numFmtId="0" fontId="98" fillId="0" borderId="197" xfId="1" applyFont="1" applyFill="1" applyBorder="1" applyAlignment="1" applyProtection="1">
      <alignment vertical="center"/>
      <protection hidden="1"/>
    </xf>
    <xf numFmtId="0" fontId="0" fillId="0" borderId="108" xfId="0" applyBorder="1"/>
    <xf numFmtId="0" fontId="0" fillId="0" borderId="109" xfId="0" applyBorder="1"/>
    <xf numFmtId="0" fontId="0" fillId="0" borderId="106" xfId="0" applyBorder="1"/>
    <xf numFmtId="0" fontId="0" fillId="0" borderId="107" xfId="0" applyBorder="1"/>
    <xf numFmtId="0" fontId="63" fillId="0" borderId="106" xfId="4" applyFill="1" applyBorder="1" applyAlignment="1" applyProtection="1">
      <alignment horizontal="center" vertical="center"/>
    </xf>
    <xf numFmtId="0" fontId="63" fillId="0" borderId="107" xfId="4" applyFill="1" applyBorder="1" applyAlignment="1" applyProtection="1">
      <alignment horizontal="center" vertical="center"/>
    </xf>
    <xf numFmtId="0" fontId="0" fillId="0" borderId="0" xfId="0"/>
    <xf numFmtId="0" fontId="63" fillId="0" borderId="0" xfId="4" applyAlignment="1" applyProtection="1"/>
    <xf numFmtId="0" fontId="116" fillId="0" borderId="0" xfId="4" applyFont="1" applyFill="1" applyAlignment="1" applyProtection="1">
      <alignment horizontal="left" vertical="center"/>
      <protection locked="0" hidden="1"/>
    </xf>
    <xf numFmtId="0" fontId="0" fillId="0" borderId="0" xfId="0" applyProtection="1">
      <protection locked="0"/>
    </xf>
    <xf numFmtId="3" fontId="17" fillId="0" borderId="64" xfId="9" applyNumberFormat="1" applyFont="1" applyFill="1" applyBorder="1" applyAlignment="1" applyProtection="1">
      <alignment vertical="center"/>
    </xf>
    <xf numFmtId="0" fontId="14" fillId="4" borderId="92" xfId="1" applyFont="1" applyFill="1" applyBorder="1" applyAlignment="1" applyProtection="1">
      <alignment horizontal="left" vertical="center" indent="2"/>
    </xf>
    <xf numFmtId="0" fontId="17" fillId="22" borderId="63" xfId="1" applyFont="1" applyFill="1" applyBorder="1" applyAlignment="1" applyProtection="1">
      <alignment vertical="center"/>
      <protection hidden="1"/>
    </xf>
    <xf numFmtId="0" fontId="17" fillId="22" borderId="64" xfId="1" applyFont="1" applyFill="1" applyBorder="1" applyAlignment="1" applyProtection="1">
      <alignment vertical="center"/>
      <protection hidden="1"/>
    </xf>
    <xf numFmtId="0" fontId="74" fillId="0" borderId="0" xfId="1" applyFont="1" applyFill="1" applyBorder="1" applyAlignment="1" applyProtection="1">
      <alignment vertical="top"/>
      <protection hidden="1"/>
    </xf>
    <xf numFmtId="0" fontId="74" fillId="0" borderId="6" xfId="1" applyFont="1" applyFill="1" applyBorder="1" applyAlignment="1" applyProtection="1">
      <alignment vertical="top"/>
      <protection hidden="1"/>
    </xf>
    <xf numFmtId="0" fontId="14" fillId="24" borderId="152" xfId="1" applyFont="1" applyFill="1" applyBorder="1" applyAlignment="1">
      <alignment horizontal="center" vertical="center"/>
    </xf>
    <xf numFmtId="0" fontId="14" fillId="24" borderId="123" xfId="1" applyFont="1" applyFill="1" applyBorder="1" applyAlignment="1">
      <alignment horizontal="center" vertical="center"/>
    </xf>
    <xf numFmtId="0" fontId="14" fillId="24" borderId="144" xfId="1" applyFont="1" applyFill="1" applyBorder="1" applyAlignment="1">
      <alignment horizontal="center" vertical="center"/>
    </xf>
    <xf numFmtId="0" fontId="14" fillId="5" borderId="114" xfId="1" applyFont="1" applyFill="1" applyBorder="1" applyAlignment="1" applyProtection="1">
      <alignment horizontal="left" vertical="center" indent="1"/>
    </xf>
    <xf numFmtId="0" fontId="14" fillId="5" borderId="159" xfId="1" applyFont="1" applyFill="1" applyBorder="1" applyAlignment="1" applyProtection="1">
      <alignment horizontal="left" vertical="center" indent="1"/>
    </xf>
    <xf numFmtId="0" fontId="17" fillId="22" borderId="63" xfId="1" applyFont="1" applyFill="1" applyBorder="1" applyAlignment="1" applyProtection="1">
      <alignment horizontal="left" vertical="center"/>
      <protection hidden="1"/>
    </xf>
    <xf numFmtId="0" fontId="17" fillId="22" borderId="64" xfId="1" applyFont="1" applyFill="1" applyBorder="1" applyAlignment="1" applyProtection="1">
      <alignment horizontal="left" vertical="center"/>
      <protection hidden="1"/>
    </xf>
    <xf numFmtId="0" fontId="14" fillId="0" borderId="9" xfId="1" applyFont="1" applyFill="1" applyBorder="1" applyAlignment="1" applyProtection="1">
      <alignment vertical="center"/>
      <protection hidden="1"/>
    </xf>
    <xf numFmtId="0" fontId="14" fillId="0" borderId="8" xfId="1" applyFont="1" applyFill="1" applyBorder="1" applyAlignment="1" applyProtection="1">
      <alignment vertical="center"/>
      <protection hidden="1"/>
    </xf>
    <xf numFmtId="0" fontId="14" fillId="0" borderId="45" xfId="1" applyFont="1" applyFill="1" applyBorder="1" applyAlignment="1" applyProtection="1">
      <alignment vertical="center"/>
      <protection hidden="1"/>
    </xf>
    <xf numFmtId="0" fontId="14" fillId="4" borderId="92" xfId="1" applyFont="1" applyFill="1" applyBorder="1" applyAlignment="1" applyProtection="1">
      <alignment horizontal="left" vertical="center"/>
    </xf>
    <xf numFmtId="0" fontId="14" fillId="4" borderId="117" xfId="1" applyFont="1" applyFill="1" applyBorder="1" applyAlignment="1" applyProtection="1">
      <alignment horizontal="left" vertical="top" wrapText="1" indent="1"/>
    </xf>
    <xf numFmtId="0" fontId="14" fillId="4" borderId="0" xfId="1" applyFont="1" applyFill="1" applyBorder="1" applyAlignment="1" applyProtection="1">
      <alignment horizontal="left" vertical="top" indent="1"/>
    </xf>
    <xf numFmtId="0" fontId="76" fillId="0" borderId="0" xfId="1" applyFont="1" applyFill="1" applyAlignment="1" applyProtection="1">
      <alignment vertical="center"/>
    </xf>
    <xf numFmtId="0" fontId="14" fillId="0" borderId="0" xfId="1" applyFont="1" applyFill="1" applyAlignment="1" applyProtection="1">
      <alignment vertical="center"/>
    </xf>
    <xf numFmtId="0" fontId="75" fillId="0" borderId="0" xfId="1" applyFont="1" applyFill="1" applyAlignment="1" applyProtection="1">
      <alignment vertical="center"/>
    </xf>
    <xf numFmtId="0" fontId="88" fillId="0" borderId="0" xfId="1" applyFont="1" applyFill="1" applyAlignment="1" applyProtection="1">
      <alignment vertical="center"/>
    </xf>
    <xf numFmtId="0" fontId="76" fillId="0" borderId="0" xfId="1" applyFont="1" applyFill="1" applyAlignment="1" applyProtection="1">
      <alignment horizontal="left" vertical="center" indent="1"/>
    </xf>
    <xf numFmtId="0" fontId="75" fillId="0" borderId="0" xfId="1" applyFont="1" applyFill="1" applyAlignment="1" applyProtection="1">
      <alignment horizontal="left" vertical="center" indent="1"/>
    </xf>
    <xf numFmtId="0" fontId="88" fillId="0" borderId="0" xfId="1" applyFont="1" applyFill="1" applyAlignment="1" applyProtection="1">
      <alignment horizontal="left" vertical="center" indent="1"/>
    </xf>
    <xf numFmtId="0" fontId="14" fillId="0" borderId="0" xfId="1" applyFont="1" applyFill="1" applyAlignment="1" applyProtection="1">
      <alignment horizontal="left" vertical="center" indent="1"/>
    </xf>
    <xf numFmtId="0" fontId="63" fillId="5" borderId="155" xfId="4" applyFill="1" applyBorder="1" applyAlignment="1" applyProtection="1">
      <alignment horizontal="left" vertical="center" wrapText="1" indent="1"/>
    </xf>
    <xf numFmtId="0" fontId="63" fillId="5" borderId="156" xfId="4" applyFill="1" applyBorder="1" applyAlignment="1" applyProtection="1">
      <alignment horizontal="left" vertical="center" wrapText="1" indent="1"/>
    </xf>
    <xf numFmtId="0" fontId="63" fillId="5" borderId="0" xfId="4" applyFill="1" applyBorder="1" applyAlignment="1" applyProtection="1">
      <alignment horizontal="left" vertical="center" wrapText="1" indent="1"/>
    </xf>
    <xf numFmtId="0" fontId="63" fillId="5" borderId="119" xfId="4" applyFill="1" applyBorder="1" applyAlignment="1" applyProtection="1">
      <alignment horizontal="left" vertical="center" wrapText="1" indent="1"/>
    </xf>
    <xf numFmtId="0" fontId="63" fillId="5" borderId="157" xfId="4" applyFill="1" applyBorder="1" applyAlignment="1" applyProtection="1">
      <alignment horizontal="left" vertical="center" wrapText="1" indent="1"/>
    </xf>
    <xf numFmtId="0" fontId="63" fillId="5" borderId="158" xfId="4" applyFill="1" applyBorder="1" applyAlignment="1" applyProtection="1">
      <alignment horizontal="left" vertical="center" wrapText="1" indent="1"/>
    </xf>
    <xf numFmtId="0" fontId="14" fillId="4" borderId="120" xfId="1" applyFont="1" applyFill="1" applyBorder="1" applyAlignment="1" applyProtection="1">
      <alignment horizontal="left" vertical="center" indent="2"/>
    </xf>
    <xf numFmtId="0" fontId="14" fillId="4" borderId="120" xfId="1" applyFont="1" applyFill="1" applyBorder="1" applyAlignment="1" applyProtection="1">
      <alignment horizontal="left" vertical="center"/>
    </xf>
    <xf numFmtId="0" fontId="94" fillId="4" borderId="92" xfId="1" applyFont="1" applyFill="1" applyBorder="1" applyAlignment="1" applyProtection="1">
      <alignment horizontal="left" vertical="top"/>
    </xf>
    <xf numFmtId="0" fontId="94" fillId="4" borderId="92" xfId="1" applyFont="1" applyFill="1" applyBorder="1" applyAlignment="1" applyProtection="1">
      <alignment horizontal="left" vertical="top" indent="2"/>
    </xf>
    <xf numFmtId="0" fontId="94" fillId="4" borderId="92" xfId="1" applyFont="1" applyFill="1" applyBorder="1" applyAlignment="1" applyProtection="1">
      <alignment horizontal="left" vertical="center" indent="2"/>
    </xf>
    <xf numFmtId="0" fontId="94" fillId="0" borderId="0" xfId="1" applyFont="1" applyFill="1" applyAlignment="1" applyProtection="1">
      <alignment horizontal="left" vertical="center" indent="1"/>
    </xf>
    <xf numFmtId="0" fontId="94" fillId="0" borderId="0" xfId="1" applyFont="1" applyFill="1" applyAlignment="1" applyProtection="1">
      <alignment vertical="center"/>
    </xf>
    <xf numFmtId="180" fontId="94" fillId="4" borderId="92" xfId="1" applyNumberFormat="1" applyFont="1" applyFill="1" applyBorder="1" applyAlignment="1" applyProtection="1">
      <alignment horizontal="left" vertical="top"/>
    </xf>
    <xf numFmtId="0" fontId="63" fillId="4" borderId="120" xfId="4" applyFill="1" applyBorder="1" applyAlignment="1" applyProtection="1">
      <alignment horizontal="left" vertical="center" wrapText="1" indent="1"/>
    </xf>
    <xf numFmtId="0" fontId="17" fillId="22" borderId="63" xfId="0" applyFont="1" applyFill="1" applyBorder="1" applyAlignment="1">
      <alignment vertical="center"/>
    </xf>
    <xf numFmtId="0" fontId="17" fillId="22" borderId="64" xfId="0" applyFont="1" applyFill="1" applyBorder="1" applyAlignment="1">
      <alignment vertical="center"/>
    </xf>
    <xf numFmtId="0" fontId="17" fillId="22" borderId="133" xfId="0" applyFont="1" applyFill="1" applyBorder="1" applyAlignment="1">
      <alignment vertical="center"/>
    </xf>
    <xf numFmtId="0" fontId="14" fillId="0" borderId="6" xfId="0" applyFont="1" applyBorder="1" applyAlignment="1">
      <alignment vertical="top"/>
    </xf>
    <xf numFmtId="0" fontId="14" fillId="0" borderId="0" xfId="0" applyFont="1" applyBorder="1" applyAlignment="1">
      <alignment vertical="top"/>
    </xf>
    <xf numFmtId="0" fontId="14" fillId="0" borderId="57" xfId="0" applyFont="1" applyBorder="1" applyAlignment="1">
      <alignment vertical="top"/>
    </xf>
    <xf numFmtId="0" fontId="14" fillId="0" borderId="9" xfId="0" applyFont="1" applyBorder="1" applyAlignment="1">
      <alignment vertical="top"/>
    </xf>
    <xf numFmtId="0" fontId="14" fillId="0" borderId="8" xfId="0" applyFont="1" applyBorder="1" applyAlignment="1">
      <alignment vertical="top"/>
    </xf>
    <xf numFmtId="0" fontId="14" fillId="0" borderId="141" xfId="0" applyFont="1" applyBorder="1" applyAlignment="1">
      <alignment vertical="top"/>
    </xf>
    <xf numFmtId="206" fontId="14" fillId="4" borderId="0" xfId="1" applyNumberFormat="1" applyFont="1" applyFill="1" applyBorder="1" applyAlignment="1" applyProtection="1">
      <alignment horizontal="left" vertical="top"/>
    </xf>
    <xf numFmtId="0" fontId="14" fillId="4" borderId="117" xfId="1" applyFont="1" applyFill="1" applyBorder="1" applyAlignment="1" applyProtection="1">
      <alignment horizontal="left" vertical="center" indent="2"/>
    </xf>
    <xf numFmtId="0" fontId="14" fillId="4" borderId="117" xfId="1" applyFont="1" applyFill="1" applyBorder="1" applyAlignment="1" applyProtection="1">
      <alignment horizontal="left" vertical="center"/>
    </xf>
    <xf numFmtId="0" fontId="14" fillId="4" borderId="318" xfId="1" applyFont="1" applyFill="1" applyBorder="1" applyAlignment="1" applyProtection="1">
      <alignment horizontal="left" vertical="center" indent="2"/>
    </xf>
    <xf numFmtId="0" fontId="14" fillId="4" borderId="0" xfId="1" applyFont="1" applyFill="1" applyBorder="1" applyAlignment="1" applyProtection="1">
      <alignment horizontal="left" vertical="center" indent="2"/>
    </xf>
    <xf numFmtId="0" fontId="14" fillId="4" borderId="0" xfId="1" applyFont="1" applyFill="1" applyBorder="1" applyAlignment="1" applyProtection="1">
      <alignment horizontal="left" vertical="center"/>
    </xf>
    <xf numFmtId="208" fontId="14" fillId="4" borderId="0" xfId="1" applyNumberFormat="1" applyFont="1" applyFill="1" applyBorder="1" applyAlignment="1" applyProtection="1">
      <alignment horizontal="right" vertical="center"/>
    </xf>
    <xf numFmtId="0" fontId="14" fillId="4" borderId="318" xfId="1" applyFont="1" applyFill="1" applyBorder="1" applyAlignment="1" applyProtection="1">
      <alignment horizontal="left" vertical="center"/>
    </xf>
    <xf numFmtId="0" fontId="63" fillId="4" borderId="0" xfId="4" applyFill="1" applyBorder="1" applyAlignment="1" applyProtection="1">
      <alignment horizontal="left" vertical="center" wrapText="1"/>
    </xf>
    <xf numFmtId="0" fontId="63" fillId="4" borderId="119" xfId="4" applyFill="1" applyBorder="1" applyAlignment="1" applyProtection="1">
      <alignment horizontal="left" vertical="center" wrapText="1"/>
    </xf>
    <xf numFmtId="0" fontId="14" fillId="4" borderId="120" xfId="1" applyFont="1" applyFill="1" applyBorder="1" applyAlignment="1" applyProtection="1">
      <alignment horizontal="left" vertical="center" wrapText="1"/>
    </xf>
    <xf numFmtId="0" fontId="63" fillId="4" borderId="120" xfId="4" applyFill="1" applyBorder="1" applyAlignment="1" applyProtection="1">
      <alignment horizontal="left" vertical="center" wrapText="1"/>
    </xf>
    <xf numFmtId="0" fontId="14" fillId="4" borderId="317" xfId="1" applyFont="1" applyFill="1" applyBorder="1" applyAlignment="1" applyProtection="1">
      <alignment horizontal="left" vertical="center" indent="2"/>
    </xf>
    <xf numFmtId="0" fontId="14" fillId="4" borderId="117" xfId="1" applyFont="1" applyFill="1" applyBorder="1" applyAlignment="1" applyProtection="1">
      <alignment horizontal="center" vertical="center"/>
    </xf>
    <xf numFmtId="0" fontId="76" fillId="0" borderId="0" xfId="1" applyFont="1" applyFill="1" applyAlignment="1" applyProtection="1">
      <alignment horizontal="center" vertical="center"/>
    </xf>
    <xf numFmtId="0" fontId="75" fillId="0" borderId="0" xfId="1" applyFont="1" applyFill="1" applyAlignment="1" applyProtection="1">
      <alignment horizontal="center" vertical="center"/>
    </xf>
    <xf numFmtId="0" fontId="88" fillId="0" borderId="0" xfId="1" applyFont="1" applyFill="1" applyAlignment="1" applyProtection="1">
      <alignment horizontal="center" vertical="center"/>
    </xf>
    <xf numFmtId="0" fontId="14" fillId="0" borderId="0" xfId="1" applyFont="1" applyFill="1" applyAlignment="1" applyProtection="1">
      <alignment horizontal="center" vertical="center"/>
    </xf>
    <xf numFmtId="0" fontId="14" fillId="4" borderId="318" xfId="1" applyFont="1" applyFill="1" applyBorder="1" applyAlignment="1" applyProtection="1">
      <alignment horizontal="center" vertical="top"/>
    </xf>
    <xf numFmtId="0" fontId="14" fillId="4" borderId="0" xfId="1" applyFont="1" applyFill="1" applyBorder="1" applyAlignment="1" applyProtection="1">
      <alignment horizontal="center" vertical="center"/>
    </xf>
    <xf numFmtId="0" fontId="14" fillId="0" borderId="0" xfId="0" applyFont="1" applyFill="1" applyBorder="1" applyAlignment="1">
      <alignment horizontal="center" vertical="center"/>
    </xf>
    <xf numFmtId="0" fontId="14" fillId="0" borderId="135" xfId="0" applyFont="1" applyBorder="1" applyAlignment="1">
      <alignment vertical="center"/>
    </xf>
    <xf numFmtId="0" fontId="14" fillId="0" borderId="16" xfId="0" applyFont="1" applyBorder="1" applyAlignment="1">
      <alignment vertical="center"/>
    </xf>
    <xf numFmtId="0" fontId="14" fillId="0" borderId="142" xfId="0" applyFont="1" applyBorder="1" applyAlignment="1">
      <alignment vertical="center"/>
    </xf>
    <xf numFmtId="3" fontId="14" fillId="0" borderId="0" xfId="0" applyNumberFormat="1" applyFont="1" applyFill="1" applyBorder="1" applyAlignment="1">
      <alignment horizontal="right" vertical="center"/>
    </xf>
    <xf numFmtId="0" fontId="14" fillId="0" borderId="48" xfId="0" applyFont="1" applyBorder="1" applyAlignment="1">
      <alignment vertical="center"/>
    </xf>
    <xf numFmtId="0" fontId="14" fillId="0" borderId="65" xfId="0" applyFont="1" applyBorder="1" applyAlignment="1">
      <alignment vertical="center"/>
    </xf>
    <xf numFmtId="0" fontId="14" fillId="0" borderId="143" xfId="0" applyFont="1" applyBorder="1" applyAlignment="1">
      <alignment vertical="center"/>
    </xf>
    <xf numFmtId="0" fontId="14" fillId="0" borderId="137" xfId="0" applyFont="1" applyBorder="1" applyAlignment="1">
      <alignment vertical="center"/>
    </xf>
    <xf numFmtId="0" fontId="14" fillId="0" borderId="123" xfId="0" applyFont="1" applyBorder="1" applyAlignment="1">
      <alignment vertical="center"/>
    </xf>
    <xf numFmtId="0" fontId="14" fillId="0" borderId="144" xfId="0" applyFont="1" applyBorder="1" applyAlignment="1">
      <alignment vertical="center"/>
    </xf>
    <xf numFmtId="0" fontId="14" fillId="0" borderId="12" xfId="1" applyFont="1" applyBorder="1" applyAlignment="1">
      <alignment horizontal="left" vertical="center"/>
    </xf>
    <xf numFmtId="0" fontId="14" fillId="0" borderId="138" xfId="1" applyFont="1" applyBorder="1" applyAlignment="1">
      <alignment horizontal="left" vertical="center"/>
    </xf>
    <xf numFmtId="0" fontId="14" fillId="0" borderId="9" xfId="1" applyFont="1" applyBorder="1" applyAlignment="1">
      <alignment horizontal="left" vertical="center"/>
    </xf>
    <xf numFmtId="0" fontId="14" fillId="0" borderId="8" xfId="1" applyFont="1" applyBorder="1" applyAlignment="1">
      <alignment horizontal="left" vertical="center"/>
    </xf>
    <xf numFmtId="0" fontId="14" fillId="0" borderId="141" xfId="1" applyFont="1" applyBorder="1" applyAlignment="1">
      <alignment horizontal="left" vertical="center"/>
    </xf>
    <xf numFmtId="0" fontId="14" fillId="0" borderId="61" xfId="1" applyFont="1" applyBorder="1" applyAlignment="1">
      <alignment horizontal="left"/>
    </xf>
    <xf numFmtId="0" fontId="17" fillId="4" borderId="319" xfId="0" applyFont="1" applyFill="1" applyBorder="1" applyAlignment="1">
      <alignment vertical="center"/>
    </xf>
    <xf numFmtId="0" fontId="14" fillId="4" borderId="155" xfId="1" applyFont="1" applyFill="1" applyBorder="1" applyAlignment="1" applyProtection="1">
      <alignment vertical="top"/>
      <protection hidden="1"/>
    </xf>
    <xf numFmtId="0" fontId="17" fillId="4" borderId="320" xfId="0" applyFont="1" applyFill="1" applyBorder="1" applyAlignment="1">
      <alignment vertical="center"/>
    </xf>
    <xf numFmtId="0" fontId="14" fillId="4" borderId="157" xfId="1" applyFont="1" applyFill="1" applyBorder="1" applyAlignment="1" applyProtection="1">
      <alignment vertical="top"/>
      <protection hidden="1"/>
    </xf>
    <xf numFmtId="0" fontId="14" fillId="4" borderId="155" xfId="1" applyFont="1" applyFill="1" applyBorder="1" applyAlignment="1" applyProtection="1">
      <alignment vertical="center"/>
      <protection hidden="1"/>
    </xf>
    <xf numFmtId="0" fontId="14" fillId="4" borderId="156" xfId="1" applyFont="1" applyFill="1" applyBorder="1" applyAlignment="1" applyProtection="1">
      <alignment vertical="center"/>
      <protection hidden="1"/>
    </xf>
    <xf numFmtId="0" fontId="75" fillId="4" borderId="318" xfId="1" applyFont="1" applyFill="1" applyBorder="1" applyAlignment="1" applyProtection="1">
      <alignment vertical="center"/>
      <protection hidden="1"/>
    </xf>
    <xf numFmtId="0" fontId="75" fillId="4" borderId="0" xfId="1" applyFont="1" applyFill="1" applyBorder="1" applyAlignment="1" applyProtection="1">
      <alignment vertical="center"/>
      <protection hidden="1"/>
    </xf>
    <xf numFmtId="0" fontId="75" fillId="4" borderId="119" xfId="1" applyFont="1" applyFill="1" applyBorder="1" applyAlignment="1" applyProtection="1">
      <alignment vertical="center"/>
      <protection hidden="1"/>
    </xf>
    <xf numFmtId="0" fontId="63" fillId="4" borderId="0" xfId="4" applyFill="1" applyBorder="1" applyAlignment="1" applyProtection="1">
      <alignment vertical="center"/>
      <protection hidden="1"/>
    </xf>
    <xf numFmtId="0" fontId="63" fillId="4" borderId="119" xfId="4" applyFill="1" applyBorder="1" applyAlignment="1" applyProtection="1">
      <alignment vertical="center"/>
      <protection hidden="1"/>
    </xf>
    <xf numFmtId="0" fontId="14" fillId="0" borderId="48" xfId="0" applyFont="1" applyBorder="1" applyAlignment="1"/>
    <xf numFmtId="0" fontId="14" fillId="0" borderId="48" xfId="0" quotePrefix="1" applyFont="1" applyBorder="1" applyAlignment="1">
      <alignment horizontal="left"/>
    </xf>
    <xf numFmtId="0" fontId="14" fillId="4" borderId="320" xfId="1" applyFont="1" applyFill="1" applyBorder="1" applyAlignment="1" applyProtection="1">
      <alignment horizontal="center" vertical="top" wrapText="1"/>
      <protection hidden="1"/>
    </xf>
    <xf numFmtId="0" fontId="0" fillId="4" borderId="157" xfId="0" applyFill="1" applyBorder="1"/>
    <xf numFmtId="0" fontId="0" fillId="0" borderId="108" xfId="0" applyBorder="1"/>
    <xf numFmtId="0" fontId="0" fillId="0" borderId="109" xfId="0" applyBorder="1"/>
    <xf numFmtId="0" fontId="0" fillId="0" borderId="106" xfId="0" applyBorder="1"/>
    <xf numFmtId="0" fontId="0" fillId="0" borderId="107" xfId="0" applyBorder="1"/>
    <xf numFmtId="0" fontId="0" fillId="0" borderId="0" xfId="0"/>
    <xf numFmtId="0" fontId="74" fillId="0" borderId="6" xfId="1" applyFont="1" applyFill="1" applyBorder="1" applyAlignment="1" applyProtection="1">
      <alignment vertical="top"/>
      <protection hidden="1"/>
    </xf>
    <xf numFmtId="0" fontId="74" fillId="0" borderId="0" xfId="1" applyFont="1" applyFill="1" applyBorder="1" applyAlignment="1" applyProtection="1">
      <alignment vertical="top"/>
      <protection hidden="1"/>
    </xf>
    <xf numFmtId="180" fontId="94" fillId="4" borderId="157" xfId="1" applyNumberFormat="1" applyFont="1" applyFill="1" applyBorder="1" applyAlignment="1" applyProtection="1">
      <alignment horizontal="left" vertical="top"/>
    </xf>
    <xf numFmtId="0" fontId="94" fillId="4" borderId="157" xfId="1" applyFont="1" applyFill="1" applyBorder="1" applyAlignment="1" applyProtection="1">
      <alignment horizontal="left" vertical="top" indent="2"/>
    </xf>
    <xf numFmtId="0" fontId="94" fillId="4" borderId="157" xfId="1" applyFont="1" applyFill="1" applyBorder="1" applyAlignment="1" applyProtection="1">
      <alignment horizontal="left" vertical="center" indent="2"/>
    </xf>
    <xf numFmtId="180" fontId="14" fillId="0" borderId="16" xfId="1" applyNumberFormat="1" applyFont="1" applyFill="1" applyBorder="1" applyAlignment="1" applyProtection="1">
      <alignment vertical="center"/>
      <protection hidden="1"/>
    </xf>
    <xf numFmtId="180" fontId="94" fillId="0" borderId="142" xfId="1" applyNumberFormat="1" applyFont="1" applyFill="1" applyBorder="1" applyAlignment="1" applyProtection="1">
      <alignment vertical="center"/>
      <protection hidden="1"/>
    </xf>
    <xf numFmtId="180" fontId="14" fillId="0" borderId="8" xfId="1" applyNumberFormat="1" applyFont="1" applyFill="1" applyBorder="1" applyAlignment="1" applyProtection="1">
      <alignment vertical="center"/>
      <protection hidden="1"/>
    </xf>
    <xf numFmtId="180" fontId="94" fillId="0" borderId="141" xfId="1" applyNumberFormat="1" applyFont="1" applyFill="1" applyBorder="1" applyAlignment="1" applyProtection="1">
      <alignment vertical="center"/>
      <protection hidden="1"/>
    </xf>
    <xf numFmtId="0" fontId="14" fillId="0" borderId="58" xfId="1" applyFont="1" applyFill="1" applyBorder="1" applyAlignment="1" applyProtection="1">
      <alignment vertical="center"/>
      <protection hidden="1"/>
    </xf>
    <xf numFmtId="180" fontId="14" fillId="0" borderId="135" xfId="1" applyNumberFormat="1" applyFont="1" applyFill="1" applyBorder="1" applyAlignment="1" applyProtection="1">
      <alignment vertical="center"/>
      <protection hidden="1"/>
    </xf>
    <xf numFmtId="180" fontId="14" fillId="0" borderId="142" xfId="1" applyNumberFormat="1" applyFont="1" applyFill="1" applyBorder="1" applyAlignment="1" applyProtection="1">
      <alignment vertical="center"/>
      <protection hidden="1"/>
    </xf>
    <xf numFmtId="180" fontId="94" fillId="7" borderId="142" xfId="1" applyNumberFormat="1" applyFont="1" applyFill="1" applyBorder="1" applyAlignment="1" applyProtection="1">
      <alignment vertical="center"/>
      <protection locked="0"/>
    </xf>
    <xf numFmtId="180" fontId="14" fillId="21" borderId="150" xfId="1" applyNumberFormat="1" applyFont="1" applyFill="1" applyBorder="1" applyAlignment="1" applyProtection="1">
      <alignment horizontal="center" vertical="center"/>
      <protection hidden="1"/>
    </xf>
    <xf numFmtId="180" fontId="94" fillId="7" borderId="16" xfId="1" applyNumberFormat="1" applyFont="1" applyFill="1" applyBorder="1" applyAlignment="1" applyProtection="1">
      <alignment horizontal="center" vertical="center"/>
      <protection locked="0"/>
    </xf>
    <xf numFmtId="0" fontId="14" fillId="0" borderId="124" xfId="1" applyFont="1" applyFill="1" applyBorder="1" applyAlignment="1" applyProtection="1">
      <alignment vertical="center"/>
      <protection hidden="1"/>
    </xf>
    <xf numFmtId="180" fontId="14" fillId="0" borderId="48" xfId="1" applyNumberFormat="1" applyFont="1" applyFill="1" applyBorder="1" applyAlignment="1" applyProtection="1">
      <alignment vertical="center"/>
      <protection hidden="1"/>
    </xf>
    <xf numFmtId="180" fontId="14" fillId="0" borderId="143" xfId="1" applyNumberFormat="1" applyFont="1" applyFill="1" applyBorder="1" applyAlignment="1" applyProtection="1">
      <alignment vertical="center"/>
      <protection hidden="1"/>
    </xf>
    <xf numFmtId="180" fontId="14" fillId="21" borderId="65" xfId="1" applyNumberFormat="1" applyFont="1" applyFill="1" applyBorder="1" applyAlignment="1" applyProtection="1">
      <alignment vertical="center"/>
      <protection hidden="1"/>
    </xf>
    <xf numFmtId="180" fontId="94" fillId="7" borderId="143" xfId="1" applyNumberFormat="1" applyFont="1" applyFill="1" applyBorder="1" applyAlignment="1" applyProtection="1">
      <alignment vertical="center"/>
      <protection locked="0"/>
    </xf>
    <xf numFmtId="180" fontId="14" fillId="0" borderId="65" xfId="1" applyNumberFormat="1" applyFont="1" applyFill="1" applyBorder="1" applyAlignment="1" applyProtection="1">
      <alignment vertical="center"/>
      <protection hidden="1"/>
    </xf>
    <xf numFmtId="180" fontId="94" fillId="0" borderId="143" xfId="1" applyNumberFormat="1" applyFont="1" applyFill="1" applyBorder="1" applyAlignment="1" applyProtection="1">
      <alignment vertical="center"/>
      <protection hidden="1"/>
    </xf>
    <xf numFmtId="180" fontId="14" fillId="21" borderId="151" xfId="1" applyNumberFormat="1" applyFont="1" applyFill="1" applyBorder="1" applyAlignment="1" applyProtection="1">
      <alignment horizontal="center" vertical="center"/>
      <protection hidden="1"/>
    </xf>
    <xf numFmtId="180" fontId="94" fillId="7" borderId="65" xfId="1" applyNumberFormat="1" applyFont="1" applyFill="1" applyBorder="1" applyAlignment="1" applyProtection="1">
      <alignment horizontal="center" vertical="center"/>
      <protection locked="0"/>
    </xf>
    <xf numFmtId="180" fontId="14" fillId="0" borderId="0" xfId="1" applyNumberFormat="1" applyFont="1" applyFill="1" applyBorder="1" applyAlignment="1" applyProtection="1">
      <alignment vertical="center"/>
      <protection hidden="1"/>
    </xf>
    <xf numFmtId="180" fontId="14" fillId="0" borderId="57" xfId="1" applyNumberFormat="1" applyFont="1" applyFill="1" applyBorder="1" applyAlignment="1" applyProtection="1">
      <alignment vertical="center"/>
      <protection hidden="1"/>
    </xf>
    <xf numFmtId="180" fontId="14" fillId="23" borderId="65" xfId="1" applyNumberFormat="1" applyFont="1" applyFill="1" applyBorder="1" applyAlignment="1" applyProtection="1">
      <alignment vertical="center"/>
      <protection hidden="1"/>
    </xf>
    <xf numFmtId="180" fontId="94" fillId="0" borderId="65" xfId="1" applyNumberFormat="1" applyFont="1" applyFill="1" applyBorder="1" applyAlignment="1" applyProtection="1">
      <alignment vertical="center"/>
      <protection hidden="1"/>
    </xf>
    <xf numFmtId="180" fontId="94" fillId="0" borderId="123" xfId="1" applyNumberFormat="1" applyFont="1" applyFill="1" applyBorder="1" applyAlignment="1" applyProtection="1">
      <alignment vertical="center"/>
      <protection hidden="1"/>
    </xf>
    <xf numFmtId="180" fontId="94" fillId="0" borderId="144" xfId="1" applyNumberFormat="1" applyFont="1" applyFill="1" applyBorder="1" applyAlignment="1" applyProtection="1">
      <alignment vertical="center"/>
      <protection hidden="1"/>
    </xf>
    <xf numFmtId="180" fontId="94" fillId="7" borderId="73" xfId="1" applyNumberFormat="1" applyFont="1" applyFill="1" applyBorder="1" applyAlignment="1" applyProtection="1">
      <alignment horizontal="center" vertical="center"/>
      <protection locked="0"/>
    </xf>
    <xf numFmtId="0" fontId="14" fillId="0" borderId="75" xfId="1" applyFont="1" applyFill="1" applyBorder="1" applyAlignment="1" applyProtection="1">
      <alignment vertical="center"/>
      <protection hidden="1"/>
    </xf>
    <xf numFmtId="0" fontId="14" fillId="0" borderId="125" xfId="1" applyFont="1" applyFill="1" applyBorder="1" applyAlignment="1" applyProtection="1">
      <alignment vertical="center"/>
      <protection hidden="1"/>
    </xf>
    <xf numFmtId="180" fontId="94" fillId="7" borderId="138" xfId="1" applyNumberFormat="1" applyFont="1" applyFill="1" applyBorder="1" applyAlignment="1" applyProtection="1">
      <alignment vertical="center"/>
      <protection locked="0"/>
    </xf>
    <xf numFmtId="180" fontId="94" fillId="7" borderId="57" xfId="1" applyNumberFormat="1" applyFont="1" applyFill="1" applyBorder="1" applyAlignment="1" applyProtection="1">
      <alignment vertical="center"/>
      <protection locked="0"/>
    </xf>
    <xf numFmtId="180" fontId="14" fillId="21" borderId="73" xfId="1" applyNumberFormat="1" applyFont="1" applyFill="1" applyBorder="1" applyAlignment="1" applyProtection="1">
      <alignment vertical="center"/>
      <protection hidden="1"/>
    </xf>
    <xf numFmtId="180" fontId="94" fillId="7" borderId="140" xfId="1" applyNumberFormat="1" applyFont="1" applyFill="1" applyBorder="1" applyAlignment="1" applyProtection="1">
      <alignment vertical="center"/>
      <protection locked="0"/>
    </xf>
    <xf numFmtId="180" fontId="14" fillId="21" borderId="4" xfId="1" applyNumberFormat="1" applyFont="1" applyFill="1" applyBorder="1" applyAlignment="1" applyProtection="1">
      <alignment vertical="center"/>
      <protection hidden="1"/>
    </xf>
    <xf numFmtId="180" fontId="94" fillId="7" borderId="139" xfId="1" applyNumberFormat="1" applyFont="1" applyFill="1" applyBorder="1" applyAlignment="1" applyProtection="1">
      <alignment vertical="center"/>
      <protection locked="0"/>
    </xf>
    <xf numFmtId="0" fontId="14" fillId="0" borderId="73" xfId="1" applyFont="1" applyFill="1" applyBorder="1" applyAlignment="1" applyProtection="1">
      <alignment vertical="center"/>
      <protection hidden="1"/>
    </xf>
    <xf numFmtId="0" fontId="14" fillId="4" borderId="92" xfId="1" applyFont="1" applyFill="1" applyBorder="1" applyAlignment="1" applyProtection="1">
      <alignment horizontal="left" vertical="top" indent="2"/>
    </xf>
    <xf numFmtId="3" fontId="17" fillId="0" borderId="64" xfId="9" applyNumberFormat="1" applyFont="1" applyFill="1" applyBorder="1" applyAlignment="1" applyProtection="1">
      <alignment horizontal="left" vertical="center" indent="1"/>
    </xf>
    <xf numFmtId="3" fontId="17" fillId="0" borderId="0" xfId="9" applyNumberFormat="1" applyFont="1" applyFill="1" applyBorder="1" applyAlignment="1" applyProtection="1">
      <alignment horizontal="left" vertical="center" indent="1"/>
    </xf>
    <xf numFmtId="0" fontId="12" fillId="0" borderId="0" xfId="9" applyFont="1" applyFill="1" applyBorder="1" applyAlignment="1" applyProtection="1">
      <alignment horizontal="left" vertical="center"/>
    </xf>
    <xf numFmtId="0" fontId="14" fillId="4" borderId="117" xfId="1" applyFont="1" applyFill="1" applyBorder="1" applyAlignment="1" applyProtection="1">
      <alignment horizontal="left" vertical="center" wrapText="1"/>
    </xf>
    <xf numFmtId="0" fontId="120" fillId="4" borderId="117" xfId="1" applyFont="1" applyFill="1" applyBorder="1" applyAlignment="1" applyProtection="1">
      <alignment horizontal="left" vertical="center" wrapText="1" indent="1"/>
    </xf>
    <xf numFmtId="0" fontId="120" fillId="4" borderId="118" xfId="1" applyFont="1" applyFill="1" applyBorder="1" applyAlignment="1" applyProtection="1">
      <alignment horizontal="left" vertical="center" wrapText="1" indent="1"/>
    </xf>
    <xf numFmtId="0" fontId="14" fillId="4" borderId="117" xfId="1" applyFont="1" applyFill="1" applyBorder="1" applyAlignment="1" applyProtection="1">
      <alignment horizontal="left" vertical="center" wrapText="1" indent="1"/>
    </xf>
    <xf numFmtId="0" fontId="14" fillId="4" borderId="0" xfId="1" applyFont="1" applyFill="1" applyBorder="1" applyAlignment="1" applyProtection="1">
      <alignment horizontal="left" vertical="center" wrapText="1"/>
    </xf>
    <xf numFmtId="0" fontId="14" fillId="4" borderId="317" xfId="1" applyFont="1" applyFill="1" applyBorder="1" applyAlignment="1" applyProtection="1">
      <alignment horizontal="left" vertical="top" indent="2"/>
    </xf>
    <xf numFmtId="0" fontId="14" fillId="4" borderId="0" xfId="1" applyFont="1" applyFill="1" applyBorder="1" applyAlignment="1" applyProtection="1">
      <alignment horizontal="left" vertical="center" indent="1"/>
    </xf>
    <xf numFmtId="0" fontId="14" fillId="0" borderId="12" xfId="1" applyFont="1" applyFill="1" applyBorder="1" applyAlignment="1" applyProtection="1">
      <alignment vertical="center"/>
      <protection hidden="1"/>
    </xf>
    <xf numFmtId="0" fontId="14" fillId="0" borderId="62" xfId="1" applyFont="1" applyFill="1" applyBorder="1" applyAlignment="1" applyProtection="1">
      <alignment vertical="top"/>
      <protection hidden="1"/>
    </xf>
    <xf numFmtId="0" fontId="87" fillId="0" borderId="321" xfId="1" applyFont="1" applyFill="1" applyBorder="1" applyAlignment="1" applyProtection="1">
      <alignment vertical="center"/>
      <protection hidden="1"/>
    </xf>
    <xf numFmtId="0" fontId="88" fillId="0" borderId="322" xfId="1" applyFont="1" applyFill="1" applyBorder="1" applyAlignment="1" applyProtection="1">
      <alignment vertical="center"/>
      <protection hidden="1"/>
    </xf>
    <xf numFmtId="0" fontId="88" fillId="0" borderId="323" xfId="1" applyFont="1" applyFill="1" applyBorder="1" applyAlignment="1" applyProtection="1">
      <alignment vertical="center"/>
      <protection hidden="1"/>
    </xf>
    <xf numFmtId="0" fontId="88" fillId="0" borderId="324" xfId="1" applyFont="1" applyFill="1" applyBorder="1" applyAlignment="1" applyProtection="1">
      <alignment vertical="top"/>
      <protection hidden="1"/>
    </xf>
    <xf numFmtId="0" fontId="88" fillId="0" borderId="325" xfId="1" applyFont="1" applyFill="1" applyBorder="1" applyAlignment="1" applyProtection="1">
      <alignment vertical="top"/>
      <protection hidden="1"/>
    </xf>
    <xf numFmtId="0" fontId="88" fillId="0" borderId="253" xfId="1" applyFont="1" applyFill="1" applyBorder="1" applyAlignment="1" applyProtection="1">
      <alignment vertical="top"/>
      <protection hidden="1"/>
    </xf>
    <xf numFmtId="0" fontId="88" fillId="0" borderId="254" xfId="1" applyFont="1" applyFill="1" applyBorder="1" applyAlignment="1" applyProtection="1">
      <alignment vertical="top"/>
      <protection hidden="1"/>
    </xf>
    <xf numFmtId="0" fontId="88" fillId="0" borderId="250" xfId="1" applyFont="1" applyFill="1" applyBorder="1" applyAlignment="1" applyProtection="1">
      <alignment vertical="top"/>
      <protection hidden="1"/>
    </xf>
    <xf numFmtId="0" fontId="88" fillId="0" borderId="252" xfId="1" applyFont="1" applyFill="1" applyBorder="1" applyAlignment="1" applyProtection="1">
      <alignment vertical="top"/>
      <protection hidden="1"/>
    </xf>
    <xf numFmtId="181" fontId="22" fillId="0" borderId="123" xfId="1" applyNumberFormat="1" applyFont="1" applyBorder="1" applyAlignment="1" applyProtection="1">
      <alignment vertical="center"/>
      <protection hidden="1"/>
    </xf>
    <xf numFmtId="0" fontId="0" fillId="0" borderId="0" xfId="0" applyProtection="1"/>
    <xf numFmtId="0" fontId="74" fillId="4" borderId="319" xfId="1" applyFont="1" applyFill="1" applyBorder="1" applyAlignment="1" applyProtection="1">
      <alignment horizontal="left" vertical="center" indent="1"/>
    </xf>
    <xf numFmtId="0" fontId="74" fillId="4" borderId="155" xfId="1" applyFont="1" applyFill="1" applyBorder="1" applyAlignment="1" applyProtection="1">
      <alignment horizontal="left" vertical="center" indent="1"/>
    </xf>
    <xf numFmtId="0" fontId="14" fillId="4" borderId="155" xfId="1" applyFont="1" applyFill="1" applyBorder="1" applyAlignment="1" applyProtection="1">
      <alignment horizontal="left" vertical="center" indent="1"/>
    </xf>
    <xf numFmtId="0" fontId="14" fillId="4" borderId="155" xfId="1" applyFont="1" applyFill="1" applyBorder="1" applyAlignment="1" applyProtection="1">
      <alignment vertical="center"/>
    </xf>
    <xf numFmtId="0" fontId="14" fillId="4" borderId="156" xfId="1" applyFont="1" applyFill="1" applyBorder="1" applyAlignment="1" applyProtection="1">
      <alignment horizontal="left" vertical="center" indent="1"/>
    </xf>
    <xf numFmtId="0" fontId="14" fillId="4" borderId="120" xfId="1" applyFont="1" applyFill="1" applyBorder="1" applyAlignment="1" applyProtection="1">
      <alignment horizontal="center" vertical="center"/>
    </xf>
    <xf numFmtId="9" fontId="14" fillId="4" borderId="120" xfId="1" applyNumberFormat="1" applyFont="1" applyFill="1" applyBorder="1" applyAlignment="1" applyProtection="1">
      <alignment horizontal="right" vertical="center" wrapText="1"/>
    </xf>
    <xf numFmtId="0" fontId="14" fillId="4" borderId="120" xfId="1" applyFont="1" applyFill="1" applyBorder="1" applyAlignment="1" applyProtection="1">
      <alignment horizontal="left" vertical="center" wrapText="1" indent="1"/>
    </xf>
    <xf numFmtId="0" fontId="120" fillId="4" borderId="120" xfId="1" applyFont="1" applyFill="1" applyBorder="1" applyAlignment="1" applyProtection="1">
      <alignment horizontal="left" vertical="center" wrapText="1" indent="1"/>
    </xf>
    <xf numFmtId="0" fontId="120" fillId="4" borderId="121" xfId="1" applyFont="1" applyFill="1" applyBorder="1" applyAlignment="1" applyProtection="1">
      <alignment horizontal="left" vertical="center" wrapText="1" indent="1"/>
    </xf>
    <xf numFmtId="0" fontId="74" fillId="4" borderId="326" xfId="1" applyFont="1" applyFill="1" applyBorder="1" applyAlignment="1" applyProtection="1">
      <alignment horizontal="left" vertical="center" indent="1"/>
    </xf>
    <xf numFmtId="0" fontId="14" fillId="4" borderId="327" xfId="1" applyFont="1" applyFill="1" applyBorder="1" applyAlignment="1" applyProtection="1">
      <alignment vertical="center"/>
    </xf>
    <xf numFmtId="0" fontId="14" fillId="4" borderId="328" xfId="1" applyFont="1" applyFill="1" applyBorder="1" applyAlignment="1" applyProtection="1">
      <alignment horizontal="left" vertical="center" indent="1"/>
    </xf>
    <xf numFmtId="0" fontId="14" fillId="4" borderId="330" xfId="1" applyFont="1" applyFill="1" applyBorder="1" applyAlignment="1" applyProtection="1">
      <alignment horizontal="left" vertical="center" wrapText="1" indent="1"/>
    </xf>
    <xf numFmtId="0" fontId="63" fillId="4" borderId="330" xfId="4" applyFill="1" applyBorder="1" applyAlignment="1" applyProtection="1">
      <alignment horizontal="left" vertical="center" wrapText="1" indent="1"/>
    </xf>
    <xf numFmtId="0" fontId="63" fillId="4" borderId="331" xfId="4" applyFill="1" applyBorder="1" applyAlignment="1" applyProtection="1">
      <alignment horizontal="left" vertical="center" wrapText="1" indent="1"/>
    </xf>
    <xf numFmtId="0" fontId="14" fillId="4" borderId="332" xfId="1" applyFont="1" applyFill="1" applyBorder="1" applyAlignment="1" applyProtection="1">
      <alignment horizontal="left" vertical="center" indent="2"/>
    </xf>
    <xf numFmtId="0" fontId="14" fillId="4" borderId="329" xfId="1" applyFont="1" applyFill="1" applyBorder="1" applyAlignment="1" applyProtection="1">
      <alignment horizontal="left" vertical="top" wrapText="1" indent="1"/>
    </xf>
    <xf numFmtId="0" fontId="14" fillId="4" borderId="332" xfId="1" applyFont="1" applyFill="1" applyBorder="1" applyAlignment="1" applyProtection="1">
      <alignment horizontal="left" vertical="center" indent="1"/>
    </xf>
    <xf numFmtId="0" fontId="14" fillId="4" borderId="333" xfId="1" applyFont="1" applyFill="1" applyBorder="1" applyAlignment="1" applyProtection="1">
      <alignment horizontal="left" vertical="center"/>
    </xf>
    <xf numFmtId="0" fontId="12" fillId="4" borderId="0" xfId="4" applyFont="1" applyFill="1" applyBorder="1" applyAlignment="1" applyProtection="1">
      <alignment horizontal="left" indent="2"/>
    </xf>
    <xf numFmtId="0" fontId="12" fillId="4" borderId="119" xfId="4" applyFont="1" applyFill="1" applyBorder="1" applyAlignment="1" applyProtection="1">
      <alignment horizontal="left" indent="2"/>
    </xf>
    <xf numFmtId="0" fontId="14" fillId="4" borderId="318" xfId="1" applyFont="1" applyFill="1" applyBorder="1" applyAlignment="1" applyProtection="1">
      <alignment horizontal="left" vertical="center" indent="1"/>
    </xf>
    <xf numFmtId="0" fontId="14" fillId="4" borderId="115" xfId="1" applyFont="1" applyFill="1" applyBorder="1" applyAlignment="1" applyProtection="1">
      <alignment horizontal="left" vertical="center" indent="1"/>
    </xf>
    <xf numFmtId="0" fontId="14" fillId="4" borderId="316" xfId="1" applyFont="1" applyFill="1" applyBorder="1" applyAlignment="1" applyProtection="1">
      <alignment horizontal="left" vertical="center" indent="1"/>
    </xf>
    <xf numFmtId="0" fontId="14" fillId="4" borderId="115" xfId="1" applyFont="1" applyFill="1" applyBorder="1" applyAlignment="1" applyProtection="1">
      <alignment horizontal="left" vertical="top" indent="1"/>
    </xf>
    <xf numFmtId="0" fontId="14" fillId="4" borderId="0" xfId="4" applyFont="1" applyFill="1" applyBorder="1" applyAlignment="1" applyProtection="1">
      <alignment horizontal="left" vertical="center" indent="2"/>
    </xf>
    <xf numFmtId="0" fontId="94" fillId="4" borderId="92" xfId="1" applyFont="1" applyFill="1" applyBorder="1" applyAlignment="1" applyProtection="1">
      <alignment horizontal="left" vertical="center"/>
    </xf>
    <xf numFmtId="0" fontId="17" fillId="4" borderId="319" xfId="1" applyFont="1" applyFill="1" applyBorder="1" applyAlignment="1" applyProtection="1">
      <alignment vertical="center"/>
      <protection hidden="1"/>
    </xf>
    <xf numFmtId="0" fontId="14" fillId="5" borderId="0" xfId="4" applyFont="1" applyFill="1" applyBorder="1" applyAlignment="1" applyProtection="1">
      <alignment horizontal="left" vertical="center" wrapText="1"/>
    </xf>
    <xf numFmtId="0" fontId="14" fillId="5" borderId="0" xfId="4" applyFont="1" applyFill="1" applyBorder="1" applyAlignment="1" applyProtection="1">
      <alignment horizontal="left" vertical="center"/>
    </xf>
    <xf numFmtId="0" fontId="14" fillId="4" borderId="0" xfId="4" applyFont="1" applyFill="1" applyBorder="1" applyAlignment="1" applyProtection="1">
      <alignment vertical="center" wrapText="1"/>
    </xf>
    <xf numFmtId="0" fontId="14" fillId="4" borderId="333" xfId="4" applyFont="1" applyFill="1" applyBorder="1" applyAlignment="1" applyProtection="1">
      <alignment vertical="center" wrapText="1"/>
    </xf>
    <xf numFmtId="0" fontId="14" fillId="4" borderId="0" xfId="4" applyFont="1" applyFill="1" applyBorder="1" applyAlignment="1" applyProtection="1">
      <alignment horizontal="left" vertical="center"/>
    </xf>
    <xf numFmtId="0" fontId="94" fillId="4" borderId="120" xfId="1" applyFont="1" applyFill="1" applyBorder="1" applyAlignment="1" applyProtection="1">
      <alignment horizontal="left" vertical="center"/>
    </xf>
    <xf numFmtId="0" fontId="94" fillId="4" borderId="120" xfId="1" applyFont="1" applyFill="1" applyBorder="1" applyAlignment="1" applyProtection="1">
      <alignment horizontal="left" vertical="top" indent="2"/>
    </xf>
    <xf numFmtId="0" fontId="94" fillId="4" borderId="120" xfId="1" applyFont="1" applyFill="1" applyBorder="1" applyAlignment="1" applyProtection="1">
      <alignment horizontal="left" vertical="center" indent="2"/>
    </xf>
    <xf numFmtId="0" fontId="14" fillId="4" borderId="157" xfId="1" applyFont="1" applyFill="1" applyBorder="1" applyAlignment="1" applyProtection="1">
      <alignment horizontal="left" vertical="center"/>
    </xf>
    <xf numFmtId="0" fontId="14" fillId="4" borderId="336" xfId="1" applyFont="1" applyFill="1" applyBorder="1" applyAlignment="1" applyProtection="1">
      <alignment horizontal="left" vertical="center" indent="2"/>
    </xf>
    <xf numFmtId="0" fontId="63" fillId="4" borderId="157" xfId="4" applyFill="1" applyBorder="1" applyAlignment="1" applyProtection="1">
      <alignment horizontal="left" vertical="center" wrapText="1"/>
    </xf>
    <xf numFmtId="0" fontId="0" fillId="0" borderId="0" xfId="0" applyProtection="1"/>
    <xf numFmtId="181" fontId="22" fillId="0" borderId="71" xfId="1" applyNumberFormat="1" applyFont="1" applyBorder="1" applyAlignment="1" applyProtection="1">
      <alignment vertical="center"/>
      <protection hidden="1"/>
    </xf>
    <xf numFmtId="181" fontId="22" fillId="0" borderId="73" xfId="1" applyNumberFormat="1" applyFont="1" applyBorder="1" applyAlignment="1" applyProtection="1">
      <alignment vertical="center"/>
      <protection hidden="1"/>
    </xf>
    <xf numFmtId="188" fontId="98" fillId="0" borderId="206" xfId="6" applyNumberFormat="1" applyFont="1" applyFill="1" applyBorder="1" applyAlignment="1" applyProtection="1">
      <alignment vertical="center"/>
    </xf>
    <xf numFmtId="0" fontId="14" fillId="0" borderId="179" xfId="1" applyFont="1" applyFill="1" applyBorder="1" applyAlignment="1" applyProtection="1">
      <alignment vertical="center"/>
      <protection hidden="1"/>
    </xf>
    <xf numFmtId="2" fontId="98" fillId="0" borderId="194" xfId="1" applyNumberFormat="1" applyFont="1" applyFill="1" applyBorder="1" applyAlignment="1" applyProtection="1">
      <alignment vertical="top"/>
      <protection hidden="1"/>
    </xf>
    <xf numFmtId="2" fontId="98" fillId="0" borderId="190" xfId="1" applyNumberFormat="1" applyFont="1" applyFill="1" applyBorder="1" applyAlignment="1" applyProtection="1">
      <alignment vertical="top"/>
      <protection hidden="1"/>
    </xf>
    <xf numFmtId="2" fontId="98" fillId="0" borderId="195" xfId="1" applyNumberFormat="1" applyFont="1" applyFill="1" applyBorder="1" applyAlignment="1" applyProtection="1">
      <alignment vertical="top"/>
      <protection hidden="1"/>
    </xf>
    <xf numFmtId="2" fontId="98" fillId="0" borderId="285" xfId="1" applyNumberFormat="1" applyFont="1" applyFill="1" applyBorder="1" applyAlignment="1" applyProtection="1">
      <alignment vertical="top"/>
      <protection hidden="1"/>
    </xf>
    <xf numFmtId="2" fontId="98" fillId="0" borderId="286" xfId="1" applyNumberFormat="1" applyFont="1" applyFill="1" applyBorder="1" applyAlignment="1" applyProtection="1">
      <alignment vertical="top"/>
      <protection hidden="1"/>
    </xf>
    <xf numFmtId="2" fontId="98" fillId="0" borderId="287" xfId="1" applyNumberFormat="1" applyFont="1" applyFill="1" applyBorder="1" applyAlignment="1" applyProtection="1">
      <alignment vertical="top"/>
      <protection hidden="1"/>
    </xf>
    <xf numFmtId="0" fontId="22" fillId="0" borderId="0" xfId="1" applyFont="1" applyBorder="1" applyAlignment="1" applyProtection="1">
      <alignment horizontal="right"/>
    </xf>
    <xf numFmtId="0" fontId="0" fillId="0" borderId="106" xfId="0" applyBorder="1"/>
    <xf numFmtId="0" fontId="0" fillId="0" borderId="107" xfId="0" applyBorder="1"/>
    <xf numFmtId="0" fontId="0" fillId="0" borderId="0" xfId="0"/>
    <xf numFmtId="0" fontId="0" fillId="0" borderId="0" xfId="0" applyProtection="1"/>
    <xf numFmtId="188" fontId="98" fillId="0" borderId="193" xfId="6" applyNumberFormat="1" applyFont="1" applyBorder="1" applyAlignment="1" applyProtection="1">
      <alignment vertical="center"/>
      <protection hidden="1"/>
    </xf>
    <xf numFmtId="0" fontId="22" fillId="0" borderId="0" xfId="1" applyFont="1" applyBorder="1" applyAlignment="1" applyProtection="1">
      <alignment horizontal="right"/>
      <protection hidden="1"/>
    </xf>
    <xf numFmtId="183" fontId="12" fillId="7" borderId="65" xfId="9" applyNumberFormat="1" applyFill="1" applyBorder="1" applyAlignment="1" applyProtection="1">
      <alignment horizontal="right" vertical="center" indent="1"/>
      <protection locked="0"/>
    </xf>
    <xf numFmtId="0" fontId="65" fillId="0" borderId="0" xfId="9" applyFont="1" applyAlignment="1" applyProtection="1">
      <alignment horizontal="right"/>
    </xf>
    <xf numFmtId="3" fontId="65" fillId="0" borderId="0" xfId="9" applyNumberFormat="1" applyFont="1" applyAlignment="1" applyProtection="1"/>
    <xf numFmtId="0" fontId="65" fillId="0" borderId="0" xfId="9" applyFont="1" applyFill="1" applyBorder="1" applyAlignment="1" applyProtection="1">
      <alignment horizontal="right" vertical="center"/>
    </xf>
    <xf numFmtId="0" fontId="65" fillId="0" borderId="0" xfId="9" applyFont="1" applyAlignment="1">
      <alignment horizontal="right"/>
    </xf>
    <xf numFmtId="3" fontId="65" fillId="0" borderId="0" xfId="9" applyNumberFormat="1" applyFont="1" applyAlignment="1"/>
    <xf numFmtId="49" fontId="11" fillId="4" borderId="0" xfId="1" applyNumberFormat="1" applyFont="1" applyFill="1" applyBorder="1" applyAlignment="1" applyProtection="1">
      <alignment horizontal="left"/>
      <protection hidden="1"/>
    </xf>
    <xf numFmtId="180" fontId="14" fillId="21" borderId="148" xfId="1" applyNumberFormat="1" applyFont="1" applyFill="1" applyBorder="1" applyAlignment="1" applyProtection="1">
      <alignment horizontal="center" vertical="center"/>
      <protection hidden="1"/>
    </xf>
    <xf numFmtId="0" fontId="0" fillId="0" borderId="0" xfId="0" applyProtection="1"/>
    <xf numFmtId="180" fontId="120" fillId="21" borderId="4" xfId="1" applyNumberFormat="1" applyFont="1" applyFill="1" applyBorder="1" applyAlignment="1" applyProtection="1">
      <alignment vertical="center"/>
      <protection hidden="1"/>
    </xf>
    <xf numFmtId="180" fontId="120" fillId="21" borderId="73" xfId="1" applyNumberFormat="1" applyFont="1" applyFill="1" applyBorder="1" applyAlignment="1" applyProtection="1">
      <alignment vertical="center"/>
      <protection hidden="1"/>
    </xf>
    <xf numFmtId="0" fontId="14" fillId="4" borderId="335" xfId="1" applyFont="1" applyFill="1" applyBorder="1" applyAlignment="1" applyProtection="1">
      <alignment horizontal="left" vertical="center" indent="2"/>
    </xf>
    <xf numFmtId="0" fontId="14" fillId="4" borderId="328" xfId="1" applyFont="1" applyFill="1" applyBorder="1" applyAlignment="1" applyProtection="1">
      <alignment horizontal="left" vertical="center" indent="1"/>
    </xf>
    <xf numFmtId="180" fontId="14" fillId="21" borderId="0" xfId="1" applyNumberFormat="1" applyFont="1" applyFill="1" applyBorder="1" applyAlignment="1" applyProtection="1">
      <alignment vertical="center"/>
      <protection hidden="1"/>
    </xf>
    <xf numFmtId="0" fontId="120" fillId="4" borderId="117" xfId="1" applyFont="1" applyFill="1" applyBorder="1" applyAlignment="1" applyProtection="1">
      <alignment horizontal="left" vertical="center" wrapText="1" indent="1"/>
    </xf>
    <xf numFmtId="180" fontId="14" fillId="21" borderId="48" xfId="1" applyNumberFormat="1" applyFont="1" applyFill="1" applyBorder="1" applyAlignment="1" applyProtection="1">
      <alignment vertical="center"/>
      <protection hidden="1"/>
    </xf>
    <xf numFmtId="180" fontId="105" fillId="23" borderId="18" xfId="8" applyNumberFormat="1" applyFont="1" applyFill="1" applyBorder="1" applyAlignment="1" applyProtection="1">
      <alignment horizontal="center" vertical="center"/>
    </xf>
    <xf numFmtId="3" fontId="9" fillId="23" borderId="17" xfId="1" applyNumberFormat="1" applyFont="1" applyFill="1" applyBorder="1" applyAlignment="1" applyProtection="1">
      <alignment horizontal="center" vertical="center"/>
    </xf>
    <xf numFmtId="0" fontId="0" fillId="0" borderId="108" xfId="0" applyBorder="1"/>
    <xf numFmtId="0" fontId="0" fillId="0" borderId="109" xfId="0" applyBorder="1"/>
    <xf numFmtId="0" fontId="0" fillId="0" borderId="106" xfId="0" applyBorder="1"/>
    <xf numFmtId="0" fontId="0" fillId="0" borderId="107" xfId="0" applyBorder="1"/>
    <xf numFmtId="0" fontId="0" fillId="0" borderId="0" xfId="0"/>
    <xf numFmtId="0" fontId="0" fillId="0" borderId="0" xfId="0" applyProtection="1"/>
    <xf numFmtId="9" fontId="14" fillId="4" borderId="117" xfId="1" applyNumberFormat="1" applyFont="1" applyFill="1" applyBorder="1" applyAlignment="1" applyProtection="1">
      <alignment horizontal="right" vertical="center" wrapText="1"/>
    </xf>
    <xf numFmtId="180" fontId="14" fillId="21" borderId="12" xfId="1" applyNumberFormat="1" applyFont="1" applyFill="1" applyBorder="1" applyAlignment="1" applyProtection="1">
      <alignment vertical="center"/>
      <protection hidden="1"/>
    </xf>
    <xf numFmtId="0" fontId="88" fillId="0" borderId="178" xfId="1" applyFont="1" applyFill="1" applyBorder="1" applyAlignment="1" applyProtection="1">
      <alignment vertical="center"/>
      <protection hidden="1"/>
    </xf>
    <xf numFmtId="0" fontId="88" fillId="0" borderId="178" xfId="1" applyFont="1" applyFill="1" applyBorder="1" applyAlignment="1" applyProtection="1">
      <alignment vertical="top"/>
      <protection hidden="1"/>
    </xf>
    <xf numFmtId="2" fontId="98" fillId="0" borderId="200" xfId="1" applyNumberFormat="1" applyFont="1" applyFill="1" applyBorder="1" applyAlignment="1" applyProtection="1">
      <alignment vertical="top"/>
      <protection hidden="1"/>
    </xf>
    <xf numFmtId="0" fontId="120" fillId="4" borderId="0" xfId="1" applyFont="1" applyFill="1" applyBorder="1" applyAlignment="1" applyProtection="1">
      <alignment horizontal="left" vertical="center"/>
    </xf>
    <xf numFmtId="0" fontId="120" fillId="4" borderId="0" xfId="1" applyFont="1" applyFill="1" applyBorder="1" applyAlignment="1" applyProtection="1">
      <alignment horizontal="left" vertical="center" wrapText="1"/>
    </xf>
    <xf numFmtId="0" fontId="14" fillId="4" borderId="330" xfId="1" applyFont="1" applyFill="1" applyBorder="1" applyAlignment="1" applyProtection="1">
      <alignment horizontal="left" vertical="center" indent="2"/>
    </xf>
    <xf numFmtId="185" fontId="14" fillId="21" borderId="16" xfId="1" applyNumberFormat="1" applyFont="1" applyFill="1" applyBorder="1" applyAlignment="1" applyProtection="1">
      <alignment vertical="center"/>
      <protection hidden="1"/>
    </xf>
    <xf numFmtId="180" fontId="14" fillId="21" borderId="16" xfId="1" applyNumberFormat="1" applyFont="1" applyFill="1" applyBorder="1" applyAlignment="1" applyProtection="1">
      <alignment vertical="center"/>
      <protection hidden="1"/>
    </xf>
    <xf numFmtId="190" fontId="14" fillId="4" borderId="0" xfId="1" applyNumberFormat="1" applyFont="1" applyFill="1" applyBorder="1" applyAlignment="1" applyProtection="1">
      <alignment horizontal="right" vertical="center"/>
    </xf>
    <xf numFmtId="0" fontId="9" fillId="10" borderId="31" xfId="1" applyNumberFormat="1" applyFont="1" applyFill="1" applyBorder="1" applyAlignment="1" applyProtection="1">
      <alignment vertical="center"/>
      <protection locked="0"/>
    </xf>
    <xf numFmtId="0" fontId="9" fillId="10" borderId="16" xfId="1" applyNumberFormat="1" applyFont="1" applyFill="1" applyBorder="1" applyAlignment="1" applyProtection="1">
      <alignment vertical="center"/>
      <protection locked="0"/>
    </xf>
    <xf numFmtId="0" fontId="9" fillId="7" borderId="16" xfId="7" applyNumberFormat="1" applyFont="1" applyFill="1" applyBorder="1" applyAlignment="1" applyProtection="1">
      <alignment horizontal="left"/>
      <protection locked="0"/>
    </xf>
    <xf numFmtId="0" fontId="9" fillId="10" borderId="4" xfId="1" applyNumberFormat="1" applyFont="1" applyFill="1" applyBorder="1" applyAlignment="1" applyProtection="1">
      <alignment vertical="center"/>
      <protection locked="0"/>
    </xf>
    <xf numFmtId="0" fontId="9" fillId="7" borderId="65" xfId="7" applyNumberFormat="1" applyFont="1" applyFill="1" applyBorder="1" applyAlignment="1" applyProtection="1">
      <alignment horizontal="left"/>
      <protection locked="0"/>
    </xf>
    <xf numFmtId="0" fontId="9" fillId="7" borderId="66" xfId="1" applyNumberFormat="1" applyFont="1" applyFill="1" applyBorder="1" applyAlignment="1" applyProtection="1">
      <alignment vertical="center"/>
      <protection locked="0"/>
    </xf>
    <xf numFmtId="0" fontId="9" fillId="7" borderId="65" xfId="1" applyNumberFormat="1" applyFont="1" applyFill="1" applyBorder="1" applyAlignment="1" applyProtection="1">
      <alignment vertical="center"/>
      <protection locked="0"/>
    </xf>
    <xf numFmtId="0" fontId="9" fillId="7" borderId="3" xfId="1" applyNumberFormat="1" applyFont="1" applyFill="1" applyBorder="1" applyAlignment="1" applyProtection="1">
      <alignment vertical="center"/>
      <protection locked="0"/>
    </xf>
    <xf numFmtId="0" fontId="9" fillId="7" borderId="73" xfId="7" applyNumberFormat="1" applyFont="1" applyFill="1" applyBorder="1" applyAlignment="1" applyProtection="1">
      <alignment horizontal="left"/>
      <protection locked="0"/>
    </xf>
    <xf numFmtId="0" fontId="9" fillId="7" borderId="16" xfId="7" applyNumberFormat="1" applyFont="1" applyFill="1" applyBorder="1" applyAlignment="1" applyProtection="1">
      <alignment vertical="center"/>
      <protection locked="0"/>
    </xf>
    <xf numFmtId="0" fontId="9" fillId="7" borderId="65" xfId="7" applyNumberFormat="1" applyFont="1" applyFill="1" applyBorder="1" applyAlignment="1" applyProtection="1">
      <alignment vertical="center"/>
      <protection locked="0"/>
    </xf>
    <xf numFmtId="0" fontId="9" fillId="7" borderId="73" xfId="7" applyNumberFormat="1" applyFont="1" applyFill="1" applyBorder="1" applyAlignment="1" applyProtection="1">
      <alignment vertical="center"/>
      <protection locked="0"/>
    </xf>
    <xf numFmtId="0" fontId="122" fillId="4" borderId="0" xfId="4" applyFont="1" applyFill="1" applyBorder="1" applyAlignment="1" applyProtection="1">
      <alignment horizontal="left" vertical="center" wrapText="1" indent="1"/>
      <protection locked="0" hidden="1"/>
    </xf>
    <xf numFmtId="0" fontId="122" fillId="4" borderId="119" xfId="4" applyFont="1" applyFill="1" applyBorder="1" applyAlignment="1" applyProtection="1">
      <alignment horizontal="left" vertical="center" wrapText="1" indent="1"/>
      <protection locked="0" hidden="1"/>
    </xf>
    <xf numFmtId="0" fontId="124" fillId="0" borderId="6" xfId="1" applyFont="1" applyFill="1" applyBorder="1" applyAlignment="1" applyProtection="1">
      <alignment vertical="top"/>
      <protection hidden="1"/>
    </xf>
    <xf numFmtId="0" fontId="124" fillId="0" borderId="0" xfId="1" applyFont="1" applyFill="1" applyBorder="1" applyAlignment="1" applyProtection="1">
      <alignment vertical="top"/>
      <protection hidden="1"/>
    </xf>
    <xf numFmtId="0" fontId="120" fillId="0" borderId="65" xfId="1" applyFont="1" applyFill="1" applyBorder="1" applyAlignment="1" applyProtection="1">
      <alignment vertical="center"/>
      <protection hidden="1"/>
    </xf>
    <xf numFmtId="0" fontId="120" fillId="0" borderId="124" xfId="1" applyFont="1" applyFill="1" applyBorder="1" applyAlignment="1" applyProtection="1">
      <alignment vertical="center"/>
      <protection hidden="1"/>
    </xf>
    <xf numFmtId="180" fontId="120" fillId="0" borderId="65" xfId="1" applyNumberFormat="1" applyFont="1" applyFill="1" applyBorder="1" applyAlignment="1" applyProtection="1">
      <alignment vertical="center"/>
      <protection hidden="1"/>
    </xf>
    <xf numFmtId="180" fontId="120" fillId="0" borderId="143" xfId="1" applyNumberFormat="1" applyFont="1" applyFill="1" applyBorder="1" applyAlignment="1" applyProtection="1">
      <alignment vertical="center"/>
      <protection hidden="1"/>
    </xf>
    <xf numFmtId="180" fontId="120" fillId="0" borderId="0" xfId="1" applyNumberFormat="1" applyFont="1" applyFill="1" applyBorder="1" applyAlignment="1" applyProtection="1">
      <alignment horizontal="center" vertical="center"/>
      <protection hidden="1"/>
    </xf>
    <xf numFmtId="0" fontId="120" fillId="0" borderId="0" xfId="1" applyFont="1" applyFill="1" applyAlignment="1" applyProtection="1">
      <alignment vertical="top"/>
      <protection hidden="1"/>
    </xf>
    <xf numFmtId="0" fontId="14" fillId="4" borderId="317" xfId="1" applyFont="1" applyFill="1" applyBorder="1" applyAlignment="1" applyProtection="1">
      <alignment horizontal="left" vertical="center" indent="1"/>
    </xf>
    <xf numFmtId="0" fontId="120" fillId="4" borderId="317" xfId="1" applyFont="1" applyFill="1" applyBorder="1" applyAlignment="1" applyProtection="1">
      <alignment horizontal="left" vertical="center"/>
    </xf>
    <xf numFmtId="0" fontId="14" fillId="4" borderId="120" xfId="1" applyFont="1" applyFill="1" applyBorder="1" applyAlignment="1" applyProtection="1">
      <alignment horizontal="left" vertical="center" indent="1"/>
    </xf>
    <xf numFmtId="190" fontId="14" fillId="4" borderId="120" xfId="1" applyNumberFormat="1" applyFont="1" applyFill="1" applyBorder="1" applyAlignment="1" applyProtection="1">
      <alignment horizontal="right" vertical="center"/>
    </xf>
    <xf numFmtId="208" fontId="14" fillId="4" borderId="120" xfId="1" applyNumberFormat="1" applyFont="1" applyFill="1" applyBorder="1" applyAlignment="1" applyProtection="1">
      <alignment horizontal="right" vertical="center"/>
    </xf>
    <xf numFmtId="0" fontId="14" fillId="4" borderId="331" xfId="1" applyFont="1" applyFill="1" applyBorder="1" applyAlignment="1" applyProtection="1">
      <alignment horizontal="left" vertical="center"/>
    </xf>
    <xf numFmtId="0" fontId="63" fillId="4" borderId="330" xfId="4" applyFill="1" applyBorder="1" applyAlignment="1" applyProtection="1">
      <alignment horizontal="left" vertical="center" wrapText="1"/>
    </xf>
    <xf numFmtId="0" fontId="63" fillId="4" borderId="121" xfId="4" applyFill="1" applyBorder="1" applyAlignment="1" applyProtection="1">
      <alignment horizontal="left" vertical="center" wrapText="1"/>
    </xf>
    <xf numFmtId="0" fontId="14" fillId="4" borderId="320" xfId="1" applyFont="1" applyFill="1" applyBorder="1" applyAlignment="1" applyProtection="1">
      <alignment horizontal="left" vertical="center"/>
    </xf>
    <xf numFmtId="0" fontId="120" fillId="4" borderId="157" xfId="1" applyFont="1" applyFill="1" applyBorder="1" applyAlignment="1" applyProtection="1">
      <alignment horizontal="left" vertical="center"/>
    </xf>
    <xf numFmtId="0" fontId="120" fillId="4" borderId="157" xfId="1" applyFont="1" applyFill="1" applyBorder="1" applyAlignment="1" applyProtection="1">
      <alignment horizontal="left" vertical="center" wrapText="1"/>
    </xf>
    <xf numFmtId="0" fontId="0" fillId="0" borderId="106" xfId="0" applyBorder="1"/>
    <xf numFmtId="0" fontId="0" fillId="0" borderId="107" xfId="0" applyBorder="1"/>
    <xf numFmtId="0" fontId="0" fillId="0" borderId="0" xfId="0"/>
    <xf numFmtId="0" fontId="118" fillId="5" borderId="106" xfId="4" applyFont="1" applyFill="1" applyBorder="1" applyAlignment="1" applyProtection="1">
      <alignment horizontal="center" vertical="center"/>
      <protection locked="0" hidden="1"/>
    </xf>
    <xf numFmtId="0" fontId="118" fillId="5" borderId="107" xfId="4" applyFont="1" applyFill="1" applyBorder="1" applyAlignment="1" applyProtection="1">
      <alignment horizontal="center" vertical="center"/>
      <protection locked="0" hidden="1"/>
    </xf>
    <xf numFmtId="0" fontId="12" fillId="0" borderId="106" xfId="0" applyFont="1" applyBorder="1" applyAlignment="1">
      <alignment horizontal="left" vertical="top" wrapText="1" indent="1"/>
    </xf>
    <xf numFmtId="0" fontId="12" fillId="0" borderId="0" xfId="0" applyFont="1" applyBorder="1" applyAlignment="1">
      <alignment horizontal="left" vertical="top" wrapText="1" indent="1"/>
    </xf>
    <xf numFmtId="0" fontId="12" fillId="0" borderId="107" xfId="0" applyFont="1" applyBorder="1" applyAlignment="1">
      <alignment horizontal="left" vertical="top" wrapText="1" indent="1"/>
    </xf>
    <xf numFmtId="0" fontId="118" fillId="26" borderId="110" xfId="4" applyFont="1" applyFill="1" applyBorder="1" applyAlignment="1" applyProtection="1">
      <alignment horizontal="center" vertical="center"/>
      <protection locked="0" hidden="1"/>
    </xf>
    <xf numFmtId="0" fontId="118" fillId="26" borderId="111" xfId="4" applyFont="1" applyFill="1" applyBorder="1" applyAlignment="1" applyProtection="1">
      <alignment horizontal="center" vertical="center"/>
      <protection locked="0" hidden="1"/>
    </xf>
    <xf numFmtId="0" fontId="12" fillId="0" borderId="110" xfId="0" applyFont="1" applyBorder="1" applyAlignment="1">
      <alignment horizontal="left" vertical="top" wrapText="1" indent="1"/>
    </xf>
    <xf numFmtId="0" fontId="12" fillId="0" borderId="113" xfId="0" applyFont="1" applyBorder="1" applyAlignment="1">
      <alignment horizontal="left" vertical="top" wrapText="1" indent="1"/>
    </xf>
    <xf numFmtId="0" fontId="12" fillId="0" borderId="111" xfId="0" applyFont="1" applyBorder="1" applyAlignment="1">
      <alignment horizontal="left" vertical="top" wrapText="1" indent="1"/>
    </xf>
    <xf numFmtId="0" fontId="12" fillId="0" borderId="108" xfId="0" applyFont="1" applyBorder="1" applyAlignment="1">
      <alignment horizontal="left" vertical="top" wrapText="1" indent="1"/>
    </xf>
    <xf numFmtId="0" fontId="12" fillId="0" borderId="112" xfId="0" applyFont="1" applyBorder="1" applyAlignment="1">
      <alignment horizontal="left" vertical="top" wrapText="1" indent="1"/>
    </xf>
    <xf numFmtId="0" fontId="12" fillId="0" borderId="109" xfId="0" applyFont="1" applyBorder="1" applyAlignment="1">
      <alignment horizontal="left" vertical="top" wrapText="1" indent="1"/>
    </xf>
    <xf numFmtId="0" fontId="118" fillId="20" borderId="110" xfId="4" applyFont="1" applyFill="1" applyBorder="1" applyAlignment="1" applyProtection="1">
      <alignment horizontal="center" vertical="center"/>
      <protection locked="0" hidden="1"/>
    </xf>
    <xf numFmtId="0" fontId="118" fillId="20" borderId="111" xfId="4" applyFont="1" applyFill="1" applyBorder="1" applyAlignment="1" applyProtection="1">
      <alignment horizontal="center" vertical="center"/>
      <protection locked="0" hidden="1"/>
    </xf>
    <xf numFmtId="0" fontId="118" fillId="19" borderId="110" xfId="4" applyFont="1" applyFill="1" applyBorder="1" applyAlignment="1" applyProtection="1">
      <alignment horizontal="center" vertical="center"/>
      <protection locked="0" hidden="1"/>
    </xf>
    <xf numFmtId="0" fontId="118" fillId="19" borderId="111" xfId="4" applyFont="1" applyFill="1" applyBorder="1" applyAlignment="1" applyProtection="1">
      <alignment horizontal="center" vertical="center"/>
      <protection locked="0" hidden="1"/>
    </xf>
    <xf numFmtId="0" fontId="12" fillId="0" borderId="106" xfId="0" quotePrefix="1" applyFont="1" applyBorder="1" applyAlignment="1">
      <alignment horizontal="left" vertical="top" wrapText="1" indent="1"/>
    </xf>
    <xf numFmtId="0" fontId="118" fillId="18" borderId="110" xfId="4" applyFont="1" applyFill="1" applyBorder="1" applyAlignment="1" applyProtection="1">
      <alignment horizontal="center" vertical="center"/>
      <protection locked="0" hidden="1"/>
    </xf>
    <xf numFmtId="0" fontId="118" fillId="18" borderId="111" xfId="4" applyFont="1" applyFill="1" applyBorder="1" applyAlignment="1" applyProtection="1">
      <alignment horizontal="center" vertical="center"/>
      <protection locked="0" hidden="1"/>
    </xf>
    <xf numFmtId="0" fontId="12" fillId="0" borderId="110" xfId="0" applyFont="1" applyBorder="1" applyAlignment="1">
      <alignment horizontal="left" vertical="top" wrapText="1"/>
    </xf>
    <xf numFmtId="0" fontId="12" fillId="0" borderId="113" xfId="0" applyFont="1" applyBorder="1" applyAlignment="1">
      <alignment horizontal="left" vertical="top" wrapText="1"/>
    </xf>
    <xf numFmtId="0" fontId="12" fillId="0" borderId="111" xfId="0" applyFont="1" applyBorder="1" applyAlignment="1">
      <alignment horizontal="left" vertical="top" wrapText="1"/>
    </xf>
    <xf numFmtId="0" fontId="12" fillId="0" borderId="106" xfId="0" applyFont="1" applyBorder="1" applyAlignment="1">
      <alignment horizontal="left" vertical="top" wrapText="1"/>
    </xf>
    <xf numFmtId="0" fontId="12" fillId="0" borderId="0" xfId="0" applyFont="1" applyBorder="1" applyAlignment="1">
      <alignment horizontal="left" vertical="top" wrapText="1"/>
    </xf>
    <xf numFmtId="0" fontId="12" fillId="0" borderId="107" xfId="0" applyFont="1" applyBorder="1" applyAlignment="1">
      <alignment horizontal="left" vertical="top" wrapText="1"/>
    </xf>
    <xf numFmtId="0" fontId="118" fillId="17" borderId="110" xfId="4" applyFont="1" applyFill="1" applyBorder="1" applyAlignment="1" applyProtection="1">
      <alignment horizontal="center" vertical="center"/>
      <protection locked="0" hidden="1"/>
    </xf>
    <xf numFmtId="0" fontId="118" fillId="17" borderId="111" xfId="4" applyFont="1" applyFill="1" applyBorder="1" applyAlignment="1" applyProtection="1">
      <alignment horizontal="center" vertical="center"/>
      <protection locked="0" hidden="1"/>
    </xf>
    <xf numFmtId="0" fontId="12" fillId="0" borderId="108" xfId="0" quotePrefix="1" applyFont="1" applyBorder="1" applyAlignment="1">
      <alignment horizontal="left" vertical="top" wrapText="1" indent="1"/>
    </xf>
    <xf numFmtId="0" fontId="12" fillId="0" borderId="112" xfId="0" quotePrefix="1" applyFont="1" applyBorder="1" applyAlignment="1">
      <alignment horizontal="left" vertical="top" wrapText="1" indent="1"/>
    </xf>
    <xf numFmtId="0" fontId="12" fillId="0" borderId="109" xfId="0" quotePrefix="1" applyFont="1" applyBorder="1" applyAlignment="1">
      <alignment horizontal="left" vertical="top" wrapText="1" indent="1"/>
    </xf>
    <xf numFmtId="0" fontId="118" fillId="5" borderId="110" xfId="4" applyFont="1" applyFill="1" applyBorder="1" applyAlignment="1" applyProtection="1">
      <alignment horizontal="center" vertical="center"/>
      <protection locked="0" hidden="1"/>
    </xf>
    <xf numFmtId="0" fontId="118" fillId="5" borderId="111" xfId="4" applyFont="1" applyFill="1" applyBorder="1" applyAlignment="1" applyProtection="1">
      <alignment horizontal="center" vertical="center"/>
      <protection locked="0" hidden="1"/>
    </xf>
    <xf numFmtId="0" fontId="118" fillId="13" borderId="110" xfId="4" applyFont="1" applyFill="1" applyBorder="1" applyAlignment="1" applyProtection="1">
      <alignment horizontal="center" vertical="center"/>
      <protection locked="0" hidden="1"/>
    </xf>
    <xf numFmtId="0" fontId="118" fillId="13" borderId="111" xfId="4" applyFont="1" applyFill="1" applyBorder="1" applyAlignment="1" applyProtection="1">
      <alignment horizontal="center" vertical="center"/>
      <protection locked="0" hidden="1"/>
    </xf>
    <xf numFmtId="0" fontId="12" fillId="0" borderId="0" xfId="0" quotePrefix="1" applyFont="1" applyBorder="1" applyAlignment="1">
      <alignment horizontal="left" vertical="top" wrapText="1" indent="1"/>
    </xf>
    <xf numFmtId="0" fontId="12" fillId="0" borderId="107" xfId="0" quotePrefix="1" applyFont="1" applyBorder="1" applyAlignment="1">
      <alignment horizontal="left" vertical="top" wrapText="1" indent="1"/>
    </xf>
    <xf numFmtId="0" fontId="62" fillId="16" borderId="0" xfId="0" applyFont="1" applyFill="1" applyAlignment="1">
      <alignment vertical="center"/>
    </xf>
    <xf numFmtId="0" fontId="12" fillId="0" borderId="0" xfId="0" applyFont="1" applyAlignment="1">
      <alignment horizontal="left" vertical="top" wrapText="1" indent="1"/>
    </xf>
    <xf numFmtId="0" fontId="12" fillId="0" borderId="0" xfId="0" applyFont="1" applyAlignment="1">
      <alignment vertical="top" wrapText="1"/>
    </xf>
    <xf numFmtId="0" fontId="0" fillId="0" borderId="0" xfId="0" applyAlignment="1">
      <alignment vertical="top" wrapText="1"/>
    </xf>
    <xf numFmtId="0" fontId="118" fillId="18" borderId="338" xfId="4" applyFont="1" applyFill="1" applyBorder="1" applyAlignment="1" applyProtection="1">
      <alignment horizontal="center" vertical="center"/>
      <protection locked="0" hidden="1"/>
    </xf>
    <xf numFmtId="0" fontId="118" fillId="18" borderId="339" xfId="4" applyFont="1" applyFill="1" applyBorder="1" applyAlignment="1" applyProtection="1">
      <alignment horizontal="center" vertical="center"/>
      <protection locked="0" hidden="1"/>
    </xf>
    <xf numFmtId="0" fontId="12" fillId="0" borderId="338" xfId="0" applyFont="1" applyBorder="1" applyAlignment="1">
      <alignment horizontal="left" vertical="top" wrapText="1" indent="1"/>
    </xf>
    <xf numFmtId="0" fontId="12" fillId="0" borderId="340" xfId="0" applyFont="1" applyBorder="1" applyAlignment="1">
      <alignment horizontal="left" vertical="top" wrapText="1" indent="1"/>
    </xf>
    <xf numFmtId="0" fontId="12" fillId="0" borderId="339" xfId="0" applyFont="1" applyBorder="1" applyAlignment="1">
      <alignment horizontal="left" vertical="top" wrapText="1" indent="1"/>
    </xf>
    <xf numFmtId="0" fontId="17" fillId="0" borderId="0" xfId="0" applyFont="1" applyAlignment="1">
      <alignment horizontal="left" vertical="top" wrapText="1" indent="1"/>
    </xf>
    <xf numFmtId="0" fontId="0" fillId="0" borderId="0" xfId="0" applyAlignment="1">
      <alignment horizontal="center"/>
    </xf>
    <xf numFmtId="0" fontId="12" fillId="0" borderId="0" xfId="0" applyFont="1" applyAlignment="1">
      <alignment vertical="top"/>
    </xf>
    <xf numFmtId="0" fontId="12" fillId="15" borderId="0" xfId="0" applyFont="1" applyFill="1" applyAlignment="1">
      <alignment horizontal="left" vertical="top" wrapText="1" indent="1"/>
    </xf>
    <xf numFmtId="0" fontId="12" fillId="0" borderId="106" xfId="0" applyFont="1" applyBorder="1"/>
    <xf numFmtId="0" fontId="12" fillId="0" borderId="107" xfId="0" applyFont="1" applyBorder="1"/>
    <xf numFmtId="0" fontId="12" fillId="0" borderId="103" xfId="0" applyFont="1" applyBorder="1" applyAlignment="1">
      <alignment horizontal="left" vertical="top" wrapText="1" indent="1"/>
    </xf>
    <xf numFmtId="0" fontId="0" fillId="0" borderId="103" xfId="0" applyBorder="1" applyAlignment="1">
      <alignment horizontal="left" vertical="top" wrapText="1" indent="1"/>
    </xf>
    <xf numFmtId="0" fontId="12" fillId="0" borderId="104" xfId="0" applyFont="1" applyBorder="1" applyAlignment="1">
      <alignment horizontal="left" vertical="top" wrapText="1" indent="1"/>
    </xf>
    <xf numFmtId="0" fontId="0" fillId="0" borderId="104" xfId="0" applyBorder="1" applyAlignment="1">
      <alignment horizontal="left" vertical="top" wrapText="1" indent="1"/>
    </xf>
    <xf numFmtId="0" fontId="12" fillId="0" borderId="103" xfId="0" applyFont="1" applyBorder="1" applyAlignment="1">
      <alignment vertical="top" wrapText="1"/>
    </xf>
    <xf numFmtId="0" fontId="12" fillId="0" borderId="104" xfId="0" applyFont="1" applyBorder="1" applyAlignment="1">
      <alignment vertical="top" wrapText="1"/>
    </xf>
    <xf numFmtId="0" fontId="12" fillId="0" borderId="105" xfId="0" applyFont="1" applyBorder="1" applyAlignment="1">
      <alignment vertical="top" wrapText="1"/>
    </xf>
    <xf numFmtId="0" fontId="0" fillId="0" borderId="108" xfId="0" applyBorder="1"/>
    <xf numFmtId="0" fontId="0" fillId="0" borderId="109" xfId="0" applyBorder="1"/>
    <xf numFmtId="0" fontId="12" fillId="0" borderId="105" xfId="0" applyFont="1" applyBorder="1" applyAlignment="1">
      <alignment horizontal="left" vertical="top" wrapText="1" indent="1"/>
    </xf>
    <xf numFmtId="0" fontId="0" fillId="0" borderId="105" xfId="0" applyBorder="1" applyAlignment="1">
      <alignment horizontal="left" vertical="top" wrapText="1" indent="1"/>
    </xf>
    <xf numFmtId="0" fontId="17" fillId="0" borderId="0" xfId="0" applyFont="1" applyAlignment="1">
      <alignment vertical="top" wrapText="1"/>
    </xf>
    <xf numFmtId="0" fontId="54" fillId="0" borderId="103" xfId="0" applyFont="1" applyBorder="1" applyAlignment="1">
      <alignment horizontal="left" vertical="top" wrapText="1" indent="1"/>
    </xf>
    <xf numFmtId="0" fontId="12" fillId="0" borderId="108" xfId="0" applyFont="1" applyBorder="1" applyAlignment="1">
      <alignment horizontal="left" vertical="top" wrapText="1"/>
    </xf>
    <xf numFmtId="0" fontId="12" fillId="0" borderId="112" xfId="0" applyFont="1" applyBorder="1" applyAlignment="1">
      <alignment horizontal="left" vertical="top" wrapText="1"/>
    </xf>
    <xf numFmtId="0" fontId="12" fillId="0" borderId="109" xfId="0" applyFont="1" applyBorder="1" applyAlignment="1">
      <alignment horizontal="left" vertical="top" wrapText="1"/>
    </xf>
    <xf numFmtId="0" fontId="11" fillId="15" borderId="0" xfId="0" applyFont="1" applyFill="1" applyAlignment="1">
      <alignment horizontal="left" indent="1"/>
    </xf>
    <xf numFmtId="0" fontId="0" fillId="0" borderId="106" xfId="0" applyBorder="1"/>
    <xf numFmtId="0" fontId="0" fillId="0" borderId="107" xfId="0" applyBorder="1"/>
    <xf numFmtId="0" fontId="63" fillId="0" borderId="106" xfId="4" applyFill="1" applyBorder="1" applyAlignment="1" applyProtection="1">
      <alignment horizontal="center" vertical="center"/>
    </xf>
    <xf numFmtId="0" fontId="63" fillId="0" borderId="107" xfId="4" applyFill="1" applyBorder="1" applyAlignment="1" applyProtection="1">
      <alignment horizontal="center" vertical="center"/>
    </xf>
    <xf numFmtId="0" fontId="12" fillId="8" borderId="0" xfId="0" applyFont="1" applyFill="1" applyAlignment="1" applyProtection="1">
      <alignment horizontal="left" vertical="center" textRotation="90" wrapText="1"/>
    </xf>
    <xf numFmtId="0" fontId="67" fillId="0" borderId="89" xfId="1" applyFont="1" applyBorder="1" applyAlignment="1" applyProtection="1">
      <alignment horizontal="center" vertical="center" wrapText="1"/>
    </xf>
    <xf numFmtId="0" fontId="67" fillId="0" borderId="90" xfId="1" applyFont="1" applyBorder="1" applyAlignment="1" applyProtection="1">
      <alignment horizontal="center" vertical="center" wrapText="1"/>
    </xf>
    <xf numFmtId="0" fontId="12" fillId="15" borderId="0" xfId="0" applyFont="1" applyFill="1" applyAlignment="1" applyProtection="1">
      <alignment vertical="center" wrapText="1"/>
    </xf>
    <xf numFmtId="0" fontId="0" fillId="7" borderId="0" xfId="0" applyFill="1" applyProtection="1">
      <protection locked="0"/>
    </xf>
    <xf numFmtId="0" fontId="0" fillId="15" borderId="0" xfId="0" applyFill="1" applyAlignment="1" applyProtection="1">
      <alignment horizontal="left" vertical="center" wrapText="1"/>
    </xf>
    <xf numFmtId="0" fontId="12" fillId="7" borderId="0" xfId="0" applyFont="1" applyFill="1" applyAlignment="1" applyProtection="1">
      <protection locked="0"/>
    </xf>
    <xf numFmtId="0" fontId="15" fillId="6" borderId="0" xfId="0" applyFont="1" applyFill="1" applyAlignment="1" applyProtection="1">
      <alignment horizontal="left" textRotation="90"/>
    </xf>
    <xf numFmtId="0" fontId="12" fillId="7" borderId="0" xfId="0" applyFont="1" applyFill="1" applyAlignment="1" applyProtection="1">
      <alignment horizontal="left"/>
      <protection locked="0"/>
    </xf>
    <xf numFmtId="1" fontId="67" fillId="0" borderId="223" xfId="1" applyNumberFormat="1" applyFont="1" applyBorder="1" applyAlignment="1" applyProtection="1">
      <alignment horizontal="center" vertical="center" wrapText="1"/>
    </xf>
    <xf numFmtId="0" fontId="65" fillId="0" borderId="223" xfId="0" applyFont="1" applyBorder="1" applyAlignment="1" applyProtection="1">
      <alignment horizontal="center" vertical="center"/>
    </xf>
    <xf numFmtId="0" fontId="65" fillId="0" borderId="77" xfId="0" applyFont="1" applyBorder="1" applyAlignment="1" applyProtection="1">
      <alignment horizontal="center" vertical="center"/>
    </xf>
    <xf numFmtId="0" fontId="65" fillId="0" borderId="78" xfId="0" applyFont="1" applyBorder="1" applyAlignment="1" applyProtection="1">
      <alignment horizontal="center" vertical="center"/>
    </xf>
    <xf numFmtId="0" fontId="65" fillId="0" borderId="79" xfId="0" applyFont="1" applyBorder="1" applyAlignment="1" applyProtection="1">
      <alignment horizontal="center" vertical="center"/>
    </xf>
    <xf numFmtId="0" fontId="65" fillId="0" borderId="82" xfId="0" applyFont="1" applyBorder="1" applyAlignment="1" applyProtection="1">
      <alignment horizontal="center" vertical="center"/>
    </xf>
    <xf numFmtId="0" fontId="65" fillId="0" borderId="83" xfId="0" applyFont="1" applyBorder="1" applyAlignment="1" applyProtection="1">
      <alignment horizontal="center" vertical="center"/>
    </xf>
    <xf numFmtId="0" fontId="65" fillId="0" borderId="84" xfId="0" applyFont="1" applyBorder="1" applyAlignment="1" applyProtection="1">
      <alignment horizontal="center" vertical="center"/>
    </xf>
    <xf numFmtId="0" fontId="17" fillId="7" borderId="0" xfId="0" applyFont="1" applyFill="1" applyAlignment="1" applyProtection="1">
      <alignment horizontal="left"/>
      <protection locked="0"/>
    </xf>
    <xf numFmtId="0" fontId="0" fillId="7" borderId="0" xfId="0" applyFill="1" applyAlignment="1" applyProtection="1">
      <alignment horizontal="left"/>
      <protection locked="0"/>
    </xf>
    <xf numFmtId="0" fontId="122" fillId="4" borderId="155" xfId="4" applyFont="1" applyFill="1" applyBorder="1" applyAlignment="1" applyProtection="1">
      <alignment vertical="top"/>
      <protection locked="0" hidden="1"/>
    </xf>
    <xf numFmtId="0" fontId="122" fillId="4" borderId="156" xfId="4" applyFont="1" applyFill="1" applyBorder="1" applyAlignment="1" applyProtection="1">
      <alignment vertical="top"/>
      <protection locked="0" hidden="1"/>
    </xf>
    <xf numFmtId="0" fontId="122" fillId="4" borderId="157" xfId="4" applyFont="1" applyFill="1" applyBorder="1" applyAlignment="1" applyProtection="1">
      <alignment vertical="top"/>
      <protection locked="0" hidden="1"/>
    </xf>
    <xf numFmtId="0" fontId="122" fillId="4" borderId="158" xfId="4" applyFont="1" applyFill="1" applyBorder="1" applyAlignment="1" applyProtection="1">
      <alignment vertical="top"/>
      <protection locked="0" hidden="1"/>
    </xf>
    <xf numFmtId="177" fontId="14" fillId="21" borderId="152" xfId="0" applyNumberFormat="1" applyFont="1" applyFill="1" applyBorder="1" applyAlignment="1">
      <alignment horizontal="right" vertical="center" indent="2"/>
    </xf>
    <xf numFmtId="177" fontId="14" fillId="21" borderId="123" xfId="0" applyNumberFormat="1" applyFont="1" applyFill="1" applyBorder="1" applyAlignment="1">
      <alignment horizontal="right" vertical="center" indent="2"/>
    </xf>
    <xf numFmtId="177" fontId="14" fillId="21" borderId="144" xfId="0" applyNumberFormat="1" applyFont="1" applyFill="1" applyBorder="1" applyAlignment="1">
      <alignment horizontal="right" vertical="center" indent="2"/>
    </xf>
    <xf numFmtId="0" fontId="122" fillId="4" borderId="320" xfId="4" applyFont="1" applyFill="1" applyBorder="1" applyAlignment="1" applyProtection="1">
      <alignment vertical="center"/>
      <protection locked="0" hidden="1"/>
    </xf>
    <xf numFmtId="0" fontId="122" fillId="4" borderId="157" xfId="4" applyFont="1" applyFill="1" applyBorder="1" applyAlignment="1" applyProtection="1">
      <alignment vertical="center"/>
      <protection locked="0" hidden="1"/>
    </xf>
    <xf numFmtId="0" fontId="122" fillId="4" borderId="158" xfId="4" applyFont="1" applyFill="1" applyBorder="1" applyAlignment="1" applyProtection="1">
      <alignment vertical="center"/>
      <protection locked="0" hidden="1"/>
    </xf>
    <xf numFmtId="0" fontId="14" fillId="4" borderId="328" xfId="1" applyFont="1" applyFill="1" applyBorder="1" applyAlignment="1" applyProtection="1">
      <alignment horizontal="left" vertical="center" indent="1"/>
    </xf>
    <xf numFmtId="0" fontId="14" fillId="4" borderId="117" xfId="1" applyFont="1" applyFill="1" applyBorder="1" applyAlignment="1" applyProtection="1">
      <alignment horizontal="left" vertical="center" indent="1"/>
    </xf>
    <xf numFmtId="0" fontId="14" fillId="4" borderId="329" xfId="1" applyFont="1" applyFill="1" applyBorder="1" applyAlignment="1" applyProtection="1">
      <alignment horizontal="left" vertical="center" indent="1"/>
    </xf>
    <xf numFmtId="0" fontId="14" fillId="4" borderId="0" xfId="1" applyFont="1" applyFill="1" applyBorder="1" applyAlignment="1" applyProtection="1">
      <alignment horizontal="left" vertical="center" wrapText="1"/>
    </xf>
    <xf numFmtId="0" fontId="14" fillId="4" borderId="0" xfId="1" applyFont="1" applyFill="1" applyBorder="1" applyAlignment="1" applyProtection="1">
      <alignment horizontal="left" vertical="center" wrapText="1" indent="1"/>
    </xf>
    <xf numFmtId="0" fontId="14" fillId="4" borderId="119" xfId="1" applyFont="1" applyFill="1" applyBorder="1" applyAlignment="1" applyProtection="1">
      <alignment horizontal="left" vertical="center" wrapText="1" indent="1"/>
    </xf>
    <xf numFmtId="0" fontId="14" fillId="0" borderId="101" xfId="1" applyFont="1" applyBorder="1" applyAlignment="1">
      <alignment horizontal="center" vertical="top" wrapText="1"/>
    </xf>
    <xf numFmtId="0" fontId="14" fillId="0" borderId="102" xfId="1" applyFont="1" applyBorder="1" applyAlignment="1">
      <alignment horizontal="center" vertical="top" wrapText="1"/>
    </xf>
    <xf numFmtId="0" fontId="14" fillId="24" borderId="147" xfId="1" applyFont="1" applyFill="1" applyBorder="1" applyAlignment="1">
      <alignment horizontal="center" vertical="center"/>
    </xf>
    <xf numFmtId="0" fontId="14" fillId="24" borderId="4" xfId="1" applyFont="1" applyFill="1" applyBorder="1" applyAlignment="1">
      <alignment horizontal="center" vertical="center"/>
    </xf>
    <xf numFmtId="0" fontId="14" fillId="24" borderId="125" xfId="1" applyFont="1" applyFill="1" applyBorder="1" applyAlignment="1">
      <alignment horizontal="center" vertical="center"/>
    </xf>
    <xf numFmtId="0" fontId="14" fillId="24" borderId="139" xfId="1" applyFont="1" applyFill="1" applyBorder="1" applyAlignment="1">
      <alignment horizontal="center" vertical="center"/>
    </xf>
    <xf numFmtId="177" fontId="14" fillId="21" borderId="150" xfId="0" applyNumberFormat="1" applyFont="1" applyFill="1" applyBorder="1" applyAlignment="1">
      <alignment horizontal="right" vertical="center" indent="2"/>
    </xf>
    <xf numFmtId="177" fontId="14" fillId="21" borderId="16" xfId="0" applyNumberFormat="1" applyFont="1" applyFill="1" applyBorder="1" applyAlignment="1">
      <alignment horizontal="right" vertical="center" indent="2"/>
    </xf>
    <xf numFmtId="177" fontId="14" fillId="21" borderId="142" xfId="0" applyNumberFormat="1" applyFont="1" applyFill="1" applyBorder="1" applyAlignment="1">
      <alignment horizontal="right" vertical="center" indent="2"/>
    </xf>
    <xf numFmtId="177" fontId="14" fillId="21" borderId="151" xfId="0" applyNumberFormat="1" applyFont="1" applyFill="1" applyBorder="1" applyAlignment="1">
      <alignment horizontal="right" vertical="center" indent="2"/>
    </xf>
    <xf numFmtId="177" fontId="14" fillId="21" borderId="65" xfId="0" applyNumberFormat="1" applyFont="1" applyFill="1" applyBorder="1" applyAlignment="1">
      <alignment horizontal="right" vertical="center" indent="2"/>
    </xf>
    <xf numFmtId="177" fontId="14" fillId="21" borderId="143" xfId="0" applyNumberFormat="1" applyFont="1" applyFill="1" applyBorder="1" applyAlignment="1">
      <alignment horizontal="right" vertical="center" indent="2"/>
    </xf>
    <xf numFmtId="0" fontId="14" fillId="0" borderId="149" xfId="3" applyNumberFormat="1" applyFont="1" applyBorder="1" applyAlignment="1">
      <alignment horizontal="center" vertical="center" wrapText="1"/>
    </xf>
    <xf numFmtId="0" fontId="14" fillId="0" borderId="8" xfId="3" applyNumberFormat="1" applyFont="1" applyBorder="1" applyAlignment="1">
      <alignment horizontal="center" vertical="center" wrapText="1"/>
    </xf>
    <xf numFmtId="0" fontId="14" fillId="0" borderId="141" xfId="3" applyNumberFormat="1" applyFont="1" applyBorder="1" applyAlignment="1">
      <alignment horizontal="center" vertical="center" wrapText="1"/>
    </xf>
    <xf numFmtId="0" fontId="14" fillId="0" borderId="283" xfId="1" applyFont="1" applyBorder="1" applyAlignment="1">
      <alignment horizontal="center" vertical="center"/>
    </xf>
    <xf numFmtId="0" fontId="14" fillId="0" borderId="151" xfId="0" applyFont="1" applyBorder="1" applyAlignment="1">
      <alignment horizontal="center" vertical="center"/>
    </xf>
    <xf numFmtId="0" fontId="14" fillId="0" borderId="65" xfId="0" applyFont="1" applyBorder="1" applyAlignment="1">
      <alignment horizontal="center" vertical="center"/>
    </xf>
    <xf numFmtId="0" fontId="14" fillId="0" borderId="143" xfId="0" applyFont="1" applyBorder="1" applyAlignment="1">
      <alignment horizontal="center" vertical="center"/>
    </xf>
    <xf numFmtId="0" fontId="94" fillId="7" borderId="332" xfId="1" applyFont="1" applyFill="1" applyBorder="1" applyAlignment="1" applyProtection="1">
      <alignment horizontal="left" vertical="top" wrapText="1" indent="1"/>
      <protection locked="0"/>
    </xf>
    <xf numFmtId="0" fontId="94" fillId="7" borderId="0" xfId="1" applyFont="1" applyFill="1" applyBorder="1" applyAlignment="1" applyProtection="1">
      <alignment horizontal="left" vertical="top" wrapText="1" indent="1"/>
      <protection locked="0"/>
    </xf>
    <xf numFmtId="0" fontId="94" fillId="7" borderId="333" xfId="1" applyFont="1" applyFill="1" applyBorder="1" applyAlignment="1" applyProtection="1">
      <alignment horizontal="left" vertical="top" wrapText="1" indent="1"/>
      <protection locked="0"/>
    </xf>
    <xf numFmtId="0" fontId="94" fillId="7" borderId="330" xfId="1" applyFont="1" applyFill="1" applyBorder="1" applyAlignment="1" applyProtection="1">
      <alignment horizontal="left" vertical="top" wrapText="1" indent="1"/>
      <protection locked="0"/>
    </xf>
    <xf numFmtId="0" fontId="94" fillId="7" borderId="120" xfId="1" applyFont="1" applyFill="1" applyBorder="1" applyAlignment="1" applyProtection="1">
      <alignment horizontal="left" vertical="top" wrapText="1" indent="1"/>
      <protection locked="0"/>
    </xf>
    <xf numFmtId="0" fontId="94" fillId="7" borderId="331" xfId="1" applyFont="1" applyFill="1" applyBorder="1" applyAlignment="1" applyProtection="1">
      <alignment horizontal="left" vertical="top" wrapText="1" indent="1"/>
      <protection locked="0"/>
    </xf>
    <xf numFmtId="0" fontId="14" fillId="4" borderId="117" xfId="1" applyFont="1" applyFill="1" applyBorder="1" applyAlignment="1" applyProtection="1">
      <alignment horizontal="left" vertical="center" indent="2"/>
    </xf>
    <xf numFmtId="0" fontId="14" fillId="4" borderId="0" xfId="1" applyFont="1" applyFill="1" applyBorder="1" applyAlignment="1" applyProtection="1">
      <alignment horizontal="left" vertical="center" indent="2"/>
    </xf>
    <xf numFmtId="0" fontId="14" fillId="4" borderId="117" xfId="1" applyFont="1" applyFill="1" applyBorder="1" applyAlignment="1" applyProtection="1">
      <alignment horizontal="left" vertical="center" wrapText="1" indent="1"/>
    </xf>
    <xf numFmtId="0" fontId="122" fillId="4" borderId="0" xfId="4" applyFont="1" applyFill="1" applyBorder="1" applyAlignment="1" applyProtection="1">
      <alignment horizontal="left" vertical="center" wrapText="1"/>
      <protection locked="0" hidden="1"/>
    </xf>
    <xf numFmtId="0" fontId="122" fillId="4" borderId="119" xfId="4" applyFont="1" applyFill="1" applyBorder="1" applyAlignment="1" applyProtection="1">
      <alignment horizontal="left" vertical="center" wrapText="1"/>
      <protection locked="0" hidden="1"/>
    </xf>
    <xf numFmtId="0" fontId="14" fillId="4" borderId="117" xfId="1" applyFont="1" applyFill="1" applyBorder="1" applyAlignment="1" applyProtection="1">
      <alignment horizontal="left" vertical="center" wrapText="1"/>
    </xf>
    <xf numFmtId="0" fontId="14" fillId="4" borderId="118" xfId="1" applyFont="1" applyFill="1" applyBorder="1" applyAlignment="1" applyProtection="1">
      <alignment horizontal="left" vertical="center" wrapText="1"/>
    </xf>
    <xf numFmtId="0" fontId="14" fillId="4" borderId="0" xfId="4" applyFont="1" applyFill="1" applyBorder="1" applyAlignment="1" applyProtection="1">
      <alignment horizontal="left" vertical="center" wrapText="1"/>
    </xf>
    <xf numFmtId="0" fontId="122" fillId="4" borderId="330" xfId="4" applyFont="1" applyFill="1" applyBorder="1" applyAlignment="1" applyProtection="1">
      <alignment horizontal="left" vertical="center" wrapText="1" indent="1"/>
      <protection locked="0" hidden="1"/>
    </xf>
    <xf numFmtId="0" fontId="122" fillId="4" borderId="120" xfId="4" applyFont="1" applyFill="1" applyBorder="1" applyAlignment="1" applyProtection="1">
      <alignment horizontal="left" vertical="center" wrapText="1" indent="1"/>
      <protection locked="0" hidden="1"/>
    </xf>
    <xf numFmtId="0" fontId="122" fillId="4" borderId="331" xfId="4" applyFont="1" applyFill="1" applyBorder="1" applyAlignment="1" applyProtection="1">
      <alignment horizontal="left" vertical="center" wrapText="1" indent="1"/>
      <protection locked="0" hidden="1"/>
    </xf>
    <xf numFmtId="0" fontId="14" fillId="21" borderId="151" xfId="1" applyFont="1" applyFill="1" applyBorder="1" applyAlignment="1">
      <alignment horizontal="center" vertical="center"/>
    </xf>
    <xf numFmtId="0" fontId="14" fillId="21" borderId="65" xfId="1" applyFont="1" applyFill="1" applyBorder="1" applyAlignment="1">
      <alignment horizontal="center" vertical="center"/>
    </xf>
    <xf numFmtId="0" fontId="14" fillId="21" borderId="143" xfId="1" applyFont="1" applyFill="1" applyBorder="1" applyAlignment="1">
      <alignment horizontal="center" vertical="center"/>
    </xf>
    <xf numFmtId="180" fontId="94" fillId="7" borderId="123" xfId="1" applyNumberFormat="1" applyFont="1" applyFill="1" applyBorder="1" applyAlignment="1" applyProtection="1">
      <alignment horizontal="left" vertical="center"/>
      <protection locked="0"/>
    </xf>
    <xf numFmtId="180" fontId="94" fillId="7" borderId="136" xfId="1" applyNumberFormat="1" applyFont="1" applyFill="1" applyBorder="1" applyAlignment="1" applyProtection="1">
      <alignment horizontal="left" vertical="center"/>
      <protection locked="0"/>
    </xf>
    <xf numFmtId="0" fontId="14" fillId="7" borderId="48" xfId="1" applyFont="1" applyFill="1" applyBorder="1" applyAlignment="1" applyProtection="1">
      <alignment horizontal="right" vertical="center"/>
      <protection locked="0"/>
    </xf>
    <xf numFmtId="0" fontId="14" fillId="7" borderId="143" xfId="1" applyFont="1" applyFill="1" applyBorder="1" applyAlignment="1" applyProtection="1">
      <alignment horizontal="right" vertical="center"/>
      <protection locked="0"/>
    </xf>
    <xf numFmtId="0" fontId="14" fillId="21" borderId="124" xfId="1" applyFont="1" applyFill="1" applyBorder="1" applyAlignment="1">
      <alignment horizontal="center" vertical="center"/>
    </xf>
    <xf numFmtId="0" fontId="14" fillId="4" borderId="318" xfId="1" applyFont="1" applyFill="1" applyBorder="1" applyAlignment="1" applyProtection="1">
      <alignment horizontal="left" vertical="top" indent="1"/>
    </xf>
    <xf numFmtId="0" fontId="14" fillId="4" borderId="0" xfId="1" applyFont="1" applyFill="1" applyBorder="1" applyAlignment="1" applyProtection="1">
      <alignment horizontal="left" vertical="top" indent="1"/>
    </xf>
    <xf numFmtId="0" fontId="14" fillId="4" borderId="317" xfId="1" applyFont="1" applyFill="1" applyBorder="1" applyAlignment="1" applyProtection="1">
      <alignment horizontal="left" vertical="top" indent="1"/>
    </xf>
    <xf numFmtId="0" fontId="14" fillId="4" borderId="120" xfId="1" applyFont="1" applyFill="1" applyBorder="1" applyAlignment="1" applyProtection="1">
      <alignment horizontal="left" vertical="top" indent="1"/>
    </xf>
    <xf numFmtId="0" fontId="94" fillId="7" borderId="336" xfId="1" applyFont="1" applyFill="1" applyBorder="1" applyAlignment="1" applyProtection="1">
      <alignment horizontal="left" vertical="top" wrapText="1" indent="1"/>
      <protection locked="0"/>
    </xf>
    <xf numFmtId="0" fontId="94" fillId="7" borderId="157" xfId="1" applyFont="1" applyFill="1" applyBorder="1" applyAlignment="1" applyProtection="1">
      <alignment horizontal="left" vertical="top" wrapText="1" indent="1"/>
      <protection locked="0"/>
    </xf>
    <xf numFmtId="0" fontId="94" fillId="7" borderId="337" xfId="1" applyFont="1" applyFill="1" applyBorder="1" applyAlignment="1" applyProtection="1">
      <alignment horizontal="left" vertical="top" wrapText="1" indent="1"/>
      <protection locked="0"/>
    </xf>
    <xf numFmtId="0" fontId="94" fillId="7" borderId="334" xfId="1" applyFont="1" applyFill="1" applyBorder="1" applyAlignment="1" applyProtection="1">
      <alignment horizontal="left" vertical="top" wrapText="1" indent="1"/>
      <protection locked="0"/>
    </xf>
    <xf numFmtId="0" fontId="94" fillId="7" borderId="92" xfId="1" applyFont="1" applyFill="1" applyBorder="1" applyAlignment="1" applyProtection="1">
      <alignment horizontal="left" vertical="top" wrapText="1" indent="1"/>
      <protection locked="0"/>
    </xf>
    <xf numFmtId="0" fontId="94" fillId="7" borderId="335" xfId="1" applyFont="1" applyFill="1" applyBorder="1" applyAlignment="1" applyProtection="1">
      <alignment horizontal="left" vertical="top" wrapText="1" indent="1"/>
      <protection locked="0"/>
    </xf>
    <xf numFmtId="0" fontId="14" fillId="0" borderId="151" xfId="0" applyFont="1" applyBorder="1" applyAlignment="1">
      <alignment horizontal="center"/>
    </xf>
    <xf numFmtId="0" fontId="14" fillId="0" borderId="65" xfId="0" applyFont="1" applyBorder="1" applyAlignment="1">
      <alignment horizontal="center"/>
    </xf>
    <xf numFmtId="0" fontId="14" fillId="0" borderId="143" xfId="0" applyFont="1" applyBorder="1" applyAlignment="1">
      <alignment horizontal="center"/>
    </xf>
    <xf numFmtId="0" fontId="14" fillId="0" borderId="281" xfId="1" applyFont="1" applyBorder="1" applyAlignment="1">
      <alignment horizontal="center" wrapText="1"/>
    </xf>
    <xf numFmtId="0" fontId="14" fillId="0" borderId="282" xfId="1" applyFont="1" applyBorder="1" applyAlignment="1">
      <alignment horizontal="center" wrapText="1"/>
    </xf>
    <xf numFmtId="0" fontId="14" fillId="4" borderId="332" xfId="1" applyFont="1" applyFill="1" applyBorder="1" applyAlignment="1" applyProtection="1">
      <alignment horizontal="left" vertical="center" wrapText="1" indent="1"/>
    </xf>
    <xf numFmtId="0" fontId="14" fillId="4" borderId="333" xfId="1" applyFont="1" applyFill="1" applyBorder="1" applyAlignment="1" applyProtection="1">
      <alignment horizontal="left" vertical="center" wrapText="1" indent="1"/>
    </xf>
    <xf numFmtId="0" fontId="14" fillId="4" borderId="316" xfId="1" applyFont="1" applyFill="1" applyBorder="1" applyAlignment="1" applyProtection="1">
      <alignment horizontal="left" vertical="top" wrapText="1" indent="1"/>
    </xf>
    <xf numFmtId="0" fontId="14" fillId="4" borderId="117" xfId="1" applyFont="1" applyFill="1" applyBorder="1" applyAlignment="1" applyProtection="1">
      <alignment horizontal="left" vertical="top" wrapText="1" indent="1"/>
    </xf>
    <xf numFmtId="0" fontId="14" fillId="4" borderId="320" xfId="1" applyFont="1" applyFill="1" applyBorder="1" applyAlignment="1" applyProtection="1">
      <alignment horizontal="left" vertical="top" wrapText="1" indent="1"/>
    </xf>
    <xf numFmtId="0" fontId="14" fillId="4" borderId="157" xfId="1" applyFont="1" applyFill="1" applyBorder="1" applyAlignment="1" applyProtection="1">
      <alignment horizontal="left" vertical="top" wrapText="1" indent="1"/>
    </xf>
    <xf numFmtId="180" fontId="94" fillId="7" borderId="16" xfId="1" applyNumberFormat="1" applyFont="1" applyFill="1" applyBorder="1" applyAlignment="1" applyProtection="1">
      <alignment horizontal="left" vertical="center"/>
      <protection locked="0"/>
    </xf>
    <xf numFmtId="180" fontId="94" fillId="7" borderId="58" xfId="1" applyNumberFormat="1" applyFont="1" applyFill="1" applyBorder="1" applyAlignment="1" applyProtection="1">
      <alignment horizontal="left" vertical="center"/>
      <protection locked="0"/>
    </xf>
    <xf numFmtId="0" fontId="14" fillId="4" borderId="115" xfId="1" applyFont="1" applyFill="1" applyBorder="1" applyAlignment="1" applyProtection="1">
      <alignment horizontal="left" vertical="center" wrapText="1" indent="1"/>
    </xf>
    <xf numFmtId="0" fontId="14" fillId="4" borderId="92" xfId="1" applyFont="1" applyFill="1" applyBorder="1" applyAlignment="1" applyProtection="1">
      <alignment horizontal="left" vertical="center" wrapText="1" indent="1"/>
    </xf>
    <xf numFmtId="0" fontId="94" fillId="7" borderId="0" xfId="1" applyFont="1" applyFill="1" applyBorder="1" applyAlignment="1" applyProtection="1">
      <alignment horizontal="left" vertical="top" wrapText="1"/>
      <protection locked="0"/>
    </xf>
    <xf numFmtId="0" fontId="94" fillId="7" borderId="8" xfId="1" applyFont="1" applyFill="1" applyBorder="1" applyAlignment="1" applyProtection="1">
      <alignment horizontal="left" vertical="top" wrapText="1"/>
      <protection locked="0"/>
    </xf>
    <xf numFmtId="1" fontId="14" fillId="21" borderId="47" xfId="1" applyNumberFormat="1" applyFont="1" applyFill="1" applyBorder="1" applyAlignment="1" applyProtection="1">
      <alignment horizontal="right" vertical="center"/>
      <protection hidden="1"/>
    </xf>
    <xf numFmtId="1" fontId="14" fillId="21" borderId="5" xfId="1" applyNumberFormat="1" applyFont="1" applyFill="1" applyBorder="1" applyAlignment="1" applyProtection="1">
      <alignment horizontal="right" vertical="center"/>
      <protection hidden="1"/>
    </xf>
    <xf numFmtId="1" fontId="94" fillId="7" borderId="140" xfId="1" applyNumberFormat="1" applyFont="1" applyFill="1" applyBorder="1" applyAlignment="1" applyProtection="1">
      <alignment horizontal="right" vertical="center"/>
      <protection locked="0"/>
    </xf>
    <xf numFmtId="1" fontId="94" fillId="7" borderId="139" xfId="1" applyNumberFormat="1" applyFont="1" applyFill="1" applyBorder="1" applyAlignment="1" applyProtection="1">
      <alignment horizontal="right" vertical="center"/>
      <protection locked="0"/>
    </xf>
    <xf numFmtId="180" fontId="94" fillId="7" borderId="0" xfId="1" applyNumberFormat="1" applyFont="1" applyFill="1" applyBorder="1" applyAlignment="1" applyProtection="1">
      <alignment horizontal="center" vertical="center"/>
      <protection locked="0"/>
    </xf>
    <xf numFmtId="180" fontId="94" fillId="7" borderId="57" xfId="1" applyNumberFormat="1" applyFont="1" applyFill="1" applyBorder="1" applyAlignment="1" applyProtection="1">
      <alignment horizontal="center" vertical="center"/>
      <protection locked="0"/>
    </xf>
    <xf numFmtId="180" fontId="94" fillId="7" borderId="47" xfId="1" applyNumberFormat="1" applyFont="1" applyFill="1" applyBorder="1" applyAlignment="1" applyProtection="1">
      <alignment horizontal="center" vertical="center"/>
      <protection locked="0"/>
    </xf>
    <xf numFmtId="180" fontId="94" fillId="7" borderId="140" xfId="1" applyNumberFormat="1" applyFont="1" applyFill="1" applyBorder="1" applyAlignment="1" applyProtection="1">
      <alignment horizontal="center" vertical="center"/>
      <protection locked="0"/>
    </xf>
    <xf numFmtId="180" fontId="94" fillId="7" borderId="6" xfId="1" applyNumberFormat="1" applyFont="1" applyFill="1" applyBorder="1" applyAlignment="1" applyProtection="1">
      <alignment horizontal="center" vertical="center"/>
      <protection locked="0"/>
    </xf>
    <xf numFmtId="180" fontId="94" fillId="7" borderId="9" xfId="1" applyNumberFormat="1" applyFont="1" applyFill="1" applyBorder="1" applyAlignment="1" applyProtection="1">
      <alignment horizontal="center" vertical="center"/>
      <protection locked="0"/>
    </xf>
    <xf numFmtId="180" fontId="94" fillId="7" borderId="141" xfId="1" applyNumberFormat="1" applyFont="1" applyFill="1" applyBorder="1" applyAlignment="1" applyProtection="1">
      <alignment horizontal="center" vertical="center"/>
      <protection locked="0"/>
    </xf>
    <xf numFmtId="180" fontId="94" fillId="7" borderId="4" xfId="1" applyNumberFormat="1" applyFont="1" applyFill="1" applyBorder="1" applyAlignment="1" applyProtection="1">
      <alignment horizontal="center" vertical="center"/>
      <protection locked="0"/>
    </xf>
    <xf numFmtId="180" fontId="94" fillId="7" borderId="139" xfId="1" applyNumberFormat="1" applyFont="1" applyFill="1" applyBorder="1" applyAlignment="1" applyProtection="1">
      <alignment horizontal="center" vertical="center"/>
      <protection locked="0"/>
    </xf>
    <xf numFmtId="0" fontId="14" fillId="0" borderId="65" xfId="1" applyFont="1" applyFill="1" applyBorder="1" applyAlignment="1" applyProtection="1">
      <alignment horizontal="left" vertical="top"/>
      <protection hidden="1"/>
    </xf>
    <xf numFmtId="0" fontId="14" fillId="0" borderId="73" xfId="1" applyFont="1" applyFill="1" applyBorder="1" applyAlignment="1" applyProtection="1">
      <alignment horizontal="left" vertical="center" wrapText="1"/>
      <protection hidden="1"/>
    </xf>
    <xf numFmtId="0" fontId="14" fillId="0" borderId="4" xfId="1" applyFont="1" applyFill="1" applyBorder="1" applyAlignment="1" applyProtection="1">
      <alignment horizontal="left" vertical="center" wrapText="1"/>
      <protection hidden="1"/>
    </xf>
    <xf numFmtId="180" fontId="94" fillId="7" borderId="5" xfId="1" applyNumberFormat="1" applyFont="1" applyFill="1" applyBorder="1" applyAlignment="1" applyProtection="1">
      <alignment horizontal="center" vertical="center"/>
      <protection locked="0"/>
    </xf>
    <xf numFmtId="1" fontId="94" fillId="0" borderId="140" xfId="1" applyNumberFormat="1" applyFont="1" applyFill="1" applyBorder="1" applyAlignment="1" applyProtection="1">
      <alignment horizontal="right" vertical="center"/>
      <protection hidden="1"/>
    </xf>
    <xf numFmtId="1" fontId="94" fillId="0" borderId="139" xfId="1" applyNumberFormat="1" applyFont="1" applyFill="1" applyBorder="1" applyAlignment="1" applyProtection="1">
      <alignment horizontal="right" vertical="center"/>
      <protection hidden="1"/>
    </xf>
    <xf numFmtId="1" fontId="14" fillId="0" borderId="47" xfId="1" applyNumberFormat="1" applyFont="1" applyFill="1" applyBorder="1" applyAlignment="1" applyProtection="1">
      <alignment horizontal="right" vertical="center"/>
      <protection hidden="1"/>
    </xf>
    <xf numFmtId="1" fontId="14" fillId="0" borderId="5" xfId="1" applyNumberFormat="1" applyFont="1" applyFill="1" applyBorder="1" applyAlignment="1" applyProtection="1">
      <alignment horizontal="right" vertical="center"/>
      <protection hidden="1"/>
    </xf>
    <xf numFmtId="0" fontId="94" fillId="7" borderId="73" xfId="1" applyFont="1" applyFill="1" applyBorder="1" applyAlignment="1" applyProtection="1">
      <alignment horizontal="left" vertical="top" wrapText="1"/>
      <protection locked="0"/>
    </xf>
    <xf numFmtId="0" fontId="94" fillId="7" borderId="4" xfId="1" applyFont="1" applyFill="1" applyBorder="1" applyAlignment="1" applyProtection="1">
      <alignment horizontal="left" vertical="top" wrapText="1"/>
      <protection locked="0"/>
    </xf>
    <xf numFmtId="0" fontId="14" fillId="0" borderId="281" xfId="1" applyFont="1" applyFill="1" applyBorder="1" applyAlignment="1" applyProtection="1">
      <alignment horizontal="center" vertical="top" wrapText="1"/>
      <protection hidden="1"/>
    </xf>
    <xf numFmtId="0" fontId="14" fillId="0" borderId="282" xfId="1" applyFont="1" applyFill="1" applyBorder="1" applyAlignment="1" applyProtection="1">
      <alignment horizontal="center" vertical="top" wrapText="1"/>
      <protection hidden="1"/>
    </xf>
    <xf numFmtId="0" fontId="14" fillId="0" borderId="51" xfId="1" applyFont="1" applyFill="1" applyBorder="1" applyAlignment="1" applyProtection="1">
      <alignment horizontal="center" vertical="top" wrapText="1"/>
      <protection hidden="1"/>
    </xf>
    <xf numFmtId="0" fontId="14" fillId="0" borderId="305" xfId="1" applyFont="1" applyFill="1" applyBorder="1" applyAlignment="1" applyProtection="1">
      <alignment horizontal="center" vertical="top" wrapText="1"/>
      <protection hidden="1"/>
    </xf>
    <xf numFmtId="180" fontId="94" fillId="7" borderId="148" xfId="1" applyNumberFormat="1" applyFont="1" applyFill="1" applyBorder="1" applyAlignment="1" applyProtection="1">
      <alignment horizontal="center" vertical="center"/>
      <protection locked="0"/>
    </xf>
    <xf numFmtId="180" fontId="94" fillId="7" borderId="146" xfId="1" applyNumberFormat="1" applyFont="1" applyFill="1" applyBorder="1" applyAlignment="1" applyProtection="1">
      <alignment horizontal="center" vertical="center"/>
      <protection locked="0"/>
    </xf>
    <xf numFmtId="180" fontId="94" fillId="7" borderId="147" xfId="1" applyNumberFormat="1" applyFont="1" applyFill="1" applyBorder="1" applyAlignment="1" applyProtection="1">
      <alignment horizontal="center" vertical="center"/>
      <protection locked="0"/>
    </xf>
    <xf numFmtId="0" fontId="14" fillId="0" borderId="283" xfId="1" applyFont="1" applyFill="1" applyBorder="1" applyAlignment="1" applyProtection="1">
      <alignment horizontal="center"/>
      <protection hidden="1"/>
    </xf>
    <xf numFmtId="0" fontId="14" fillId="0" borderId="154" xfId="1" applyFont="1" applyFill="1" applyBorder="1" applyAlignment="1" applyProtection="1">
      <alignment horizontal="center"/>
      <protection hidden="1"/>
    </xf>
    <xf numFmtId="180" fontId="14" fillId="21" borderId="145" xfId="1" applyNumberFormat="1" applyFont="1" applyFill="1" applyBorder="1" applyAlignment="1" applyProtection="1">
      <alignment horizontal="center" vertical="center"/>
      <protection hidden="1"/>
    </xf>
    <xf numFmtId="180" fontId="14" fillId="21" borderId="146" xfId="1" applyNumberFormat="1" applyFont="1" applyFill="1" applyBorder="1" applyAlignment="1" applyProtection="1">
      <alignment horizontal="center" vertical="center"/>
      <protection hidden="1"/>
    </xf>
    <xf numFmtId="180" fontId="14" fillId="21" borderId="147" xfId="1" applyNumberFormat="1" applyFont="1" applyFill="1" applyBorder="1" applyAlignment="1" applyProtection="1">
      <alignment horizontal="center" vertical="center"/>
      <protection hidden="1"/>
    </xf>
    <xf numFmtId="180" fontId="94" fillId="7" borderId="62" xfId="1" applyNumberFormat="1" applyFont="1" applyFill="1" applyBorder="1" applyAlignment="1" applyProtection="1">
      <alignment horizontal="center" vertical="center"/>
      <protection locked="0"/>
    </xf>
    <xf numFmtId="180" fontId="94" fillId="7" borderId="75" xfId="1" applyNumberFormat="1" applyFont="1" applyFill="1" applyBorder="1" applyAlignment="1" applyProtection="1">
      <alignment horizontal="center" vertical="center"/>
      <protection locked="0"/>
    </xf>
    <xf numFmtId="180" fontId="94" fillId="7" borderId="125" xfId="1" applyNumberFormat="1" applyFont="1" applyFill="1" applyBorder="1" applyAlignment="1" applyProtection="1">
      <alignment horizontal="center" vertical="center"/>
      <protection locked="0"/>
    </xf>
    <xf numFmtId="180" fontId="14" fillId="21" borderId="148" xfId="1" applyNumberFormat="1" applyFont="1" applyFill="1" applyBorder="1" applyAlignment="1" applyProtection="1">
      <alignment horizontal="center" vertical="center"/>
      <protection hidden="1"/>
    </xf>
    <xf numFmtId="180" fontId="14" fillId="0" borderId="148" xfId="1" applyNumberFormat="1" applyFont="1" applyFill="1" applyBorder="1" applyAlignment="1" applyProtection="1">
      <alignment horizontal="right" vertical="center" indent="1"/>
      <protection hidden="1"/>
    </xf>
    <xf numFmtId="180" fontId="14" fillId="0" borderId="140" xfId="1" applyNumberFormat="1" applyFont="1" applyFill="1" applyBorder="1" applyAlignment="1" applyProtection="1">
      <alignment horizontal="right" vertical="center" indent="1"/>
      <protection hidden="1"/>
    </xf>
    <xf numFmtId="180" fontId="14" fillId="23" borderId="148" xfId="1" applyNumberFormat="1" applyFont="1" applyFill="1" applyBorder="1" applyAlignment="1" applyProtection="1">
      <alignment horizontal="center" vertical="center"/>
      <protection hidden="1"/>
    </xf>
    <xf numFmtId="180" fontId="14" fillId="23" borderId="140" xfId="1" applyNumberFormat="1" applyFont="1" applyFill="1" applyBorder="1" applyAlignment="1" applyProtection="1">
      <alignment horizontal="center" vertical="center"/>
      <protection hidden="1"/>
    </xf>
    <xf numFmtId="180" fontId="14" fillId="23" borderId="147" xfId="1" applyNumberFormat="1" applyFont="1" applyFill="1" applyBorder="1" applyAlignment="1" applyProtection="1">
      <alignment horizontal="center" vertical="center"/>
      <protection hidden="1"/>
    </xf>
    <xf numFmtId="180" fontId="14" fillId="23" borderId="139" xfId="1" applyNumberFormat="1" applyFont="1" applyFill="1" applyBorder="1" applyAlignment="1" applyProtection="1">
      <alignment horizontal="center" vertical="center"/>
      <protection hidden="1"/>
    </xf>
    <xf numFmtId="180" fontId="14" fillId="0" borderId="148" xfId="1" applyNumberFormat="1" applyFont="1" applyFill="1" applyBorder="1" applyAlignment="1" applyProtection="1">
      <alignment horizontal="center" vertical="center"/>
      <protection hidden="1"/>
    </xf>
    <xf numFmtId="180" fontId="14" fillId="0" borderId="140" xfId="1" applyNumberFormat="1" applyFont="1" applyFill="1" applyBorder="1" applyAlignment="1" applyProtection="1">
      <alignment horizontal="center" vertical="center"/>
      <protection hidden="1"/>
    </xf>
    <xf numFmtId="180" fontId="14" fillId="0" borderId="147" xfId="1" applyNumberFormat="1" applyFont="1" applyFill="1" applyBorder="1" applyAlignment="1" applyProtection="1">
      <alignment horizontal="center" vertical="center"/>
      <protection hidden="1"/>
    </xf>
    <xf numFmtId="180" fontId="14" fillId="0" borderId="139" xfId="1" applyNumberFormat="1" applyFont="1" applyFill="1" applyBorder="1" applyAlignment="1" applyProtection="1">
      <alignment horizontal="center" vertical="center"/>
      <protection hidden="1"/>
    </xf>
    <xf numFmtId="180" fontId="14" fillId="0" borderId="146" xfId="1" applyNumberFormat="1" applyFont="1" applyFill="1" applyBorder="1" applyAlignment="1" applyProtection="1">
      <alignment horizontal="right" vertical="center" indent="1"/>
      <protection hidden="1"/>
    </xf>
    <xf numFmtId="180" fontId="14" fillId="0" borderId="57" xfId="1" applyNumberFormat="1" applyFont="1" applyFill="1" applyBorder="1" applyAlignment="1" applyProtection="1">
      <alignment horizontal="right" vertical="center" indent="1"/>
      <protection hidden="1"/>
    </xf>
    <xf numFmtId="180" fontId="14" fillId="0" borderId="145" xfId="1" applyNumberFormat="1" applyFont="1" applyFill="1" applyBorder="1" applyAlignment="1" applyProtection="1">
      <alignment horizontal="right" vertical="center" indent="1"/>
      <protection hidden="1"/>
    </xf>
    <xf numFmtId="180" fontId="14" fillId="0" borderId="138" xfId="1" applyNumberFormat="1" applyFont="1" applyFill="1" applyBorder="1" applyAlignment="1" applyProtection="1">
      <alignment horizontal="right" vertical="center" indent="1"/>
      <protection hidden="1"/>
    </xf>
    <xf numFmtId="180" fontId="94" fillId="7" borderId="134" xfId="1" applyNumberFormat="1" applyFont="1" applyFill="1" applyBorder="1" applyAlignment="1" applyProtection="1">
      <alignment horizontal="center" vertical="center"/>
      <protection locked="0"/>
    </xf>
    <xf numFmtId="180" fontId="14" fillId="0" borderId="147" xfId="1" applyNumberFormat="1" applyFont="1" applyFill="1" applyBorder="1" applyAlignment="1" applyProtection="1">
      <alignment horizontal="right" vertical="center" indent="1"/>
      <protection hidden="1"/>
    </xf>
    <xf numFmtId="180" fontId="14" fillId="0" borderId="139" xfId="1" applyNumberFormat="1" applyFont="1" applyFill="1" applyBorder="1" applyAlignment="1" applyProtection="1">
      <alignment horizontal="right" vertical="center" indent="1"/>
      <protection hidden="1"/>
    </xf>
    <xf numFmtId="0" fontId="74" fillId="22" borderId="63" xfId="1" applyFont="1" applyFill="1" applyBorder="1" applyAlignment="1" applyProtection="1">
      <alignment horizontal="center" vertical="center"/>
      <protection hidden="1"/>
    </xf>
    <xf numFmtId="0" fontId="74" fillId="22" borderId="64" xfId="1" applyFont="1" applyFill="1" applyBorder="1" applyAlignment="1" applyProtection="1">
      <alignment horizontal="center" vertical="center"/>
      <protection hidden="1"/>
    </xf>
    <xf numFmtId="0" fontId="74" fillId="22" borderId="133" xfId="1" applyFont="1" applyFill="1" applyBorder="1" applyAlignment="1" applyProtection="1">
      <alignment horizontal="center" vertical="center"/>
      <protection hidden="1"/>
    </xf>
    <xf numFmtId="180" fontId="14" fillId="21" borderId="94" xfId="1" applyNumberFormat="1" applyFont="1" applyFill="1" applyBorder="1" applyAlignment="1" applyProtection="1">
      <alignment horizontal="right" vertical="center" indent="1"/>
      <protection hidden="1"/>
    </xf>
    <xf numFmtId="175" fontId="14" fillId="21" borderId="145" xfId="1" applyNumberFormat="1" applyFont="1" applyFill="1" applyBorder="1" applyAlignment="1" applyProtection="1">
      <alignment horizontal="right" vertical="center" indent="1"/>
      <protection hidden="1"/>
    </xf>
    <xf numFmtId="175" fontId="14" fillId="21" borderId="138" xfId="1" applyNumberFormat="1" applyFont="1" applyFill="1" applyBorder="1" applyAlignment="1" applyProtection="1">
      <alignment horizontal="right" vertical="center" indent="1"/>
      <protection hidden="1"/>
    </xf>
    <xf numFmtId="175" fontId="14" fillId="21" borderId="146" xfId="1" applyNumberFormat="1" applyFont="1" applyFill="1" applyBorder="1" applyAlignment="1" applyProtection="1">
      <alignment horizontal="right" vertical="center" indent="1"/>
      <protection hidden="1"/>
    </xf>
    <xf numFmtId="175" fontId="14" fillId="21" borderId="57" xfId="1" applyNumberFormat="1" applyFont="1" applyFill="1" applyBorder="1" applyAlignment="1" applyProtection="1">
      <alignment horizontal="right" vertical="center" indent="1"/>
      <protection hidden="1"/>
    </xf>
    <xf numFmtId="175" fontId="14" fillId="21" borderId="147" xfId="1" applyNumberFormat="1" applyFont="1" applyFill="1" applyBorder="1" applyAlignment="1" applyProtection="1">
      <alignment horizontal="right" vertical="center" indent="1"/>
      <protection hidden="1"/>
    </xf>
    <xf numFmtId="175" fontId="14" fillId="21" borderId="139" xfId="1" applyNumberFormat="1" applyFont="1" applyFill="1" applyBorder="1" applyAlignment="1" applyProtection="1">
      <alignment horizontal="right" vertical="center" indent="1"/>
      <protection hidden="1"/>
    </xf>
    <xf numFmtId="0" fontId="14" fillId="0" borderId="46" xfId="1" applyFont="1" applyFill="1" applyBorder="1" applyAlignment="1" applyProtection="1">
      <alignment horizontal="center"/>
      <protection hidden="1"/>
    </xf>
    <xf numFmtId="177" fontId="14" fillId="21" borderId="94" xfId="1" applyNumberFormat="1" applyFont="1" applyFill="1" applyBorder="1" applyAlignment="1" applyProtection="1">
      <alignment horizontal="right" vertical="center" indent="1"/>
      <protection hidden="1"/>
    </xf>
    <xf numFmtId="0" fontId="14" fillId="0" borderId="280" xfId="1" applyFont="1" applyFill="1" applyBorder="1" applyAlignment="1" applyProtection="1">
      <alignment horizontal="center" vertical="top" wrapText="1"/>
      <protection hidden="1"/>
    </xf>
    <xf numFmtId="0" fontId="14" fillId="0" borderId="304" xfId="1" applyFont="1" applyFill="1" applyBorder="1" applyAlignment="1" applyProtection="1">
      <alignment horizontal="center" vertical="top" wrapText="1"/>
      <protection hidden="1"/>
    </xf>
    <xf numFmtId="177" fontId="14" fillId="21" borderId="93" xfId="1" applyNumberFormat="1" applyFont="1" applyFill="1" applyBorder="1" applyAlignment="1" applyProtection="1">
      <alignment horizontal="right" vertical="center" indent="1"/>
      <protection hidden="1"/>
    </xf>
    <xf numFmtId="177" fontId="14" fillId="21" borderId="145" xfId="1" applyNumberFormat="1" applyFont="1" applyFill="1" applyBorder="1" applyAlignment="1" applyProtection="1">
      <alignment horizontal="right" vertical="center" indent="1"/>
      <protection hidden="1"/>
    </xf>
    <xf numFmtId="177" fontId="14" fillId="21" borderId="138" xfId="1" applyNumberFormat="1" applyFont="1" applyFill="1" applyBorder="1" applyAlignment="1" applyProtection="1">
      <alignment horizontal="right" vertical="center" indent="1"/>
      <protection hidden="1"/>
    </xf>
    <xf numFmtId="177" fontId="14" fillId="21" borderId="146" xfId="1" applyNumberFormat="1" applyFont="1" applyFill="1" applyBorder="1" applyAlignment="1" applyProtection="1">
      <alignment horizontal="right" vertical="center" indent="1"/>
      <protection hidden="1"/>
    </xf>
    <xf numFmtId="177" fontId="14" fillId="21" borderId="57" xfId="1" applyNumberFormat="1" applyFont="1" applyFill="1" applyBorder="1" applyAlignment="1" applyProtection="1">
      <alignment horizontal="right" vertical="center" indent="1"/>
      <protection hidden="1"/>
    </xf>
    <xf numFmtId="177" fontId="14" fillId="21" borderId="147" xfId="1" applyNumberFormat="1" applyFont="1" applyFill="1" applyBorder="1" applyAlignment="1" applyProtection="1">
      <alignment horizontal="right" vertical="center" indent="1"/>
      <protection hidden="1"/>
    </xf>
    <xf numFmtId="177" fontId="14" fillId="21" borderId="139" xfId="1" applyNumberFormat="1" applyFont="1" applyFill="1" applyBorder="1" applyAlignment="1" applyProtection="1">
      <alignment horizontal="right" vertical="center" indent="1"/>
      <protection hidden="1"/>
    </xf>
    <xf numFmtId="177" fontId="14" fillId="21" borderId="61" xfId="1" applyNumberFormat="1" applyFont="1" applyFill="1" applyBorder="1" applyAlignment="1" applyProtection="1">
      <alignment horizontal="right" vertical="center" indent="1"/>
      <protection hidden="1"/>
    </xf>
    <xf numFmtId="177" fontId="14" fillId="21" borderId="6" xfId="1" applyNumberFormat="1" applyFont="1" applyFill="1" applyBorder="1" applyAlignment="1" applyProtection="1">
      <alignment horizontal="right" vertical="center" indent="1"/>
      <protection hidden="1"/>
    </xf>
    <xf numFmtId="177" fontId="14" fillId="21" borderId="5" xfId="1" applyNumberFormat="1" applyFont="1" applyFill="1" applyBorder="1" applyAlignment="1" applyProtection="1">
      <alignment horizontal="right" vertical="center" indent="1"/>
      <protection hidden="1"/>
    </xf>
    <xf numFmtId="0" fontId="79" fillId="0" borderId="283" xfId="1" applyFont="1" applyFill="1" applyBorder="1" applyAlignment="1" applyProtection="1">
      <alignment horizontal="center"/>
      <protection hidden="1"/>
    </xf>
    <xf numFmtId="175" fontId="14" fillId="21" borderId="94" xfId="1" applyNumberFormat="1" applyFont="1" applyFill="1" applyBorder="1" applyAlignment="1" applyProtection="1">
      <alignment horizontal="right" vertical="center" indent="1"/>
      <protection hidden="1"/>
    </xf>
    <xf numFmtId="180" fontId="14" fillId="21" borderId="151" xfId="1" applyNumberFormat="1" applyFont="1" applyFill="1" applyBorder="1" applyAlignment="1" applyProtection="1">
      <alignment horizontal="right" vertical="center" indent="1"/>
      <protection hidden="1"/>
    </xf>
    <xf numFmtId="180" fontId="88" fillId="0" borderId="259" xfId="1" applyNumberFormat="1" applyFont="1" applyFill="1" applyBorder="1" applyAlignment="1" applyProtection="1">
      <alignment horizontal="center" vertical="center"/>
      <protection hidden="1"/>
    </xf>
    <xf numFmtId="180" fontId="88" fillId="0" borderId="257" xfId="1" applyNumberFormat="1" applyFont="1" applyFill="1" applyBorder="1" applyAlignment="1" applyProtection="1">
      <alignment horizontal="center" vertical="center"/>
      <protection hidden="1"/>
    </xf>
    <xf numFmtId="180" fontId="88" fillId="0" borderId="260" xfId="1" applyNumberFormat="1" applyFont="1" applyFill="1" applyBorder="1" applyAlignment="1" applyProtection="1">
      <alignment horizontal="center" vertical="center"/>
      <protection hidden="1"/>
    </xf>
    <xf numFmtId="180" fontId="88" fillId="0" borderId="261" xfId="1" applyNumberFormat="1" applyFont="1" applyFill="1" applyBorder="1" applyAlignment="1" applyProtection="1">
      <alignment horizontal="center" vertical="center"/>
      <protection hidden="1"/>
    </xf>
    <xf numFmtId="180" fontId="88" fillId="0" borderId="269" xfId="1" applyNumberFormat="1" applyFont="1" applyFill="1" applyBorder="1" applyAlignment="1" applyProtection="1">
      <alignment horizontal="center" vertical="center"/>
      <protection hidden="1"/>
    </xf>
    <xf numFmtId="177" fontId="94" fillId="7" borderId="52" xfId="1" applyNumberFormat="1" applyFont="1" applyFill="1" applyBorder="1" applyAlignment="1" applyProtection="1">
      <alignment horizontal="right" vertical="center" indent="1"/>
      <protection locked="0"/>
    </xf>
    <xf numFmtId="177" fontId="94" fillId="7" borderId="94" xfId="1" applyNumberFormat="1" applyFont="1" applyFill="1" applyBorder="1" applyAlignment="1" applyProtection="1">
      <alignment horizontal="right" vertical="center" indent="1"/>
      <protection locked="0"/>
    </xf>
    <xf numFmtId="175" fontId="94" fillId="7" borderId="52" xfId="1" applyNumberFormat="1" applyFont="1" applyFill="1" applyBorder="1" applyAlignment="1" applyProtection="1">
      <alignment horizontal="right" vertical="center" indent="1"/>
      <protection locked="0"/>
    </xf>
    <xf numFmtId="175" fontId="94" fillId="7" borderId="94" xfId="1" applyNumberFormat="1" applyFont="1" applyFill="1" applyBorder="1" applyAlignment="1" applyProtection="1">
      <alignment horizontal="right" vertical="center" indent="1"/>
      <protection locked="0"/>
    </xf>
    <xf numFmtId="180" fontId="94" fillId="7" borderId="52" xfId="1" applyNumberFormat="1" applyFont="1" applyFill="1" applyBorder="1" applyAlignment="1" applyProtection="1">
      <alignment horizontal="right" vertical="center" indent="1"/>
      <protection locked="0"/>
    </xf>
    <xf numFmtId="180" fontId="94" fillId="7" borderId="147" xfId="1" applyNumberFormat="1" applyFont="1" applyFill="1" applyBorder="1" applyAlignment="1" applyProtection="1">
      <alignment horizontal="right" vertical="center" indent="1"/>
      <protection locked="0"/>
    </xf>
    <xf numFmtId="180" fontId="94" fillId="7" borderId="94" xfId="1" applyNumberFormat="1" applyFont="1" applyFill="1" applyBorder="1" applyAlignment="1" applyProtection="1">
      <alignment horizontal="right" vertical="center" indent="1"/>
      <protection locked="0"/>
    </xf>
    <xf numFmtId="180" fontId="94" fillId="7" borderId="151" xfId="1" applyNumberFormat="1" applyFont="1" applyFill="1" applyBorder="1" applyAlignment="1" applyProtection="1">
      <alignment horizontal="right" vertical="center" indent="1"/>
      <protection locked="0"/>
    </xf>
    <xf numFmtId="180" fontId="14" fillId="21" borderId="62" xfId="1" applyNumberFormat="1" applyFont="1" applyFill="1" applyBorder="1" applyAlignment="1" applyProtection="1">
      <alignment horizontal="center" vertical="center"/>
      <protection hidden="1"/>
    </xf>
    <xf numFmtId="180" fontId="14" fillId="21" borderId="75" xfId="1" applyNumberFormat="1" applyFont="1" applyFill="1" applyBorder="1" applyAlignment="1" applyProtection="1">
      <alignment horizontal="center" vertical="center"/>
      <protection hidden="1"/>
    </xf>
    <xf numFmtId="180" fontId="14" fillId="21" borderId="149" xfId="1" applyNumberFormat="1" applyFont="1" applyFill="1" applyBorder="1" applyAlignment="1" applyProtection="1">
      <alignment horizontal="center" vertical="center"/>
      <protection hidden="1"/>
    </xf>
    <xf numFmtId="180" fontId="14" fillId="21" borderId="45" xfId="1" applyNumberFormat="1" applyFont="1" applyFill="1" applyBorder="1" applyAlignment="1" applyProtection="1">
      <alignment horizontal="center" vertical="center"/>
      <protection hidden="1"/>
    </xf>
    <xf numFmtId="177" fontId="94" fillId="7" borderId="56" xfId="1" applyNumberFormat="1" applyFont="1" applyFill="1" applyBorder="1" applyAlignment="1" applyProtection="1">
      <alignment horizontal="right" vertical="center" indent="1"/>
      <protection locked="0"/>
    </xf>
    <xf numFmtId="177" fontId="94" fillId="7" borderId="93" xfId="1" applyNumberFormat="1" applyFont="1" applyFill="1" applyBorder="1" applyAlignment="1" applyProtection="1">
      <alignment horizontal="right" vertical="center" indent="1"/>
      <protection locked="0"/>
    </xf>
    <xf numFmtId="180" fontId="14" fillId="21" borderId="145" xfId="1" applyNumberFormat="1" applyFont="1" applyFill="1" applyBorder="1" applyAlignment="1" applyProtection="1">
      <alignment horizontal="right" vertical="center" indent="1"/>
      <protection hidden="1"/>
    </xf>
    <xf numFmtId="0" fontId="12" fillId="0" borderId="138" xfId="0" applyFont="1" applyBorder="1" applyAlignment="1">
      <alignment horizontal="right" indent="1"/>
    </xf>
    <xf numFmtId="0" fontId="12" fillId="0" borderId="146" xfId="0" applyFont="1" applyBorder="1" applyAlignment="1">
      <alignment horizontal="right" indent="1"/>
    </xf>
    <xf numFmtId="0" fontId="12" fillId="0" borderId="57" xfId="0" applyFont="1" applyBorder="1" applyAlignment="1">
      <alignment horizontal="right" indent="1"/>
    </xf>
    <xf numFmtId="0" fontId="12" fillId="0" borderId="147" xfId="0" applyFont="1" applyBorder="1" applyAlignment="1">
      <alignment horizontal="right" indent="1"/>
    </xf>
    <xf numFmtId="0" fontId="12" fillId="0" borderId="139" xfId="0" applyFont="1" applyBorder="1" applyAlignment="1">
      <alignment horizontal="right" indent="1"/>
    </xf>
    <xf numFmtId="180" fontId="14" fillId="7" borderId="152" xfId="1" applyNumberFormat="1" applyFont="1" applyFill="1" applyBorder="1" applyAlignment="1" applyProtection="1">
      <alignment horizontal="center" vertical="center"/>
      <protection locked="0"/>
    </xf>
    <xf numFmtId="180" fontId="14" fillId="7" borderId="144" xfId="1" applyNumberFormat="1" applyFont="1" applyFill="1" applyBorder="1" applyAlignment="1" applyProtection="1">
      <alignment horizontal="center" vertical="center"/>
      <protection locked="0"/>
    </xf>
    <xf numFmtId="180" fontId="14" fillId="23" borderId="151" xfId="1" applyNumberFormat="1" applyFont="1" applyFill="1" applyBorder="1" applyAlignment="1" applyProtection="1">
      <alignment horizontal="center" vertical="center"/>
      <protection hidden="1"/>
    </xf>
    <xf numFmtId="180" fontId="14" fillId="23" borderId="143" xfId="1" applyNumberFormat="1" applyFont="1" applyFill="1" applyBorder="1" applyAlignment="1" applyProtection="1">
      <alignment horizontal="center" vertical="center"/>
      <protection hidden="1"/>
    </xf>
    <xf numFmtId="180" fontId="88" fillId="0" borderId="189" xfId="1" applyNumberFormat="1" applyFont="1" applyFill="1" applyBorder="1" applyAlignment="1" applyProtection="1">
      <alignment horizontal="center" vertical="center"/>
      <protection hidden="1"/>
    </xf>
    <xf numFmtId="0" fontId="88" fillId="0" borderId="189" xfId="1" applyFont="1" applyFill="1" applyBorder="1" applyAlignment="1" applyProtection="1">
      <alignment horizontal="center" vertical="center"/>
      <protection hidden="1"/>
    </xf>
    <xf numFmtId="180" fontId="88" fillId="0" borderId="160" xfId="1" applyNumberFormat="1" applyFont="1" applyFill="1" applyBorder="1" applyAlignment="1" applyProtection="1">
      <alignment horizontal="center" vertical="center"/>
      <protection hidden="1"/>
    </xf>
    <xf numFmtId="0" fontId="88" fillId="0" borderId="160" xfId="1" applyFont="1" applyFill="1" applyBorder="1" applyAlignment="1" applyProtection="1">
      <alignment horizontal="center" vertical="center"/>
      <protection hidden="1"/>
    </xf>
    <xf numFmtId="180" fontId="14" fillId="23" borderId="150" xfId="1" applyNumberFormat="1" applyFont="1" applyFill="1" applyBorder="1" applyAlignment="1" applyProtection="1">
      <alignment horizontal="center" vertical="center"/>
      <protection hidden="1"/>
    </xf>
    <xf numFmtId="180" fontId="14" fillId="23" borderId="142" xfId="1" applyNumberFormat="1" applyFont="1" applyFill="1" applyBorder="1" applyAlignment="1" applyProtection="1">
      <alignment horizontal="center" vertical="center"/>
      <protection hidden="1"/>
    </xf>
    <xf numFmtId="180" fontId="14" fillId="0" borderId="149" xfId="1" applyNumberFormat="1" applyFont="1" applyFill="1" applyBorder="1" applyAlignment="1" applyProtection="1">
      <alignment horizontal="right" vertical="center" indent="1"/>
      <protection hidden="1"/>
    </xf>
    <xf numFmtId="180" fontId="14" fillId="0" borderId="141" xfId="1" applyNumberFormat="1" applyFont="1" applyFill="1" applyBorder="1" applyAlignment="1" applyProtection="1">
      <alignment horizontal="right" vertical="center" indent="1"/>
      <protection hidden="1"/>
    </xf>
    <xf numFmtId="177" fontId="14" fillId="21" borderId="174" xfId="1" applyNumberFormat="1" applyFont="1" applyFill="1" applyBorder="1" applyAlignment="1" applyProtection="1">
      <alignment horizontal="right" vertical="center" indent="1"/>
      <protection hidden="1"/>
    </xf>
    <xf numFmtId="177" fontId="14" fillId="21" borderId="50" xfId="1" applyNumberFormat="1" applyFont="1" applyFill="1" applyBorder="1" applyAlignment="1" applyProtection="1">
      <alignment horizontal="right" vertical="center" indent="1"/>
      <protection hidden="1"/>
    </xf>
    <xf numFmtId="177" fontId="94" fillId="7" borderId="97" xfId="1" applyNumberFormat="1" applyFont="1" applyFill="1" applyBorder="1" applyAlignment="1" applyProtection="1">
      <alignment horizontal="right" vertical="center" indent="1"/>
      <protection locked="0"/>
    </xf>
    <xf numFmtId="3" fontId="14" fillId="21" borderId="151" xfId="0" applyNumberFormat="1" applyFont="1" applyFill="1" applyBorder="1" applyAlignment="1">
      <alignment horizontal="right" vertical="center" indent="2"/>
    </xf>
    <xf numFmtId="3" fontId="14" fillId="21" borderId="65" xfId="0" applyNumberFormat="1" applyFont="1" applyFill="1" applyBorder="1" applyAlignment="1">
      <alignment horizontal="right" vertical="center" indent="2"/>
    </xf>
    <xf numFmtId="3" fontId="14" fillId="21" borderId="124" xfId="0" applyNumberFormat="1" applyFont="1" applyFill="1" applyBorder="1" applyAlignment="1">
      <alignment horizontal="right" vertical="center" indent="2"/>
    </xf>
    <xf numFmtId="0" fontId="14" fillId="0" borderId="149" xfId="0" applyFont="1" applyBorder="1" applyAlignment="1">
      <alignment horizontal="center" vertical="center"/>
    </xf>
    <xf numFmtId="0" fontId="14" fillId="0" borderId="8" xfId="0" applyFont="1" applyBorder="1" applyAlignment="1">
      <alignment horizontal="center" vertical="center"/>
    </xf>
    <xf numFmtId="0" fontId="14" fillId="0" borderId="45" xfId="0" applyFont="1" applyBorder="1" applyAlignment="1">
      <alignment horizontal="center" vertical="center"/>
    </xf>
    <xf numFmtId="0" fontId="94" fillId="7" borderId="92" xfId="4" applyFont="1" applyFill="1" applyBorder="1" applyAlignment="1" applyProtection="1">
      <alignment horizontal="left" vertical="top" wrapText="1" indent="1"/>
      <protection locked="0"/>
    </xf>
    <xf numFmtId="0" fontId="94" fillId="7" borderId="116" xfId="4" applyFont="1" applyFill="1" applyBorder="1" applyAlignment="1" applyProtection="1">
      <alignment horizontal="left" vertical="top" wrapText="1" indent="1"/>
      <protection locked="0"/>
    </xf>
    <xf numFmtId="180" fontId="94" fillId="7" borderId="149" xfId="1" applyNumberFormat="1" applyFont="1" applyFill="1" applyBorder="1" applyAlignment="1" applyProtection="1">
      <alignment horizontal="center" vertical="center"/>
      <protection locked="0"/>
    </xf>
    <xf numFmtId="0" fontId="14" fillId="4" borderId="328" xfId="1" applyFont="1" applyFill="1" applyBorder="1" applyAlignment="1" applyProtection="1">
      <alignment horizontal="left" vertical="center" wrapText="1" indent="1"/>
    </xf>
    <xf numFmtId="0" fontId="122" fillId="4" borderId="117" xfId="4" applyFont="1" applyFill="1" applyBorder="1" applyAlignment="1" applyProtection="1">
      <alignment horizontal="left" vertical="center" wrapText="1"/>
      <protection locked="0" hidden="1"/>
    </xf>
    <xf numFmtId="0" fontId="122" fillId="4" borderId="329" xfId="4" applyFont="1" applyFill="1" applyBorder="1" applyAlignment="1" applyProtection="1">
      <alignment horizontal="left" vertical="center" wrapText="1"/>
      <protection locked="0" hidden="1"/>
    </xf>
    <xf numFmtId="180" fontId="14" fillId="0" borderId="151" xfId="1" applyNumberFormat="1" applyFont="1" applyFill="1" applyBorder="1" applyAlignment="1" applyProtection="1">
      <alignment horizontal="right" vertical="center" indent="1"/>
      <protection hidden="1"/>
    </xf>
    <xf numFmtId="180" fontId="14" fillId="0" borderId="143" xfId="1" applyNumberFormat="1" applyFont="1" applyFill="1" applyBorder="1" applyAlignment="1" applyProtection="1">
      <alignment horizontal="right" vertical="center" indent="1"/>
      <protection hidden="1"/>
    </xf>
    <xf numFmtId="177" fontId="14" fillId="21" borderId="59" xfId="1" applyNumberFormat="1" applyFont="1" applyFill="1" applyBorder="1" applyAlignment="1" applyProtection="1">
      <alignment horizontal="right" vertical="center" indent="1"/>
      <protection hidden="1"/>
    </xf>
    <xf numFmtId="177" fontId="14" fillId="21" borderId="153" xfId="1" applyNumberFormat="1" applyFont="1" applyFill="1" applyBorder="1" applyAlignment="1" applyProtection="1">
      <alignment horizontal="right" vertical="center" indent="1"/>
      <protection hidden="1"/>
    </xf>
    <xf numFmtId="175" fontId="94" fillId="7" borderId="153" xfId="1" applyNumberFormat="1" applyFont="1" applyFill="1" applyBorder="1" applyAlignment="1" applyProtection="1">
      <alignment horizontal="right" vertical="center" indent="1"/>
      <protection locked="0"/>
    </xf>
    <xf numFmtId="175" fontId="14" fillId="21" borderId="153" xfId="1" applyNumberFormat="1" applyFont="1" applyFill="1" applyBorder="1" applyAlignment="1" applyProtection="1">
      <alignment horizontal="right" vertical="center" indent="1"/>
      <protection hidden="1"/>
    </xf>
    <xf numFmtId="189" fontId="14" fillId="0" borderId="0" xfId="6" applyNumberFormat="1" applyFont="1" applyFill="1" applyAlignment="1" applyProtection="1">
      <alignment vertical="center"/>
      <protection hidden="1"/>
    </xf>
    <xf numFmtId="43" fontId="14" fillId="0" borderId="0" xfId="6" applyFont="1" applyFill="1" applyAlignment="1" applyProtection="1">
      <alignment vertical="center"/>
      <protection hidden="1"/>
    </xf>
    <xf numFmtId="180" fontId="14" fillId="0" borderId="152" xfId="1" applyNumberFormat="1" applyFont="1" applyFill="1" applyBorder="1" applyAlignment="1" applyProtection="1">
      <alignment horizontal="right" vertical="center" indent="1"/>
      <protection hidden="1"/>
    </xf>
    <xf numFmtId="180" fontId="14" fillId="0" borderId="144" xfId="1" applyNumberFormat="1" applyFont="1" applyFill="1" applyBorder="1" applyAlignment="1" applyProtection="1">
      <alignment horizontal="right" vertical="center" indent="1"/>
      <protection hidden="1"/>
    </xf>
    <xf numFmtId="3" fontId="14" fillId="21" borderId="150" xfId="0" applyNumberFormat="1" applyFont="1" applyFill="1" applyBorder="1" applyAlignment="1">
      <alignment horizontal="right" vertical="center" indent="2"/>
    </xf>
    <xf numFmtId="3" fontId="14" fillId="21" borderId="16" xfId="0" applyNumberFormat="1" applyFont="1" applyFill="1" applyBorder="1" applyAlignment="1">
      <alignment horizontal="right" vertical="center" indent="2"/>
    </xf>
    <xf numFmtId="3" fontId="14" fillId="21" borderId="58" xfId="0" applyNumberFormat="1" applyFont="1" applyFill="1" applyBorder="1" applyAlignment="1">
      <alignment horizontal="right" vertical="center" indent="2"/>
    </xf>
    <xf numFmtId="0" fontId="122" fillId="4" borderId="155" xfId="4" applyFont="1" applyFill="1" applyBorder="1" applyAlignment="1" applyProtection="1">
      <alignment vertical="top" wrapText="1"/>
      <protection locked="0" hidden="1"/>
    </xf>
    <xf numFmtId="0" fontId="122" fillId="4" borderId="156" xfId="4" applyFont="1" applyFill="1" applyBorder="1" applyAlignment="1" applyProtection="1">
      <alignment vertical="top" wrapText="1"/>
      <protection locked="0" hidden="1"/>
    </xf>
    <xf numFmtId="0" fontId="122" fillId="4" borderId="157" xfId="4" applyFont="1" applyFill="1" applyBorder="1" applyAlignment="1" applyProtection="1">
      <alignment vertical="top" wrapText="1"/>
      <protection locked="0" hidden="1"/>
    </xf>
    <xf numFmtId="0" fontId="122" fillId="4" borderId="158" xfId="4" applyFont="1" applyFill="1" applyBorder="1" applyAlignment="1" applyProtection="1">
      <alignment vertical="top" wrapText="1"/>
      <protection locked="0" hidden="1"/>
    </xf>
    <xf numFmtId="0" fontId="122" fillId="4" borderId="0" xfId="4" applyFont="1" applyFill="1" applyBorder="1" applyAlignment="1" applyProtection="1">
      <alignment horizontal="left" vertical="center" wrapText="1" indent="1"/>
      <protection locked="0" hidden="1"/>
    </xf>
    <xf numFmtId="0" fontId="122" fillId="4" borderId="119" xfId="4" applyFont="1" applyFill="1" applyBorder="1" applyAlignment="1" applyProtection="1">
      <alignment horizontal="left" vertical="center" wrapText="1" indent="1"/>
      <protection locked="0" hidden="1"/>
    </xf>
    <xf numFmtId="0" fontId="14" fillId="4" borderId="0" xfId="1" applyFont="1" applyFill="1" applyBorder="1" applyAlignment="1" applyProtection="1">
      <alignment horizontal="left" vertical="center" wrapText="1" indent="2"/>
    </xf>
    <xf numFmtId="0" fontId="14" fillId="4" borderId="119" xfId="1" applyFont="1" applyFill="1" applyBorder="1" applyAlignment="1" applyProtection="1">
      <alignment horizontal="left" vertical="center" wrapText="1" indent="2"/>
    </xf>
    <xf numFmtId="207" fontId="14" fillId="4" borderId="0" xfId="1" applyNumberFormat="1" applyFont="1" applyFill="1" applyBorder="1" applyAlignment="1" applyProtection="1">
      <alignment horizontal="right" vertical="center" indent="1"/>
    </xf>
    <xf numFmtId="207" fontId="14" fillId="4" borderId="333" xfId="1" applyNumberFormat="1" applyFont="1" applyFill="1" applyBorder="1" applyAlignment="1" applyProtection="1">
      <alignment horizontal="right" vertical="center" indent="1"/>
    </xf>
    <xf numFmtId="0" fontId="14" fillId="4" borderId="329" xfId="1" applyFont="1" applyFill="1" applyBorder="1" applyAlignment="1" applyProtection="1">
      <alignment horizontal="left" vertical="center" wrapText="1" indent="1"/>
    </xf>
    <xf numFmtId="0" fontId="14" fillId="4" borderId="119" xfId="4" applyFont="1" applyFill="1" applyBorder="1" applyAlignment="1" applyProtection="1">
      <alignment horizontal="left" vertical="center" wrapText="1"/>
    </xf>
    <xf numFmtId="180" fontId="14" fillId="0" borderId="150" xfId="1" applyNumberFormat="1" applyFont="1" applyFill="1" applyBorder="1" applyAlignment="1" applyProtection="1">
      <alignment horizontal="right" vertical="center" indent="1"/>
      <protection hidden="1"/>
    </xf>
    <xf numFmtId="180" fontId="14" fillId="0" borderId="142" xfId="1" applyNumberFormat="1" applyFont="1" applyFill="1" applyBorder="1" applyAlignment="1" applyProtection="1">
      <alignment horizontal="right" vertical="center" indent="1"/>
      <protection hidden="1"/>
    </xf>
    <xf numFmtId="0" fontId="74" fillId="0" borderId="61" xfId="1" applyFont="1" applyFill="1" applyBorder="1" applyAlignment="1" applyProtection="1">
      <alignment vertical="center" wrapText="1"/>
      <protection hidden="1"/>
    </xf>
    <xf numFmtId="0" fontId="74" fillId="0" borderId="12" xfId="1" applyFont="1" applyFill="1" applyBorder="1" applyAlignment="1" applyProtection="1">
      <alignment vertical="center" wrapText="1"/>
      <protection hidden="1"/>
    </xf>
    <xf numFmtId="0" fontId="74" fillId="0" borderId="9" xfId="1" applyFont="1" applyFill="1" applyBorder="1" applyAlignment="1" applyProtection="1">
      <alignment vertical="center" wrapText="1"/>
      <protection hidden="1"/>
    </xf>
    <xf numFmtId="0" fontId="74" fillId="0" borderId="8" xfId="1" applyFont="1" applyFill="1" applyBorder="1" applyAlignment="1" applyProtection="1">
      <alignment vertical="center" wrapText="1"/>
      <protection hidden="1"/>
    </xf>
    <xf numFmtId="206" fontId="14" fillId="4" borderId="0" xfId="1" applyNumberFormat="1" applyFont="1" applyFill="1" applyBorder="1" applyAlignment="1" applyProtection="1">
      <alignment horizontal="right" vertical="top" indent="1"/>
    </xf>
    <xf numFmtId="206" fontId="14" fillId="4" borderId="333" xfId="1" applyNumberFormat="1" applyFont="1" applyFill="1" applyBorder="1" applyAlignment="1" applyProtection="1">
      <alignment horizontal="right" vertical="top" indent="1"/>
    </xf>
    <xf numFmtId="0" fontId="122" fillId="5" borderId="0" xfId="4" applyFont="1" applyFill="1" applyBorder="1" applyAlignment="1" applyProtection="1">
      <alignment horizontal="left" vertical="center" wrapText="1" indent="1"/>
      <protection locked="0" hidden="1"/>
    </xf>
    <xf numFmtId="180" fontId="94" fillId="7" borderId="150" xfId="1" applyNumberFormat="1" applyFont="1" applyFill="1" applyBorder="1" applyAlignment="1" applyProtection="1">
      <alignment horizontal="center" vertical="center"/>
      <protection locked="0"/>
    </xf>
    <xf numFmtId="180" fontId="94" fillId="7" borderId="142" xfId="1" applyNumberFormat="1" applyFont="1" applyFill="1" applyBorder="1" applyAlignment="1" applyProtection="1">
      <alignment horizontal="center" vertical="center"/>
      <protection locked="0"/>
    </xf>
    <xf numFmtId="177" fontId="94" fillId="7" borderId="59" xfId="1" applyNumberFormat="1" applyFont="1" applyFill="1" applyBorder="1" applyAlignment="1" applyProtection="1">
      <alignment horizontal="right" vertical="center" indent="1"/>
      <protection locked="0"/>
    </xf>
    <xf numFmtId="177" fontId="94" fillId="7" borderId="153" xfId="1" applyNumberFormat="1" applyFont="1" applyFill="1" applyBorder="1" applyAlignment="1" applyProtection="1">
      <alignment horizontal="right" vertical="center" indent="1"/>
      <protection locked="0"/>
    </xf>
    <xf numFmtId="0" fontId="14" fillId="0" borderId="146" xfId="0" applyFont="1" applyBorder="1" applyAlignment="1">
      <alignment horizontal="center" vertical="top" wrapText="1"/>
    </xf>
    <xf numFmtId="0" fontId="14" fillId="0" borderId="0" xfId="0" applyFont="1" applyBorder="1" applyAlignment="1">
      <alignment horizontal="center" vertical="top" wrapText="1"/>
    </xf>
    <xf numFmtId="0" fontId="14" fillId="0" borderId="57" xfId="0" applyFont="1" applyBorder="1" applyAlignment="1">
      <alignment horizontal="center" vertical="top" wrapText="1"/>
    </xf>
    <xf numFmtId="3" fontId="14" fillId="4" borderId="157" xfId="1" applyNumberFormat="1" applyFont="1" applyFill="1" applyBorder="1" applyAlignment="1" applyProtection="1">
      <alignment horizontal="right" vertical="center" indent="1"/>
    </xf>
    <xf numFmtId="3" fontId="14" fillId="4" borderId="337" xfId="1" applyNumberFormat="1" applyFont="1" applyFill="1" applyBorder="1" applyAlignment="1" applyProtection="1">
      <alignment horizontal="right" vertical="center" indent="1"/>
    </xf>
    <xf numFmtId="0" fontId="14" fillId="4" borderId="118" xfId="1" applyFont="1" applyFill="1" applyBorder="1" applyAlignment="1" applyProtection="1">
      <alignment horizontal="left" vertical="center" wrapText="1" indent="1"/>
    </xf>
    <xf numFmtId="180" fontId="94" fillId="7" borderId="8" xfId="1" applyNumberFormat="1" applyFont="1" applyFill="1" applyBorder="1" applyAlignment="1" applyProtection="1">
      <alignment horizontal="left" vertical="center"/>
      <protection locked="0"/>
    </xf>
    <xf numFmtId="180" fontId="94" fillId="7" borderId="45" xfId="1" applyNumberFormat="1" applyFont="1" applyFill="1" applyBorder="1" applyAlignment="1" applyProtection="1">
      <alignment horizontal="left" vertical="center"/>
      <protection locked="0"/>
    </xf>
    <xf numFmtId="177" fontId="94" fillId="7" borderId="46" xfId="1" applyNumberFormat="1" applyFont="1" applyFill="1" applyBorder="1" applyAlignment="1" applyProtection="1">
      <alignment horizontal="right" vertical="center" indent="1"/>
      <protection locked="0"/>
    </xf>
    <xf numFmtId="177" fontId="94" fillId="7" borderId="283" xfId="1" applyNumberFormat="1" applyFont="1" applyFill="1" applyBorder="1" applyAlignment="1" applyProtection="1">
      <alignment horizontal="right" vertical="center" indent="1"/>
      <protection locked="0"/>
    </xf>
    <xf numFmtId="175" fontId="94" fillId="7" borderId="283" xfId="1" applyNumberFormat="1" applyFont="1" applyFill="1" applyBorder="1" applyAlignment="1" applyProtection="1">
      <alignment horizontal="right" vertical="center" indent="1"/>
      <protection locked="0"/>
    </xf>
    <xf numFmtId="0" fontId="14" fillId="0" borderId="149" xfId="0" applyFont="1" applyBorder="1" applyAlignment="1">
      <alignment horizontal="center" vertical="top" wrapText="1"/>
    </xf>
    <xf numFmtId="0" fontId="14" fillId="0" borderId="8" xfId="0" applyFont="1" applyBorder="1" applyAlignment="1">
      <alignment horizontal="center" vertical="top" wrapText="1"/>
    </xf>
    <xf numFmtId="0" fontId="14" fillId="0" borderId="141" xfId="0" applyFont="1" applyBorder="1" applyAlignment="1">
      <alignment horizontal="center" vertical="top" wrapText="1"/>
    </xf>
    <xf numFmtId="180" fontId="94" fillId="7" borderId="283" xfId="1" applyNumberFormat="1" applyFont="1" applyFill="1" applyBorder="1" applyAlignment="1" applyProtection="1">
      <alignment horizontal="right" vertical="center" indent="1"/>
      <protection locked="0"/>
    </xf>
    <xf numFmtId="180" fontId="14" fillId="7" borderId="149" xfId="1" applyNumberFormat="1" applyFont="1" applyFill="1" applyBorder="1" applyAlignment="1" applyProtection="1">
      <alignment horizontal="center" vertical="center"/>
      <protection locked="0"/>
    </xf>
    <xf numFmtId="180" fontId="14" fillId="7" borderId="141" xfId="1" applyNumberFormat="1" applyFont="1" applyFill="1" applyBorder="1" applyAlignment="1" applyProtection="1">
      <alignment horizontal="center" vertical="center"/>
      <protection locked="0"/>
    </xf>
    <xf numFmtId="0" fontId="14" fillId="24" borderId="152" xfId="1" applyFont="1" applyFill="1" applyBorder="1" applyAlignment="1">
      <alignment horizontal="center" vertical="center"/>
    </xf>
    <xf numFmtId="0" fontId="14" fillId="24" borderId="123" xfId="1" applyFont="1" applyFill="1" applyBorder="1" applyAlignment="1">
      <alignment horizontal="center" vertical="center"/>
    </xf>
    <xf numFmtId="0" fontId="14" fillId="24" borderId="144" xfId="1" applyFont="1" applyFill="1" applyBorder="1" applyAlignment="1">
      <alignment horizontal="center" vertical="center"/>
    </xf>
    <xf numFmtId="0" fontId="14" fillId="24" borderId="136" xfId="1" applyFont="1" applyFill="1" applyBorder="1" applyAlignment="1">
      <alignment horizontal="center" vertical="center"/>
    </xf>
    <xf numFmtId="0" fontId="14" fillId="0" borderId="147" xfId="1" applyFont="1" applyFill="1" applyBorder="1" applyAlignment="1">
      <alignment horizontal="center" vertical="center"/>
    </xf>
    <xf numFmtId="0" fontId="14" fillId="0" borderId="4" xfId="1" applyFont="1" applyFill="1" applyBorder="1" applyAlignment="1">
      <alignment horizontal="center" vertical="center"/>
    </xf>
    <xf numFmtId="0" fontId="14" fillId="0" borderId="139" xfId="1" applyFont="1" applyFill="1" applyBorder="1" applyAlignment="1">
      <alignment horizontal="center" vertical="center"/>
    </xf>
    <xf numFmtId="180" fontId="14" fillId="21" borderId="147" xfId="1" applyNumberFormat="1" applyFont="1" applyFill="1" applyBorder="1" applyAlignment="1">
      <alignment horizontal="center" vertical="center"/>
    </xf>
    <xf numFmtId="180" fontId="14" fillId="21" borderId="4" xfId="1" applyNumberFormat="1" applyFont="1" applyFill="1" applyBorder="1" applyAlignment="1">
      <alignment horizontal="center" vertical="center"/>
    </xf>
    <xf numFmtId="180" fontId="14" fillId="21" borderId="139" xfId="1" applyNumberFormat="1" applyFont="1" applyFill="1" applyBorder="1" applyAlignment="1">
      <alignment horizontal="center" vertical="center"/>
    </xf>
    <xf numFmtId="2" fontId="14" fillId="21" borderId="147" xfId="1" applyNumberFormat="1" applyFont="1" applyFill="1" applyBorder="1" applyAlignment="1">
      <alignment horizontal="center" vertical="center"/>
    </xf>
    <xf numFmtId="2" fontId="14" fillId="21" borderId="4" xfId="1" applyNumberFormat="1" applyFont="1" applyFill="1" applyBorder="1" applyAlignment="1">
      <alignment horizontal="center" vertical="center"/>
    </xf>
    <xf numFmtId="2" fontId="14" fillId="21" borderId="139" xfId="1" applyNumberFormat="1" applyFont="1" applyFill="1" applyBorder="1" applyAlignment="1">
      <alignment horizontal="center" vertical="center"/>
    </xf>
    <xf numFmtId="180" fontId="14" fillId="21" borderId="94" xfId="1" applyNumberFormat="1" applyFont="1" applyFill="1" applyBorder="1" applyAlignment="1">
      <alignment horizontal="center" vertical="center"/>
    </xf>
    <xf numFmtId="180" fontId="14" fillId="21" borderId="95" xfId="1" applyNumberFormat="1" applyFont="1" applyFill="1" applyBorder="1" applyAlignment="1">
      <alignment horizontal="center" vertical="center"/>
    </xf>
    <xf numFmtId="180" fontId="14" fillId="0" borderId="101" xfId="1" applyNumberFormat="1" applyFont="1" applyBorder="1" applyAlignment="1">
      <alignment horizontal="center" vertical="top" wrapText="1"/>
    </xf>
    <xf numFmtId="180" fontId="14" fillId="0" borderId="102" xfId="1" applyNumberFormat="1" applyFont="1" applyBorder="1" applyAlignment="1">
      <alignment horizontal="center" vertical="top" wrapText="1"/>
    </xf>
    <xf numFmtId="180" fontId="14" fillId="21" borderId="153" xfId="1" applyNumberFormat="1" applyFont="1" applyFill="1" applyBorder="1" applyAlignment="1">
      <alignment horizontal="center" vertical="center"/>
    </xf>
    <xf numFmtId="180" fontId="14" fillId="21" borderId="279" xfId="1" applyNumberFormat="1" applyFont="1" applyFill="1" applyBorder="1" applyAlignment="1">
      <alignment horizontal="center" vertical="center"/>
    </xf>
    <xf numFmtId="0" fontId="14" fillId="24" borderId="94" xfId="1" applyFont="1" applyFill="1" applyBorder="1" applyAlignment="1">
      <alignment horizontal="center" vertical="center"/>
    </xf>
    <xf numFmtId="0" fontId="14" fillId="24" borderId="95" xfId="1" applyFont="1" applyFill="1" applyBorder="1" applyAlignment="1">
      <alignment horizontal="center" vertical="center"/>
    </xf>
    <xf numFmtId="2" fontId="14" fillId="21" borderId="125" xfId="1" applyNumberFormat="1" applyFont="1" applyFill="1" applyBorder="1" applyAlignment="1">
      <alignment horizontal="center" vertical="center"/>
    </xf>
    <xf numFmtId="2" fontId="14" fillId="21" borderId="152" xfId="1" applyNumberFormat="1" applyFont="1" applyFill="1" applyBorder="1" applyAlignment="1">
      <alignment horizontal="center" vertical="center"/>
    </xf>
    <xf numFmtId="2" fontId="14" fillId="21" borderId="123" xfId="1" applyNumberFormat="1" applyFont="1" applyFill="1" applyBorder="1" applyAlignment="1">
      <alignment horizontal="center" vertical="center"/>
    </xf>
    <xf numFmtId="2" fontId="14" fillId="21" borderId="136" xfId="1" applyNumberFormat="1" applyFont="1" applyFill="1" applyBorder="1" applyAlignment="1">
      <alignment horizontal="center" vertical="center"/>
    </xf>
    <xf numFmtId="2" fontId="14" fillId="21" borderId="144" xfId="1" applyNumberFormat="1" applyFont="1" applyFill="1" applyBorder="1" applyAlignment="1">
      <alignment horizontal="center" vertical="center"/>
    </xf>
    <xf numFmtId="0" fontId="0" fillId="0" borderId="0" xfId="0"/>
    <xf numFmtId="0" fontId="0" fillId="0" borderId="283" xfId="0" applyBorder="1" applyAlignment="1"/>
    <xf numFmtId="0" fontId="14" fillId="0" borderId="12" xfId="1" applyFont="1" applyFill="1" applyBorder="1" applyAlignment="1" applyProtection="1">
      <alignment horizontal="left" vertical="top" wrapText="1"/>
      <protection hidden="1"/>
    </xf>
    <xf numFmtId="0" fontId="14" fillId="0" borderId="0" xfId="1" applyFont="1" applyFill="1" applyBorder="1" applyAlignment="1" applyProtection="1">
      <alignment horizontal="left" vertical="top" wrapText="1"/>
      <protection hidden="1"/>
    </xf>
    <xf numFmtId="0" fontId="14" fillId="0" borderId="4" xfId="1" applyFont="1" applyFill="1" applyBorder="1" applyAlignment="1" applyProtection="1">
      <alignment horizontal="left" vertical="top" wrapText="1"/>
      <protection hidden="1"/>
    </xf>
    <xf numFmtId="180" fontId="14" fillId="23" borderId="145" xfId="1" applyNumberFormat="1" applyFont="1" applyFill="1" applyBorder="1" applyAlignment="1" applyProtection="1">
      <alignment horizontal="center" vertical="center"/>
      <protection hidden="1"/>
    </xf>
    <xf numFmtId="180" fontId="14" fillId="23" borderId="138" xfId="1" applyNumberFormat="1" applyFont="1" applyFill="1" applyBorder="1" applyAlignment="1" applyProtection="1">
      <alignment horizontal="center" vertical="center"/>
      <protection hidden="1"/>
    </xf>
    <xf numFmtId="180" fontId="14" fillId="23" borderId="146" xfId="1" applyNumberFormat="1" applyFont="1" applyFill="1" applyBorder="1" applyAlignment="1" applyProtection="1">
      <alignment horizontal="center" vertical="center"/>
      <protection hidden="1"/>
    </xf>
    <xf numFmtId="180" fontId="14" fillId="23" borderId="57" xfId="1" applyNumberFormat="1" applyFont="1" applyFill="1" applyBorder="1" applyAlignment="1" applyProtection="1">
      <alignment horizontal="center" vertical="center"/>
      <protection hidden="1"/>
    </xf>
    <xf numFmtId="0" fontId="17" fillId="22" borderId="63" xfId="1" applyFont="1" applyFill="1" applyBorder="1" applyAlignment="1" applyProtection="1">
      <alignment vertical="center"/>
      <protection hidden="1"/>
    </xf>
    <xf numFmtId="0" fontId="17" fillId="22" borderId="64" xfId="1" applyFont="1" applyFill="1" applyBorder="1" applyAlignment="1" applyProtection="1">
      <alignment vertical="center"/>
      <protection hidden="1"/>
    </xf>
    <xf numFmtId="0" fontId="17" fillId="22" borderId="133" xfId="1" applyFont="1" applyFill="1" applyBorder="1" applyAlignment="1" applyProtection="1">
      <alignment vertical="center"/>
      <protection hidden="1"/>
    </xf>
    <xf numFmtId="1" fontId="14" fillId="21" borderId="61" xfId="1" applyNumberFormat="1" applyFont="1" applyFill="1" applyBorder="1" applyAlignment="1" applyProtection="1">
      <alignment horizontal="right" vertical="center"/>
      <protection hidden="1"/>
    </xf>
    <xf numFmtId="1" fontId="14" fillId="21" borderId="6" xfId="1" applyNumberFormat="1" applyFont="1" applyFill="1" applyBorder="1" applyAlignment="1" applyProtection="1">
      <alignment horizontal="right" vertical="center"/>
      <protection hidden="1"/>
    </xf>
    <xf numFmtId="1" fontId="94" fillId="7" borderId="138" xfId="1" applyNumberFormat="1" applyFont="1" applyFill="1" applyBorder="1" applyAlignment="1" applyProtection="1">
      <alignment horizontal="right" vertical="center"/>
      <protection locked="0"/>
    </xf>
    <xf numFmtId="1" fontId="94" fillId="7" borderId="57" xfId="1" applyNumberFormat="1" applyFont="1" applyFill="1" applyBorder="1" applyAlignment="1" applyProtection="1">
      <alignment horizontal="right" vertical="center"/>
      <protection locked="0"/>
    </xf>
    <xf numFmtId="180" fontId="14" fillId="21" borderId="152" xfId="1" applyNumberFormat="1" applyFont="1" applyFill="1" applyBorder="1" applyAlignment="1">
      <alignment horizontal="center" vertical="center"/>
    </xf>
    <xf numFmtId="180" fontId="14" fillId="21" borderId="123" xfId="1" applyNumberFormat="1" applyFont="1" applyFill="1" applyBorder="1" applyAlignment="1">
      <alignment horizontal="center" vertical="center"/>
    </xf>
    <xf numFmtId="180" fontId="14" fillId="21" borderId="144" xfId="1" applyNumberFormat="1" applyFont="1" applyFill="1" applyBorder="1" applyAlignment="1">
      <alignment horizontal="center" vertical="center"/>
    </xf>
    <xf numFmtId="0" fontId="14" fillId="21" borderId="152" xfId="1" applyFont="1" applyFill="1" applyBorder="1" applyAlignment="1">
      <alignment horizontal="center" vertical="center"/>
    </xf>
    <xf numFmtId="0" fontId="14" fillId="21" borderId="123" xfId="1" applyFont="1" applyFill="1" applyBorder="1" applyAlignment="1">
      <alignment horizontal="center" vertical="center"/>
    </xf>
    <xf numFmtId="0" fontId="14" fillId="21" borderId="144" xfId="1" applyFont="1" applyFill="1" applyBorder="1" applyAlignment="1">
      <alignment horizontal="center" vertical="center"/>
    </xf>
    <xf numFmtId="0" fontId="17" fillId="22" borderId="63" xfId="0" applyFont="1" applyFill="1" applyBorder="1" applyAlignment="1">
      <alignment horizontal="left" vertical="center"/>
    </xf>
    <xf numFmtId="0" fontId="17" fillId="22" borderId="64" xfId="0" applyFont="1" applyFill="1" applyBorder="1" applyAlignment="1">
      <alignment horizontal="left" vertical="center"/>
    </xf>
    <xf numFmtId="0" fontId="17" fillId="22" borderId="133" xfId="0" applyFont="1" applyFill="1" applyBorder="1" applyAlignment="1">
      <alignment horizontal="left" vertical="center"/>
    </xf>
    <xf numFmtId="0" fontId="76" fillId="0" borderId="100" xfId="1" applyFont="1" applyFill="1" applyBorder="1" applyAlignment="1" applyProtection="1">
      <alignment vertical="center"/>
      <protection hidden="1"/>
    </xf>
    <xf numFmtId="0" fontId="76" fillId="0" borderId="101" xfId="1" applyFont="1" applyFill="1" applyBorder="1" applyAlignment="1" applyProtection="1">
      <alignment vertical="center"/>
      <protection hidden="1"/>
    </xf>
    <xf numFmtId="0" fontId="76" fillId="0" borderId="63" xfId="1" applyFont="1" applyFill="1" applyBorder="1" applyAlignment="1" applyProtection="1">
      <alignment vertical="center"/>
      <protection hidden="1"/>
    </xf>
    <xf numFmtId="0" fontId="76" fillId="0" borderId="64" xfId="1" applyFont="1" applyFill="1" applyBorder="1" applyAlignment="1" applyProtection="1">
      <alignment vertical="center"/>
      <protection hidden="1"/>
    </xf>
    <xf numFmtId="0" fontId="76" fillId="0" borderId="236" xfId="1" applyFont="1" applyFill="1" applyBorder="1" applyAlignment="1" applyProtection="1">
      <alignment vertical="center"/>
      <protection hidden="1"/>
    </xf>
    <xf numFmtId="0" fontId="14" fillId="21" borderId="147" xfId="1" applyFont="1" applyFill="1" applyBorder="1" applyAlignment="1">
      <alignment horizontal="center" vertical="center"/>
    </xf>
    <xf numFmtId="0" fontId="14" fillId="21" borderId="4" xfId="1" applyFont="1" applyFill="1" applyBorder="1" applyAlignment="1">
      <alignment horizontal="center" vertical="center"/>
    </xf>
    <xf numFmtId="0" fontId="14" fillId="21" borderId="139" xfId="1" applyFont="1" applyFill="1" applyBorder="1" applyAlignment="1">
      <alignment horizontal="center" vertical="center"/>
    </xf>
    <xf numFmtId="0" fontId="14" fillId="21" borderId="136" xfId="1" applyFont="1" applyFill="1" applyBorder="1" applyAlignment="1">
      <alignment horizontal="center" vertical="center"/>
    </xf>
    <xf numFmtId="0" fontId="14" fillId="0" borderId="154" xfId="1" applyFont="1" applyBorder="1" applyAlignment="1">
      <alignment horizontal="center" vertical="center"/>
    </xf>
    <xf numFmtId="0" fontId="14" fillId="21" borderId="150" xfId="1" applyFont="1" applyFill="1" applyBorder="1" applyAlignment="1">
      <alignment horizontal="center" vertical="center"/>
    </xf>
    <xf numFmtId="0" fontId="14" fillId="21" borderId="16" xfId="1" applyFont="1" applyFill="1" applyBorder="1" applyAlignment="1">
      <alignment horizontal="center" vertical="center"/>
    </xf>
    <xf numFmtId="0" fontId="14" fillId="21" borderId="58" xfId="1" applyFont="1" applyFill="1" applyBorder="1" applyAlignment="1">
      <alignment horizontal="center" vertical="center"/>
    </xf>
    <xf numFmtId="0" fontId="14" fillId="21" borderId="142" xfId="1" applyFont="1" applyFill="1" applyBorder="1" applyAlignment="1">
      <alignment horizontal="center" vertical="center"/>
    </xf>
    <xf numFmtId="3" fontId="14" fillId="21" borderId="152" xfId="0" applyNumberFormat="1" applyFont="1" applyFill="1" applyBorder="1" applyAlignment="1">
      <alignment horizontal="right" vertical="center" indent="2"/>
    </xf>
    <xf numFmtId="3" fontId="14" fillId="21" borderId="123" xfId="0" applyNumberFormat="1" applyFont="1" applyFill="1" applyBorder="1" applyAlignment="1">
      <alignment horizontal="right" vertical="center" indent="2"/>
    </xf>
    <xf numFmtId="3" fontId="14" fillId="21" borderId="136" xfId="0" applyNumberFormat="1" applyFont="1" applyFill="1" applyBorder="1" applyAlignment="1">
      <alignment horizontal="right" vertical="center" indent="2"/>
    </xf>
    <xf numFmtId="0" fontId="17" fillId="22" borderId="63" xfId="0" applyFont="1" applyFill="1" applyBorder="1" applyAlignment="1">
      <alignment vertical="center"/>
    </xf>
    <xf numFmtId="0" fontId="17" fillId="22" borderId="64" xfId="0" applyFont="1" applyFill="1" applyBorder="1" applyAlignment="1">
      <alignment vertical="center"/>
    </xf>
    <xf numFmtId="0" fontId="17" fillId="22" borderId="133" xfId="0" applyFont="1" applyFill="1" applyBorder="1" applyAlignment="1">
      <alignment vertical="center"/>
    </xf>
    <xf numFmtId="180" fontId="94" fillId="7" borderId="137" xfId="1" applyNumberFormat="1" applyFont="1" applyFill="1" applyBorder="1" applyAlignment="1" applyProtection="1">
      <alignment horizontal="center" vertical="center"/>
      <protection locked="0"/>
    </xf>
    <xf numFmtId="180" fontId="94" fillId="7" borderId="144" xfId="1" applyNumberFormat="1" applyFont="1" applyFill="1" applyBorder="1" applyAlignment="1" applyProtection="1">
      <alignment horizontal="center" vertical="center"/>
      <protection locked="0"/>
    </xf>
    <xf numFmtId="180" fontId="94" fillId="7" borderId="152" xfId="1" applyNumberFormat="1" applyFont="1" applyFill="1" applyBorder="1" applyAlignment="1" applyProtection="1">
      <alignment horizontal="center" vertical="center"/>
      <protection locked="0"/>
    </xf>
    <xf numFmtId="0" fontId="14" fillId="0" borderId="146" xfId="1" applyFont="1" applyFill="1" applyBorder="1" applyAlignment="1" applyProtection="1">
      <alignment horizontal="center" vertical="top" wrapText="1"/>
      <protection hidden="1"/>
    </xf>
    <xf numFmtId="0" fontId="14" fillId="0" borderId="0" xfId="1" applyFont="1" applyFill="1" applyBorder="1" applyAlignment="1" applyProtection="1">
      <alignment horizontal="center" vertical="top" wrapText="1"/>
      <protection hidden="1"/>
    </xf>
    <xf numFmtId="0" fontId="14" fillId="0" borderId="75" xfId="1" applyFont="1" applyFill="1" applyBorder="1" applyAlignment="1" applyProtection="1">
      <alignment horizontal="center" vertical="top" wrapText="1"/>
      <protection hidden="1"/>
    </xf>
    <xf numFmtId="0" fontId="14" fillId="23" borderId="135" xfId="1" applyFont="1" applyFill="1" applyBorder="1" applyAlignment="1" applyProtection="1">
      <alignment horizontal="right" vertical="center"/>
      <protection hidden="1"/>
    </xf>
    <xf numFmtId="0" fontId="14" fillId="23" borderId="142" xfId="1" applyFont="1" applyFill="1" applyBorder="1" applyAlignment="1" applyProtection="1">
      <alignment horizontal="right" vertical="center"/>
      <protection hidden="1"/>
    </xf>
    <xf numFmtId="175" fontId="94" fillId="7" borderId="97" xfId="1" applyNumberFormat="1" applyFont="1" applyFill="1" applyBorder="1" applyAlignment="1" applyProtection="1">
      <alignment horizontal="right" vertical="center" indent="1"/>
      <protection locked="0"/>
    </xf>
    <xf numFmtId="180" fontId="94" fillId="7" borderId="97" xfId="1" applyNumberFormat="1" applyFont="1" applyFill="1" applyBorder="1" applyAlignment="1" applyProtection="1">
      <alignment horizontal="right" vertical="center" indent="1"/>
      <protection locked="0"/>
    </xf>
    <xf numFmtId="180" fontId="14" fillId="21" borderId="153" xfId="1" applyNumberFormat="1" applyFont="1" applyFill="1" applyBorder="1" applyAlignment="1" applyProtection="1">
      <alignment horizontal="right" vertical="center" indent="1"/>
      <protection hidden="1"/>
    </xf>
    <xf numFmtId="180" fontId="94" fillId="7" borderId="97" xfId="1" applyNumberFormat="1" applyFont="1" applyFill="1" applyBorder="1" applyAlignment="1" applyProtection="1">
      <alignment horizontal="right" vertical="center" indent="2"/>
      <protection locked="0"/>
    </xf>
    <xf numFmtId="180" fontId="94" fillId="7" borderId="98" xfId="1" applyNumberFormat="1" applyFont="1" applyFill="1" applyBorder="1" applyAlignment="1" applyProtection="1">
      <alignment horizontal="right" vertical="center" indent="2"/>
      <protection locked="0"/>
    </xf>
    <xf numFmtId="180" fontId="94" fillId="7" borderId="283" xfId="1" applyNumberFormat="1" applyFont="1" applyFill="1" applyBorder="1" applyAlignment="1" applyProtection="1">
      <alignment horizontal="right" vertical="center" indent="2"/>
      <protection locked="0"/>
    </xf>
    <xf numFmtId="180" fontId="94" fillId="7" borderId="154" xfId="1" applyNumberFormat="1" applyFont="1" applyFill="1" applyBorder="1" applyAlignment="1" applyProtection="1">
      <alignment horizontal="right" vertical="center" indent="2"/>
      <protection locked="0"/>
    </xf>
    <xf numFmtId="0" fontId="94" fillId="7" borderId="157" xfId="4" applyFont="1" applyFill="1" applyBorder="1" applyAlignment="1" applyProtection="1">
      <alignment horizontal="left" vertical="top" wrapText="1" indent="1"/>
      <protection locked="0"/>
    </xf>
    <xf numFmtId="0" fontId="94" fillId="7" borderId="158" xfId="4" applyFont="1" applyFill="1" applyBorder="1" applyAlignment="1" applyProtection="1">
      <alignment horizontal="left" vertical="top" wrapText="1" indent="1"/>
      <protection locked="0"/>
    </xf>
    <xf numFmtId="0" fontId="14" fillId="4" borderId="334" xfId="1" applyFont="1" applyFill="1" applyBorder="1" applyAlignment="1" applyProtection="1">
      <alignment horizontal="left" vertical="center" wrapText="1" indent="1"/>
    </xf>
    <xf numFmtId="0" fontId="14" fillId="4" borderId="116" xfId="1" applyFont="1" applyFill="1" applyBorder="1" applyAlignment="1" applyProtection="1">
      <alignment horizontal="left" vertical="center" wrapText="1" indent="1"/>
    </xf>
    <xf numFmtId="206" fontId="14" fillId="4" borderId="0" xfId="1" applyNumberFormat="1" applyFont="1" applyFill="1" applyBorder="1" applyAlignment="1" applyProtection="1">
      <alignment horizontal="right" vertical="center" indent="1"/>
    </xf>
    <xf numFmtId="206" fontId="14" fillId="4" borderId="333" xfId="1" applyNumberFormat="1" applyFont="1" applyFill="1" applyBorder="1" applyAlignment="1" applyProtection="1">
      <alignment horizontal="right" vertical="center" indent="1"/>
    </xf>
    <xf numFmtId="0" fontId="94" fillId="7" borderId="0" xfId="4" applyFont="1" applyFill="1" applyBorder="1" applyAlignment="1" applyProtection="1">
      <alignment horizontal="left" vertical="top" wrapText="1" indent="1"/>
      <protection locked="0"/>
    </xf>
    <xf numFmtId="0" fontId="94" fillId="7" borderId="119" xfId="4" applyFont="1" applyFill="1" applyBorder="1" applyAlignment="1" applyProtection="1">
      <alignment horizontal="left" vertical="top" wrapText="1" indent="1"/>
      <protection locked="0"/>
    </xf>
    <xf numFmtId="0" fontId="94" fillId="7" borderId="120" xfId="4" applyFont="1" applyFill="1" applyBorder="1" applyAlignment="1" applyProtection="1">
      <alignment horizontal="left" vertical="top" wrapText="1" indent="1"/>
      <protection locked="0"/>
    </xf>
    <xf numFmtId="0" fontId="94" fillId="7" borderId="121" xfId="4" applyFont="1" applyFill="1" applyBorder="1" applyAlignment="1" applyProtection="1">
      <alignment horizontal="left" vertical="top" wrapText="1" indent="1"/>
      <protection locked="0"/>
    </xf>
    <xf numFmtId="180" fontId="88" fillId="0" borderId="243" xfId="1" applyNumberFormat="1" applyFont="1" applyFill="1" applyBorder="1" applyAlignment="1" applyProtection="1">
      <alignment horizontal="center" vertical="center"/>
      <protection hidden="1"/>
    </xf>
    <xf numFmtId="180" fontId="88" fillId="0" borderId="244" xfId="1" applyNumberFormat="1" applyFont="1" applyFill="1" applyBorder="1" applyAlignment="1" applyProtection="1">
      <alignment horizontal="center" vertical="center"/>
      <protection hidden="1"/>
    </xf>
    <xf numFmtId="180" fontId="88" fillId="0" borderId="245" xfId="1" applyNumberFormat="1" applyFont="1" applyFill="1" applyBorder="1" applyAlignment="1" applyProtection="1">
      <alignment horizontal="center" vertical="center"/>
      <protection hidden="1"/>
    </xf>
    <xf numFmtId="180" fontId="88" fillId="0" borderId="186" xfId="1" applyNumberFormat="1" applyFont="1" applyFill="1" applyBorder="1" applyAlignment="1" applyProtection="1">
      <alignment horizontal="center" vertical="center"/>
      <protection hidden="1"/>
    </xf>
    <xf numFmtId="180" fontId="88" fillId="0" borderId="187" xfId="1" applyNumberFormat="1" applyFont="1" applyFill="1" applyBorder="1" applyAlignment="1" applyProtection="1">
      <alignment horizontal="center" vertical="center"/>
      <protection hidden="1"/>
    </xf>
    <xf numFmtId="180" fontId="88" fillId="0" borderId="188" xfId="1" applyNumberFormat="1" applyFont="1" applyFill="1" applyBorder="1" applyAlignment="1" applyProtection="1">
      <alignment horizontal="center" vertical="center"/>
      <protection hidden="1"/>
    </xf>
    <xf numFmtId="180" fontId="88" fillId="0" borderId="166" xfId="1" applyNumberFormat="1" applyFont="1" applyFill="1" applyBorder="1" applyAlignment="1" applyProtection="1">
      <alignment horizontal="center" vertical="center"/>
      <protection hidden="1"/>
    </xf>
    <xf numFmtId="180" fontId="88" fillId="0" borderId="168" xfId="1" applyNumberFormat="1" applyFont="1" applyFill="1" applyBorder="1" applyAlignment="1" applyProtection="1">
      <alignment horizontal="center" vertical="center"/>
      <protection hidden="1"/>
    </xf>
    <xf numFmtId="180" fontId="88" fillId="0" borderId="167" xfId="1" applyNumberFormat="1" applyFont="1" applyFill="1" applyBorder="1" applyAlignment="1" applyProtection="1">
      <alignment horizontal="center" vertical="center"/>
      <protection hidden="1"/>
    </xf>
    <xf numFmtId="180" fontId="88" fillId="0" borderId="246" xfId="1" applyNumberFormat="1" applyFont="1" applyFill="1" applyBorder="1" applyAlignment="1" applyProtection="1">
      <alignment horizontal="center" vertical="center"/>
      <protection hidden="1"/>
    </xf>
    <xf numFmtId="0" fontId="88" fillId="0" borderId="246" xfId="1" applyFont="1" applyFill="1" applyBorder="1" applyAlignment="1" applyProtection="1">
      <alignment horizontal="center" vertical="center"/>
      <protection hidden="1"/>
    </xf>
    <xf numFmtId="0" fontId="88" fillId="0" borderId="271" xfId="1" applyFont="1" applyFill="1" applyBorder="1" applyAlignment="1" applyProtection="1">
      <alignment horizontal="center" vertical="center"/>
      <protection hidden="1"/>
    </xf>
    <xf numFmtId="180" fontId="88" fillId="0" borderId="262" xfId="1" applyNumberFormat="1" applyFont="1" applyFill="1" applyBorder="1" applyAlignment="1" applyProtection="1">
      <alignment horizontal="center" vertical="center"/>
      <protection hidden="1"/>
    </xf>
    <xf numFmtId="0" fontId="14" fillId="7" borderId="137" xfId="1" applyFont="1" applyFill="1" applyBorder="1" applyAlignment="1" applyProtection="1">
      <alignment horizontal="right" vertical="center"/>
      <protection locked="0"/>
    </xf>
    <xf numFmtId="0" fontId="14" fillId="7" borderId="144" xfId="1" applyFont="1" applyFill="1" applyBorder="1" applyAlignment="1" applyProtection="1">
      <alignment horizontal="right" vertical="center"/>
      <protection locked="0"/>
    </xf>
    <xf numFmtId="180" fontId="94" fillId="7" borderId="135" xfId="1" applyNumberFormat="1" applyFont="1" applyFill="1" applyBorder="1" applyAlignment="1" applyProtection="1">
      <alignment horizontal="center" vertical="center"/>
      <protection locked="0"/>
    </xf>
    <xf numFmtId="0" fontId="74" fillId="0" borderId="61" xfId="1" applyFont="1" applyFill="1" applyBorder="1" applyAlignment="1" applyProtection="1">
      <alignment vertical="top"/>
      <protection hidden="1"/>
    </xf>
    <xf numFmtId="0" fontId="74" fillId="0" borderId="12" xfId="1" applyFont="1" applyFill="1" applyBorder="1" applyAlignment="1" applyProtection="1">
      <alignment vertical="top"/>
      <protection hidden="1"/>
    </xf>
    <xf numFmtId="0" fontId="74" fillId="0" borderId="6" xfId="1" applyFont="1" applyFill="1" applyBorder="1" applyAlignment="1" applyProtection="1">
      <alignment vertical="top"/>
      <protection hidden="1"/>
    </xf>
    <xf numFmtId="0" fontId="74" fillId="0" borderId="0" xfId="1" applyFont="1" applyFill="1" applyBorder="1" applyAlignment="1" applyProtection="1">
      <alignment vertical="top"/>
      <protection hidden="1"/>
    </xf>
    <xf numFmtId="0" fontId="74" fillId="0" borderId="9" xfId="1" applyFont="1" applyFill="1" applyBorder="1" applyAlignment="1" applyProtection="1">
      <alignment vertical="top"/>
      <protection hidden="1"/>
    </xf>
    <xf numFmtId="0" fontId="74" fillId="0" borderId="8" xfId="1" applyFont="1" applyFill="1" applyBorder="1" applyAlignment="1" applyProtection="1">
      <alignment vertical="top"/>
      <protection hidden="1"/>
    </xf>
    <xf numFmtId="0" fontId="14" fillId="0" borderId="150" xfId="0" applyFont="1" applyBorder="1" applyAlignment="1">
      <alignment horizontal="center"/>
    </xf>
    <xf numFmtId="0" fontId="14" fillId="0" borderId="16" xfId="0" applyFont="1" applyBorder="1" applyAlignment="1">
      <alignment horizontal="center"/>
    </xf>
    <xf numFmtId="0" fontId="14" fillId="0" borderId="142" xfId="0" applyFont="1" applyBorder="1" applyAlignment="1">
      <alignment horizontal="center"/>
    </xf>
    <xf numFmtId="0" fontId="14" fillId="0" borderId="152" xfId="0" applyFont="1" applyBorder="1" applyAlignment="1">
      <alignment horizontal="center"/>
    </xf>
    <xf numFmtId="0" fontId="14" fillId="0" borderId="123" xfId="0" applyFont="1" applyBorder="1" applyAlignment="1">
      <alignment horizontal="center"/>
    </xf>
    <xf numFmtId="0" fontId="14" fillId="0" borderId="144" xfId="0" applyFont="1" applyBorder="1" applyAlignment="1">
      <alignment horizontal="center"/>
    </xf>
    <xf numFmtId="180" fontId="14" fillId="7" borderId="150" xfId="1" applyNumberFormat="1" applyFont="1" applyFill="1" applyBorder="1" applyAlignment="1" applyProtection="1">
      <alignment horizontal="center" vertical="center"/>
      <protection locked="0"/>
    </xf>
    <xf numFmtId="180" fontId="14" fillId="7" borderId="142" xfId="1" applyNumberFormat="1" applyFont="1" applyFill="1" applyBorder="1" applyAlignment="1" applyProtection="1">
      <alignment horizontal="center" vertical="center"/>
      <protection locked="0"/>
    </xf>
    <xf numFmtId="0" fontId="14" fillId="4" borderId="0" xfId="1" applyFont="1" applyFill="1" applyBorder="1" applyAlignment="1" applyProtection="1">
      <alignment horizontal="left" vertical="center" indent="1"/>
    </xf>
    <xf numFmtId="177" fontId="94" fillId="7" borderId="96" xfId="1" applyNumberFormat="1" applyFont="1" applyFill="1" applyBorder="1" applyAlignment="1" applyProtection="1">
      <alignment horizontal="right" vertical="center" indent="1"/>
      <protection locked="0"/>
    </xf>
    <xf numFmtId="180" fontId="94" fillId="7" borderId="45" xfId="1" applyNumberFormat="1" applyFont="1" applyFill="1" applyBorder="1" applyAlignment="1" applyProtection="1">
      <alignment horizontal="center" vertical="center"/>
      <protection locked="0"/>
    </xf>
    <xf numFmtId="0" fontId="88" fillId="0" borderId="198" xfId="0" applyFont="1" applyBorder="1" applyAlignment="1" applyProtection="1">
      <alignment horizontal="left" vertical="center" wrapText="1"/>
    </xf>
    <xf numFmtId="0" fontId="88" fillId="0" borderId="200" xfId="0" applyFont="1" applyBorder="1" applyAlignment="1" applyProtection="1">
      <alignment horizontal="left" vertical="center" wrapText="1"/>
    </xf>
    <xf numFmtId="0" fontId="88" fillId="0" borderId="196" xfId="0" applyFont="1" applyBorder="1" applyAlignment="1" applyProtection="1">
      <alignment horizontal="left" vertical="center" wrapText="1"/>
    </xf>
    <xf numFmtId="0" fontId="88" fillId="0" borderId="197" xfId="0" applyFont="1" applyBorder="1" applyAlignment="1" applyProtection="1">
      <alignment horizontal="left" vertical="center" wrapText="1"/>
    </xf>
    <xf numFmtId="180" fontId="94" fillId="7" borderId="136" xfId="1" applyNumberFormat="1" applyFont="1" applyFill="1" applyBorder="1" applyAlignment="1" applyProtection="1">
      <alignment horizontal="center" vertical="center"/>
      <protection locked="0"/>
    </xf>
    <xf numFmtId="180" fontId="94" fillId="7" borderId="58" xfId="1" applyNumberFormat="1" applyFont="1" applyFill="1" applyBorder="1" applyAlignment="1" applyProtection="1">
      <alignment horizontal="center" vertical="center"/>
      <protection locked="0"/>
    </xf>
    <xf numFmtId="180" fontId="94" fillId="7" borderId="153" xfId="1" applyNumberFormat="1" applyFont="1" applyFill="1" applyBorder="1" applyAlignment="1" applyProtection="1">
      <alignment horizontal="right" vertical="center" indent="1"/>
      <protection locked="0"/>
    </xf>
    <xf numFmtId="180" fontId="94" fillId="7" borderId="153" xfId="1" applyNumberFormat="1" applyFont="1" applyFill="1" applyBorder="1" applyAlignment="1" applyProtection="1">
      <alignment horizontal="right" vertical="center" indent="2"/>
      <protection locked="0"/>
    </xf>
    <xf numFmtId="180" fontId="94" fillId="7" borderId="279" xfId="1" applyNumberFormat="1" applyFont="1" applyFill="1" applyBorder="1" applyAlignment="1" applyProtection="1">
      <alignment horizontal="right" vertical="center" indent="2"/>
      <protection locked="0"/>
    </xf>
    <xf numFmtId="0" fontId="14" fillId="5" borderId="155" xfId="1" applyFont="1" applyFill="1" applyBorder="1" applyAlignment="1" applyProtection="1">
      <alignment horizontal="left" vertical="center" wrapText="1" indent="1"/>
    </xf>
    <xf numFmtId="0" fontId="88" fillId="0" borderId="272" xfId="1" applyFont="1" applyFill="1" applyBorder="1" applyAlignment="1" applyProtection="1">
      <alignment horizontal="center" vertical="center"/>
      <protection hidden="1"/>
    </xf>
    <xf numFmtId="0" fontId="89" fillId="0" borderId="247" xfId="1" applyFont="1" applyFill="1" applyBorder="1" applyAlignment="1" applyProtection="1">
      <alignment horizontal="center" vertical="center" wrapText="1"/>
      <protection hidden="1"/>
    </xf>
    <xf numFmtId="0" fontId="89" fillId="0" borderId="248" xfId="1" applyFont="1" applyFill="1" applyBorder="1" applyAlignment="1" applyProtection="1">
      <alignment horizontal="center" vertical="center" wrapText="1"/>
      <protection hidden="1"/>
    </xf>
    <xf numFmtId="0" fontId="89" fillId="0" borderId="249" xfId="1" applyFont="1" applyFill="1" applyBorder="1" applyAlignment="1" applyProtection="1">
      <alignment horizontal="center" vertical="center" wrapText="1"/>
      <protection hidden="1"/>
    </xf>
    <xf numFmtId="0" fontId="89" fillId="0" borderId="253" xfId="1" applyFont="1" applyFill="1" applyBorder="1" applyAlignment="1" applyProtection="1">
      <alignment horizontal="center" vertical="center" wrapText="1"/>
      <protection hidden="1"/>
    </xf>
    <xf numFmtId="0" fontId="89" fillId="0" borderId="0" xfId="1" applyFont="1" applyFill="1" applyBorder="1" applyAlignment="1" applyProtection="1">
      <alignment horizontal="center" vertical="center" wrapText="1"/>
      <protection hidden="1"/>
    </xf>
    <xf numFmtId="0" fontId="89" fillId="0" borderId="254" xfId="1" applyFont="1" applyFill="1" applyBorder="1" applyAlignment="1" applyProtection="1">
      <alignment horizontal="center" vertical="center" wrapText="1"/>
      <protection hidden="1"/>
    </xf>
    <xf numFmtId="0" fontId="89" fillId="0" borderId="250" xfId="1" applyFont="1" applyFill="1" applyBorder="1" applyAlignment="1" applyProtection="1">
      <alignment horizontal="center" vertical="center" wrapText="1"/>
      <protection hidden="1"/>
    </xf>
    <xf numFmtId="0" fontId="89" fillId="0" borderId="251" xfId="1" applyFont="1" applyFill="1" applyBorder="1" applyAlignment="1" applyProtection="1">
      <alignment horizontal="center" vertical="center" wrapText="1"/>
      <protection hidden="1"/>
    </xf>
    <xf numFmtId="0" fontId="89" fillId="0" borderId="252" xfId="1" applyFont="1" applyFill="1" applyBorder="1" applyAlignment="1" applyProtection="1">
      <alignment horizontal="center" vertical="center" wrapText="1"/>
      <protection hidden="1"/>
    </xf>
    <xf numFmtId="0" fontId="87" fillId="0" borderId="256" xfId="1" applyFont="1" applyFill="1" applyBorder="1" applyAlignment="1" applyProtection="1">
      <alignment horizontal="center" vertical="center" wrapText="1"/>
      <protection hidden="1"/>
    </xf>
    <xf numFmtId="0" fontId="87" fillId="0" borderId="257" xfId="1" applyFont="1" applyFill="1" applyBorder="1" applyAlignment="1" applyProtection="1">
      <alignment horizontal="center" vertical="center" wrapText="1"/>
      <protection hidden="1"/>
    </xf>
    <xf numFmtId="0" fontId="87" fillId="0" borderId="258" xfId="1" applyFont="1" applyFill="1" applyBorder="1" applyAlignment="1" applyProtection="1">
      <alignment horizontal="center" vertical="center" wrapText="1"/>
      <protection hidden="1"/>
    </xf>
    <xf numFmtId="0" fontId="87" fillId="0" borderId="298" xfId="1" applyFont="1" applyFill="1" applyBorder="1" applyAlignment="1" applyProtection="1">
      <alignment horizontal="center" vertical="center" wrapText="1"/>
      <protection hidden="1"/>
    </xf>
    <xf numFmtId="0" fontId="87" fillId="0" borderId="275" xfId="1" applyFont="1" applyFill="1" applyBorder="1" applyAlignment="1" applyProtection="1">
      <alignment horizontal="center" vertical="center" wrapText="1"/>
      <protection hidden="1"/>
    </xf>
    <xf numFmtId="0" fontId="87" fillId="0" borderId="299" xfId="1" applyFont="1" applyFill="1" applyBorder="1" applyAlignment="1" applyProtection="1">
      <alignment horizontal="center" vertical="center" wrapText="1"/>
      <protection hidden="1"/>
    </xf>
    <xf numFmtId="180" fontId="14" fillId="21" borderId="146" xfId="1" applyNumberFormat="1" applyFont="1" applyFill="1" applyBorder="1" applyAlignment="1" applyProtection="1">
      <alignment horizontal="right" vertical="center" indent="1"/>
      <protection hidden="1"/>
    </xf>
    <xf numFmtId="0" fontId="88" fillId="0" borderId="270" xfId="1" applyFont="1" applyFill="1" applyBorder="1" applyAlignment="1" applyProtection="1">
      <alignment horizontal="center" vertical="center"/>
      <protection hidden="1"/>
    </xf>
    <xf numFmtId="180" fontId="14" fillId="21" borderId="150" xfId="1" applyNumberFormat="1" applyFont="1" applyFill="1" applyBorder="1" applyAlignment="1" applyProtection="1">
      <alignment horizontal="right" vertical="center" indent="1"/>
      <protection hidden="1"/>
    </xf>
    <xf numFmtId="180" fontId="14" fillId="21" borderId="134" xfId="1" applyNumberFormat="1" applyFont="1" applyFill="1" applyBorder="1" applyAlignment="1" applyProtection="1">
      <alignment horizontal="center" vertical="center"/>
      <protection hidden="1"/>
    </xf>
    <xf numFmtId="180" fontId="14" fillId="21" borderId="125" xfId="1" applyNumberFormat="1" applyFont="1" applyFill="1" applyBorder="1" applyAlignment="1" applyProtection="1">
      <alignment horizontal="center" vertical="center"/>
      <protection hidden="1"/>
    </xf>
    <xf numFmtId="175" fontId="14" fillId="21" borderId="50" xfId="1" applyNumberFormat="1" applyFont="1" applyFill="1" applyBorder="1" applyAlignment="1" applyProtection="1">
      <alignment horizontal="right" vertical="center" indent="1"/>
      <protection hidden="1"/>
    </xf>
    <xf numFmtId="180" fontId="14" fillId="21" borderId="50" xfId="1" applyNumberFormat="1" applyFont="1" applyFill="1" applyBorder="1" applyAlignment="1" applyProtection="1">
      <alignment horizontal="right" vertical="center" indent="1"/>
      <protection hidden="1"/>
    </xf>
    <xf numFmtId="180" fontId="14" fillId="21" borderId="148" xfId="1" applyNumberFormat="1" applyFont="1" applyFill="1" applyBorder="1" applyAlignment="1" applyProtection="1">
      <alignment horizontal="right" vertical="center" indent="1"/>
      <protection hidden="1"/>
    </xf>
    <xf numFmtId="3" fontId="12" fillId="0" borderId="0" xfId="9" applyNumberFormat="1" applyFont="1" applyAlignment="1" applyProtection="1">
      <alignment horizontal="left"/>
    </xf>
    <xf numFmtId="3" fontId="12" fillId="0" borderId="0" xfId="9" applyNumberFormat="1" applyAlignment="1" applyProtection="1">
      <alignment horizontal="left"/>
    </xf>
    <xf numFmtId="0" fontId="79" fillId="0" borderId="61" xfId="9" applyFont="1" applyFill="1" applyBorder="1" applyAlignment="1" applyProtection="1">
      <alignment horizontal="right" vertical="center"/>
    </xf>
    <xf numFmtId="0" fontId="79" fillId="0" borderId="12" xfId="9" applyFont="1" applyFill="1" applyBorder="1" applyAlignment="1" applyProtection="1">
      <alignment horizontal="right" vertical="center"/>
    </xf>
    <xf numFmtId="49" fontId="12" fillId="7" borderId="65" xfId="9" applyNumberFormat="1" applyFill="1" applyBorder="1" applyAlignment="1" applyProtection="1">
      <alignment horizontal="left" vertical="center"/>
      <protection locked="0"/>
    </xf>
    <xf numFmtId="183" fontId="12" fillId="7" borderId="65" xfId="9" applyNumberFormat="1" applyFill="1" applyBorder="1" applyAlignment="1" applyProtection="1">
      <alignment horizontal="right" vertical="center" indent="2"/>
      <protection locked="0"/>
    </xf>
    <xf numFmtId="183" fontId="12" fillId="7" borderId="65" xfId="9" applyNumberFormat="1" applyFill="1" applyBorder="1" applyAlignment="1" applyProtection="1">
      <alignment horizontal="right" vertical="center" indent="1"/>
      <protection locked="0"/>
    </xf>
    <xf numFmtId="0" fontId="12" fillId="7" borderId="4" xfId="9" applyFill="1" applyBorder="1" applyAlignment="1" applyProtection="1">
      <alignment horizontal="left" vertical="center"/>
      <protection locked="0"/>
    </xf>
    <xf numFmtId="3" fontId="12" fillId="7" borderId="64" xfId="9" applyNumberFormat="1" applyFont="1" applyFill="1" applyBorder="1" applyAlignment="1" applyProtection="1">
      <alignment horizontal="left" vertical="center"/>
      <protection locked="0"/>
    </xf>
    <xf numFmtId="0" fontId="17" fillId="0" borderId="1" xfId="9" applyFont="1" applyFill="1" applyBorder="1" applyAlignment="1" applyProtection="1">
      <alignment horizontal="center" vertical="center" wrapText="1"/>
    </xf>
    <xf numFmtId="0" fontId="17" fillId="0" borderId="10" xfId="9" applyFont="1" applyFill="1" applyBorder="1" applyAlignment="1" applyProtection="1">
      <alignment horizontal="center" vertical="center" wrapText="1"/>
    </xf>
    <xf numFmtId="0" fontId="17" fillId="0" borderId="49" xfId="9" applyFont="1" applyFill="1" applyBorder="1" applyAlignment="1" applyProtection="1">
      <alignment horizontal="center" vertical="center" wrapText="1"/>
    </xf>
    <xf numFmtId="3" fontId="15" fillId="7" borderId="65" xfId="9" applyNumberFormat="1" applyFont="1" applyFill="1" applyBorder="1" applyAlignment="1" applyProtection="1">
      <alignment horizontal="right" vertical="center" wrapText="1"/>
      <protection locked="0"/>
    </xf>
    <xf numFmtId="0" fontId="17" fillId="0" borderId="3" xfId="9" applyFont="1" applyFill="1" applyBorder="1" applyAlignment="1" applyProtection="1">
      <alignment horizontal="center" vertical="center" wrapText="1"/>
    </xf>
    <xf numFmtId="0" fontId="17" fillId="0" borderId="0" xfId="9" applyFont="1" applyFill="1" applyBorder="1" applyAlignment="1" applyProtection="1">
      <alignment horizontal="center" vertical="center" wrapText="1"/>
    </xf>
    <xf numFmtId="0" fontId="17" fillId="0" borderId="30" xfId="9" applyFont="1" applyFill="1" applyBorder="1" applyAlignment="1" applyProtection="1">
      <alignment horizontal="center" vertical="center" wrapText="1"/>
    </xf>
    <xf numFmtId="3" fontId="12" fillId="0" borderId="31" xfId="9" applyNumberFormat="1" applyFill="1" applyBorder="1" applyAlignment="1" applyProtection="1">
      <alignment horizontal="right" vertical="center"/>
    </xf>
    <xf numFmtId="3" fontId="12" fillId="0" borderId="4" xfId="9" applyNumberFormat="1" applyFill="1" applyBorder="1" applyAlignment="1" applyProtection="1">
      <alignment horizontal="right" vertical="center"/>
    </xf>
    <xf numFmtId="3" fontId="12" fillId="0" borderId="20" xfId="9" applyNumberFormat="1" applyFill="1" applyBorder="1" applyAlignment="1" applyProtection="1">
      <alignment horizontal="right" vertical="center"/>
    </xf>
    <xf numFmtId="3" fontId="12" fillId="0" borderId="21" xfId="9" applyNumberFormat="1" applyFill="1" applyBorder="1" applyAlignment="1" applyProtection="1">
      <alignment horizontal="right" vertical="center"/>
    </xf>
    <xf numFmtId="3" fontId="15" fillId="7" borderId="69" xfId="9" applyNumberFormat="1" applyFont="1" applyFill="1" applyBorder="1" applyAlignment="1" applyProtection="1">
      <alignment horizontal="right" vertical="center" wrapText="1"/>
      <protection locked="0"/>
    </xf>
    <xf numFmtId="198" fontId="48" fillId="0" borderId="0" xfId="9" applyNumberFormat="1" applyFont="1" applyFill="1" applyAlignment="1" applyProtection="1">
      <alignment horizontal="left" vertical="center"/>
    </xf>
    <xf numFmtId="197" fontId="48" fillId="0" borderId="0" xfId="9" applyNumberFormat="1" applyFont="1" applyFill="1" applyBorder="1" applyAlignment="1" applyProtection="1">
      <alignment horizontal="left" vertical="center"/>
    </xf>
    <xf numFmtId="3" fontId="23" fillId="0" borderId="0" xfId="9" applyNumberFormat="1" applyFont="1" applyAlignment="1" applyProtection="1"/>
    <xf numFmtId="0" fontId="12" fillId="7" borderId="65" xfId="9" applyFill="1" applyBorder="1" applyAlignment="1" applyProtection="1">
      <alignment horizontal="left" vertical="center"/>
      <protection locked="0"/>
    </xf>
    <xf numFmtId="0" fontId="17" fillId="0" borderId="64" xfId="9" applyFont="1" applyFill="1" applyBorder="1" applyAlignment="1" applyProtection="1">
      <alignment horizontal="center" vertical="center"/>
    </xf>
    <xf numFmtId="3" fontId="12" fillId="7" borderId="64" xfId="9" applyNumberFormat="1" applyFill="1" applyBorder="1" applyAlignment="1" applyProtection="1">
      <alignment horizontal="left" vertical="center"/>
      <protection locked="0"/>
    </xf>
    <xf numFmtId="0" fontId="15" fillId="0" borderId="14" xfId="9" applyFont="1" applyFill="1" applyBorder="1" applyAlignment="1" applyProtection="1">
      <alignment horizontal="center" vertical="center" textRotation="90"/>
    </xf>
    <xf numFmtId="0" fontId="15" fillId="0" borderId="22" xfId="9" applyFont="1" applyFill="1" applyBorder="1" applyAlignment="1" applyProtection="1">
      <alignment horizontal="center" vertical="center" textRotation="90"/>
    </xf>
    <xf numFmtId="3" fontId="12" fillId="0" borderId="12" xfId="9" applyNumberFormat="1" applyFont="1" applyFill="1" applyBorder="1" applyAlignment="1" applyProtection="1">
      <alignment horizontal="left" vertical="center"/>
    </xf>
    <xf numFmtId="0" fontId="12" fillId="15" borderId="0" xfId="9" applyFont="1" applyFill="1" applyAlignment="1" applyProtection="1">
      <alignment horizontal="left" vertical="center"/>
    </xf>
    <xf numFmtId="49" fontId="13" fillId="7" borderId="0" xfId="9" applyNumberFormat="1" applyFont="1" applyFill="1" applyBorder="1" applyAlignment="1" applyProtection="1">
      <alignment horizontal="left" vertical="center"/>
      <protection locked="0"/>
    </xf>
    <xf numFmtId="49" fontId="12" fillId="7" borderId="0" xfId="0" applyNumberFormat="1" applyFont="1" applyFill="1" applyAlignment="1" applyProtection="1">
      <alignment vertical="center"/>
      <protection locked="0"/>
    </xf>
    <xf numFmtId="49" fontId="0" fillId="7" borderId="0" xfId="0" applyNumberFormat="1" applyFill="1" applyAlignment="1" applyProtection="1">
      <alignment vertical="center"/>
      <protection locked="0"/>
    </xf>
    <xf numFmtId="0" fontId="69" fillId="12" borderId="0" xfId="9" applyFont="1" applyFill="1" applyAlignment="1" applyProtection="1">
      <alignment horizontal="center" vertical="center"/>
    </xf>
    <xf numFmtId="0" fontId="17" fillId="0" borderId="31" xfId="9" applyFont="1" applyFill="1" applyBorder="1" applyAlignment="1" applyProtection="1">
      <alignment horizontal="center" vertical="center" wrapText="1"/>
    </xf>
    <xf numFmtId="0" fontId="17" fillId="0" borderId="4" xfId="9" applyFont="1" applyFill="1" applyBorder="1" applyAlignment="1" applyProtection="1">
      <alignment horizontal="center" vertical="center" wrapText="1"/>
    </xf>
    <xf numFmtId="0" fontId="17" fillId="0" borderId="32" xfId="9" applyFont="1" applyFill="1" applyBorder="1" applyAlignment="1" applyProtection="1">
      <alignment horizontal="center" vertical="center" wrapText="1"/>
    </xf>
    <xf numFmtId="3" fontId="15" fillId="7" borderId="73" xfId="9" applyNumberFormat="1" applyFont="1" applyFill="1" applyBorder="1" applyAlignment="1" applyProtection="1">
      <alignment horizontal="right" vertical="center" wrapText="1"/>
      <protection locked="0"/>
    </xf>
    <xf numFmtId="9" fontId="15" fillId="7" borderId="64" xfId="5" applyFont="1" applyFill="1" applyBorder="1" applyAlignment="1" applyProtection="1">
      <alignment horizontal="right" vertical="center"/>
      <protection locked="0"/>
    </xf>
    <xf numFmtId="0" fontId="79" fillId="0" borderId="6" xfId="9" applyFont="1" applyFill="1" applyBorder="1" applyAlignment="1" applyProtection="1">
      <alignment horizontal="right" vertical="center"/>
    </xf>
    <xf numFmtId="0" fontId="79" fillId="0" borderId="0" xfId="9" applyFont="1" applyFill="1" applyAlignment="1" applyProtection="1">
      <alignment horizontal="right" vertical="center"/>
    </xf>
    <xf numFmtId="0" fontId="79" fillId="0" borderId="9" xfId="9" applyFont="1" applyFill="1" applyBorder="1" applyAlignment="1" applyProtection="1">
      <alignment horizontal="right" vertical="center"/>
    </xf>
    <xf numFmtId="0" fontId="79" fillId="0" borderId="8" xfId="9" applyFont="1" applyFill="1" applyBorder="1" applyAlignment="1" applyProtection="1">
      <alignment horizontal="right" vertical="center"/>
    </xf>
    <xf numFmtId="0" fontId="79" fillId="0" borderId="0" xfId="9" applyFont="1" applyFill="1" applyBorder="1" applyAlignment="1" applyProtection="1">
      <alignment horizontal="right" vertical="center"/>
    </xf>
    <xf numFmtId="0" fontId="0" fillId="0" borderId="8" xfId="0" applyBorder="1" applyAlignment="1">
      <alignment horizontal="right"/>
    </xf>
    <xf numFmtId="0" fontId="17" fillId="0" borderId="36" xfId="9" applyFont="1" applyFill="1" applyBorder="1" applyAlignment="1" applyProtection="1">
      <alignment horizontal="center" vertical="center" wrapText="1"/>
    </xf>
    <xf numFmtId="0" fontId="17" fillId="0" borderId="2" xfId="9" applyFont="1" applyFill="1" applyBorder="1" applyAlignment="1" applyProtection="1">
      <alignment horizontal="center" vertical="center" wrapText="1"/>
    </xf>
    <xf numFmtId="0" fontId="17" fillId="0" borderId="74" xfId="9" applyFont="1" applyFill="1" applyBorder="1" applyAlignment="1" applyProtection="1">
      <alignment horizontal="center" vertical="center" wrapText="1"/>
    </xf>
    <xf numFmtId="0" fontId="17" fillId="0" borderId="1" xfId="9" applyFont="1" applyFill="1" applyBorder="1" applyAlignment="1">
      <alignment horizontal="center" vertical="center" wrapText="1"/>
    </xf>
    <xf numFmtId="0" fontId="17" fillId="0" borderId="10" xfId="9" applyFont="1" applyFill="1" applyBorder="1" applyAlignment="1">
      <alignment horizontal="center" vertical="center" wrapText="1"/>
    </xf>
    <xf numFmtId="0" fontId="17" fillId="0" borderId="49" xfId="9" applyFont="1" applyFill="1" applyBorder="1" applyAlignment="1">
      <alignment horizontal="center" vertical="center" wrapText="1"/>
    </xf>
    <xf numFmtId="0" fontId="12" fillId="15" borderId="0" xfId="9" applyFont="1" applyFill="1" applyAlignment="1">
      <alignment horizontal="left" vertical="center"/>
    </xf>
    <xf numFmtId="49" fontId="13" fillId="7" borderId="0" xfId="0" applyNumberFormat="1" applyFont="1" applyFill="1" applyBorder="1" applyAlignment="1" applyProtection="1">
      <alignment horizontal="left" vertical="center"/>
      <protection locked="0"/>
    </xf>
    <xf numFmtId="0" fontId="69" fillId="12" borderId="0" xfId="9" applyFont="1" applyFill="1" applyAlignment="1">
      <alignment horizontal="center" vertical="center"/>
    </xf>
    <xf numFmtId="0" fontId="17" fillId="0" borderId="3" xfId="9" applyFont="1" applyFill="1" applyBorder="1" applyAlignment="1">
      <alignment horizontal="center" vertical="center" wrapText="1"/>
    </xf>
    <xf numFmtId="0" fontId="17" fillId="0" borderId="0" xfId="9" applyFont="1" applyFill="1" applyBorder="1" applyAlignment="1">
      <alignment horizontal="center" vertical="center" wrapText="1"/>
    </xf>
    <xf numFmtId="0" fontId="17" fillId="0" borderId="30" xfId="9" applyFont="1" applyFill="1" applyBorder="1" applyAlignment="1">
      <alignment horizontal="center" vertical="center" wrapText="1"/>
    </xf>
    <xf numFmtId="0" fontId="17" fillId="0" borderId="31" xfId="9" applyFont="1" applyFill="1" applyBorder="1" applyAlignment="1">
      <alignment horizontal="center" vertical="center" wrapText="1"/>
    </xf>
    <xf numFmtId="0" fontId="17" fillId="0" borderId="4" xfId="9" applyFont="1" applyFill="1" applyBorder="1" applyAlignment="1">
      <alignment horizontal="center" vertical="center" wrapText="1"/>
    </xf>
    <xf numFmtId="0" fontId="17" fillId="0" borderId="32" xfId="9" applyFont="1" applyFill="1" applyBorder="1" applyAlignment="1">
      <alignment horizontal="center" vertical="center" wrapText="1"/>
    </xf>
    <xf numFmtId="0" fontId="17" fillId="0" borderId="36" xfId="9" applyFont="1" applyFill="1" applyBorder="1" applyAlignment="1">
      <alignment horizontal="center" vertical="center" wrapText="1"/>
    </xf>
    <xf numFmtId="0" fontId="17" fillId="0" borderId="2" xfId="9" applyFont="1" applyFill="1" applyBorder="1" applyAlignment="1">
      <alignment horizontal="center" vertical="center" wrapText="1"/>
    </xf>
    <xf numFmtId="0" fontId="17" fillId="0" borderId="74" xfId="9" applyFont="1" applyFill="1" applyBorder="1" applyAlignment="1">
      <alignment horizontal="center" vertical="center" wrapText="1"/>
    </xf>
    <xf numFmtId="3" fontId="12" fillId="0" borderId="0" xfId="9" applyNumberFormat="1" applyFont="1" applyAlignment="1">
      <alignment horizontal="left"/>
    </xf>
    <xf numFmtId="3" fontId="12" fillId="0" borderId="0" xfId="9" applyNumberFormat="1" applyAlignment="1">
      <alignment horizontal="left"/>
    </xf>
    <xf numFmtId="0" fontId="15" fillId="0" borderId="14" xfId="9" applyFont="1" applyFill="1" applyBorder="1" applyAlignment="1">
      <alignment horizontal="center" vertical="center" textRotation="90"/>
    </xf>
    <xf numFmtId="0" fontId="15" fillId="0" borderId="22" xfId="9" applyFont="1" applyFill="1" applyBorder="1" applyAlignment="1">
      <alignment horizontal="center" vertical="center" textRotation="90"/>
    </xf>
    <xf numFmtId="0" fontId="17" fillId="0" borderId="64" xfId="9" applyFont="1" applyFill="1" applyBorder="1" applyAlignment="1">
      <alignment horizontal="center" vertical="center"/>
    </xf>
    <xf numFmtId="3" fontId="23" fillId="0" borderId="0" xfId="9" applyNumberFormat="1" applyFont="1" applyAlignment="1"/>
    <xf numFmtId="0" fontId="34" fillId="0" borderId="39" xfId="1" applyFont="1" applyFill="1" applyBorder="1" applyAlignment="1" applyProtection="1">
      <alignment horizontal="center" vertical="top" wrapText="1"/>
      <protection hidden="1"/>
    </xf>
    <xf numFmtId="0" fontId="34" fillId="0" borderId="10" xfId="1" applyFont="1" applyFill="1" applyBorder="1" applyAlignment="1" applyProtection="1">
      <alignment horizontal="center" vertical="top" wrapText="1"/>
      <protection hidden="1"/>
    </xf>
    <xf numFmtId="0" fontId="34" fillId="0" borderId="44" xfId="1" applyFont="1" applyFill="1" applyBorder="1" applyAlignment="1" applyProtection="1">
      <alignment horizontal="center" vertical="top" wrapText="1"/>
      <protection hidden="1"/>
    </xf>
    <xf numFmtId="0" fontId="9" fillId="0" borderId="9" xfId="1" applyFont="1" applyFill="1" applyBorder="1" applyAlignment="1" applyProtection="1">
      <alignment horizontal="center" vertical="top" wrapText="1"/>
      <protection hidden="1"/>
    </xf>
    <xf numFmtId="0" fontId="9" fillId="0" borderId="8" xfId="1" applyFont="1" applyFill="1" applyBorder="1" applyAlignment="1" applyProtection="1">
      <alignment horizontal="center" vertical="top" wrapText="1"/>
      <protection hidden="1"/>
    </xf>
    <xf numFmtId="0" fontId="9" fillId="0" borderId="45" xfId="1" applyFont="1" applyFill="1" applyBorder="1" applyAlignment="1" applyProtection="1">
      <alignment horizontal="center" vertical="top" wrapText="1"/>
      <protection hidden="1"/>
    </xf>
    <xf numFmtId="0" fontId="9" fillId="7" borderId="135" xfId="0" applyFont="1" applyFill="1" applyBorder="1" applyAlignment="1" applyProtection="1">
      <alignment horizontal="left" vertical="center"/>
      <protection locked="0"/>
    </xf>
    <xf numFmtId="0" fontId="9" fillId="7" borderId="16" xfId="0" applyFont="1" applyFill="1" applyBorder="1" applyAlignment="1" applyProtection="1">
      <alignment horizontal="left" vertical="center"/>
      <protection locked="0"/>
    </xf>
    <xf numFmtId="0" fontId="9" fillId="7" borderId="184" xfId="0" applyFont="1" applyFill="1" applyBorder="1" applyAlignment="1" applyProtection="1">
      <alignment horizontal="left" vertical="center"/>
      <protection locked="0"/>
    </xf>
    <xf numFmtId="0" fontId="9" fillId="7" borderId="48" xfId="0" applyFont="1" applyFill="1" applyBorder="1" applyAlignment="1" applyProtection="1">
      <alignment horizontal="left" vertical="center"/>
      <protection locked="0"/>
    </xf>
    <xf numFmtId="0" fontId="9" fillId="7" borderId="65" xfId="0" applyFont="1" applyFill="1" applyBorder="1" applyAlignment="1" applyProtection="1">
      <alignment horizontal="left" vertical="center"/>
      <protection locked="0"/>
    </xf>
    <xf numFmtId="0" fontId="9" fillId="7" borderId="67" xfId="0" applyFont="1" applyFill="1" applyBorder="1" applyAlignment="1" applyProtection="1">
      <alignment horizontal="left" vertical="center"/>
      <protection locked="0"/>
    </xf>
    <xf numFmtId="0" fontId="9" fillId="7" borderId="137" xfId="0" applyFont="1" applyFill="1" applyBorder="1" applyAlignment="1" applyProtection="1">
      <alignment horizontal="left" vertical="center"/>
      <protection locked="0"/>
    </xf>
    <xf numFmtId="0" fontId="9" fillId="7" borderId="123" xfId="0" applyFont="1" applyFill="1" applyBorder="1" applyAlignment="1" applyProtection="1">
      <alignment horizontal="left" vertical="center"/>
      <protection locked="0"/>
    </xf>
    <xf numFmtId="0" fontId="9" fillId="7" borderId="185" xfId="0" applyFont="1" applyFill="1" applyBorder="1" applyAlignment="1" applyProtection="1">
      <alignment horizontal="left" vertical="center"/>
      <protection locked="0"/>
    </xf>
    <xf numFmtId="3" fontId="9" fillId="0" borderId="48" xfId="1" applyNumberFormat="1" applyFont="1" applyFill="1" applyBorder="1" applyAlignment="1" applyProtection="1">
      <alignment horizontal="right" vertical="center" indent="3"/>
    </xf>
    <xf numFmtId="3" fontId="9" fillId="0" borderId="65" xfId="1" applyNumberFormat="1" applyFont="1" applyFill="1" applyBorder="1" applyAlignment="1" applyProtection="1">
      <alignment horizontal="right" vertical="center" indent="3"/>
    </xf>
    <xf numFmtId="3" fontId="9" fillId="0" borderId="124" xfId="1" applyNumberFormat="1" applyFont="1" applyFill="1" applyBorder="1" applyAlignment="1" applyProtection="1">
      <alignment horizontal="right" vertical="center" indent="3"/>
    </xf>
    <xf numFmtId="190" fontId="9" fillId="0" borderId="48" xfId="1" applyNumberFormat="1" applyFont="1" applyFill="1" applyBorder="1" applyAlignment="1" applyProtection="1">
      <alignment horizontal="right" vertical="center" indent="1"/>
      <protection hidden="1"/>
    </xf>
    <xf numFmtId="190" fontId="9" fillId="0" borderId="124" xfId="1" applyNumberFormat="1" applyFont="1" applyFill="1" applyBorder="1" applyAlignment="1" applyProtection="1">
      <alignment horizontal="right" vertical="center" indent="1"/>
      <protection hidden="1"/>
    </xf>
    <xf numFmtId="180" fontId="9" fillId="0" borderId="48" xfId="1" applyNumberFormat="1" applyFont="1" applyFill="1" applyBorder="1" applyAlignment="1" applyProtection="1">
      <alignment horizontal="right" vertical="center" indent="3"/>
      <protection hidden="1"/>
    </xf>
    <xf numFmtId="180" fontId="9" fillId="0" borderId="124" xfId="1" applyNumberFormat="1" applyFont="1" applyFill="1" applyBorder="1" applyAlignment="1" applyProtection="1">
      <alignment horizontal="right" vertical="center" indent="3"/>
      <protection hidden="1"/>
    </xf>
    <xf numFmtId="3" fontId="9" fillId="0" borderId="47" xfId="1" applyNumberFormat="1" applyFont="1" applyFill="1" applyBorder="1" applyAlignment="1" applyProtection="1">
      <alignment horizontal="right" vertical="center" indent="3"/>
    </xf>
    <xf numFmtId="3" fontId="9" fillId="0" borderId="73" xfId="1" applyNumberFormat="1" applyFont="1" applyFill="1" applyBorder="1" applyAlignment="1" applyProtection="1">
      <alignment horizontal="right" vertical="center" indent="3"/>
    </xf>
    <xf numFmtId="3" fontId="9" fillId="0" borderId="134" xfId="1" applyNumberFormat="1" applyFont="1" applyFill="1" applyBorder="1" applyAlignment="1" applyProtection="1">
      <alignment horizontal="right" vertical="center" indent="3"/>
    </xf>
    <xf numFmtId="190" fontId="34" fillId="0" borderId="237" xfId="1" quotePrefix="1" applyNumberFormat="1" applyFont="1" applyBorder="1" applyAlignment="1" applyProtection="1">
      <alignment horizontal="center" vertical="center"/>
      <protection hidden="1"/>
    </xf>
    <xf numFmtId="190" fontId="34" fillId="0" borderId="133" xfId="1" applyNumberFormat="1" applyFont="1" applyBorder="1" applyAlignment="1" applyProtection="1">
      <alignment horizontal="center" vertical="center"/>
      <protection hidden="1"/>
    </xf>
    <xf numFmtId="181" fontId="22" fillId="0" borderId="65" xfId="1" applyNumberFormat="1" applyFont="1" applyBorder="1" applyAlignment="1" applyProtection="1">
      <alignment vertical="center"/>
      <protection hidden="1"/>
    </xf>
    <xf numFmtId="181" fontId="22" fillId="0" borderId="124" xfId="1" applyNumberFormat="1" applyFont="1" applyBorder="1" applyAlignment="1" applyProtection="1">
      <alignment vertical="center"/>
      <protection hidden="1"/>
    </xf>
    <xf numFmtId="3" fontId="9" fillId="0" borderId="5" xfId="1" applyNumberFormat="1" applyFont="1" applyFill="1" applyBorder="1" applyAlignment="1" applyProtection="1">
      <alignment horizontal="right" vertical="center" indent="3"/>
    </xf>
    <xf numFmtId="3" fontId="9" fillId="0" borderId="4" xfId="1" applyNumberFormat="1" applyFont="1" applyFill="1" applyBorder="1" applyAlignment="1" applyProtection="1">
      <alignment horizontal="right" vertical="center" indent="3"/>
    </xf>
    <xf numFmtId="3" fontId="9" fillId="0" borderId="125" xfId="1" applyNumberFormat="1" applyFont="1" applyFill="1" applyBorder="1" applyAlignment="1" applyProtection="1">
      <alignment horizontal="right" vertical="center" indent="3"/>
    </xf>
    <xf numFmtId="190" fontId="9" fillId="0" borderId="47" xfId="1" applyNumberFormat="1" applyFont="1" applyBorder="1" applyAlignment="1" applyProtection="1">
      <alignment horizontal="right" vertical="center" indent="1"/>
      <protection hidden="1"/>
    </xf>
    <xf numFmtId="190" fontId="9" fillId="0" borderId="134" xfId="1" applyNumberFormat="1" applyFont="1" applyBorder="1" applyAlignment="1" applyProtection="1">
      <alignment horizontal="right" vertical="center" indent="1"/>
      <protection hidden="1"/>
    </xf>
    <xf numFmtId="190" fontId="9" fillId="0" borderId="5" xfId="1" applyNumberFormat="1" applyFont="1" applyBorder="1" applyAlignment="1" applyProtection="1">
      <alignment horizontal="right" vertical="center" indent="1"/>
      <protection hidden="1"/>
    </xf>
    <xf numFmtId="190" fontId="9" fillId="0" borderId="125" xfId="1" applyNumberFormat="1" applyFont="1" applyBorder="1" applyAlignment="1" applyProtection="1">
      <alignment horizontal="right" vertical="center" indent="1"/>
      <protection hidden="1"/>
    </xf>
    <xf numFmtId="190" fontId="31" fillId="0" borderId="151" xfId="1" applyNumberFormat="1" applyFont="1" applyFill="1" applyBorder="1" applyAlignment="1" applyProtection="1">
      <alignment horizontal="right" vertical="center" indent="2"/>
      <protection hidden="1"/>
    </xf>
    <xf numFmtId="190" fontId="31" fillId="0" borderId="124" xfId="1" applyNumberFormat="1" applyFont="1" applyFill="1" applyBorder="1" applyAlignment="1" applyProtection="1">
      <alignment horizontal="right" vertical="center" indent="2"/>
      <protection hidden="1"/>
    </xf>
    <xf numFmtId="180" fontId="9" fillId="0" borderId="48" xfId="1" applyNumberFormat="1" applyFont="1" applyBorder="1" applyAlignment="1" applyProtection="1">
      <alignment horizontal="right" vertical="center" indent="3"/>
      <protection hidden="1"/>
    </xf>
    <xf numFmtId="180" fontId="9" fillId="0" borderId="124" xfId="1" applyNumberFormat="1" applyFont="1" applyBorder="1" applyAlignment="1" applyProtection="1">
      <alignment horizontal="right" vertical="center" indent="3"/>
      <protection hidden="1"/>
    </xf>
    <xf numFmtId="171" fontId="34" fillId="0" borderId="0" xfId="1" applyNumberFormat="1" applyFont="1" applyAlignment="1" applyProtection="1">
      <alignment horizontal="center"/>
      <protection hidden="1"/>
    </xf>
    <xf numFmtId="0" fontId="34" fillId="0" borderId="39" xfId="1" applyFont="1" applyBorder="1" applyAlignment="1" applyProtection="1">
      <alignment horizontal="center" vertical="top" wrapText="1"/>
      <protection hidden="1"/>
    </xf>
    <xf numFmtId="0" fontId="34" fillId="0" borderId="44" xfId="1" applyFont="1" applyBorder="1" applyAlignment="1" applyProtection="1">
      <alignment horizontal="center" vertical="top" wrapText="1"/>
      <protection hidden="1"/>
    </xf>
    <xf numFmtId="0" fontId="34" fillId="0" borderId="6" xfId="1" applyFont="1" applyBorder="1" applyAlignment="1" applyProtection="1">
      <alignment horizontal="center" vertical="top" wrapText="1"/>
      <protection hidden="1"/>
    </xf>
    <xf numFmtId="0" fontId="34" fillId="0" borderId="75" xfId="1" applyFont="1" applyBorder="1" applyAlignment="1" applyProtection="1">
      <alignment horizontal="center" vertical="top" wrapText="1"/>
      <protection hidden="1"/>
    </xf>
    <xf numFmtId="0" fontId="9" fillId="0" borderId="9" xfId="1" applyFont="1" applyBorder="1" applyAlignment="1" applyProtection="1">
      <alignment horizontal="center" vertical="top" wrapText="1"/>
      <protection hidden="1"/>
    </xf>
    <xf numFmtId="0" fontId="9" fillId="0" borderId="45" xfId="1" applyFont="1" applyBorder="1" applyAlignment="1" applyProtection="1">
      <alignment horizontal="center" vertical="top" wrapText="1"/>
      <protection hidden="1"/>
    </xf>
    <xf numFmtId="0" fontId="9" fillId="0" borderId="8" xfId="1" applyFont="1" applyBorder="1" applyAlignment="1" applyProtection="1">
      <alignment horizontal="center" vertical="top" wrapText="1"/>
      <protection hidden="1"/>
    </xf>
    <xf numFmtId="0" fontId="9" fillId="0" borderId="183" xfId="1" applyFont="1" applyBorder="1" applyAlignment="1" applyProtection="1">
      <alignment horizontal="center" vertical="top" wrapText="1"/>
      <protection hidden="1"/>
    </xf>
    <xf numFmtId="0" fontId="22" fillId="0" borderId="4" xfId="1" applyFont="1" applyBorder="1" applyAlignment="1" applyProtection="1">
      <alignment vertical="center"/>
      <protection hidden="1"/>
    </xf>
    <xf numFmtId="0" fontId="22" fillId="0" borderId="125" xfId="1" applyFont="1" applyBorder="1" applyAlignment="1" applyProtection="1">
      <alignment vertical="center"/>
      <protection hidden="1"/>
    </xf>
    <xf numFmtId="205" fontId="22" fillId="0" borderId="235" xfId="5" applyNumberFormat="1" applyFont="1" applyBorder="1" applyAlignment="1" applyProtection="1">
      <alignment horizontal="right" vertical="center"/>
      <protection hidden="1"/>
    </xf>
    <xf numFmtId="205" fontId="22" fillId="0" borderId="222" xfId="5" applyNumberFormat="1" applyFont="1" applyBorder="1" applyAlignment="1" applyProtection="1">
      <alignment horizontal="right" vertical="center"/>
      <protection hidden="1"/>
    </xf>
    <xf numFmtId="0" fontId="34" fillId="0" borderId="10" xfId="1" applyFont="1" applyBorder="1" applyAlignment="1" applyProtection="1">
      <alignment horizontal="center" vertical="top" wrapText="1"/>
      <protection hidden="1"/>
    </xf>
    <xf numFmtId="0" fontId="34" fillId="0" borderId="49" xfId="1" applyFont="1" applyBorder="1" applyAlignment="1" applyProtection="1">
      <alignment horizontal="center" vertical="top" wrapText="1"/>
      <protection hidden="1"/>
    </xf>
    <xf numFmtId="0" fontId="34" fillId="0" borderId="0" xfId="1" applyFont="1" applyBorder="1" applyAlignment="1" applyProtection="1">
      <alignment horizontal="center" vertical="top" wrapText="1"/>
      <protection hidden="1"/>
    </xf>
    <xf numFmtId="0" fontId="34" fillId="0" borderId="30" xfId="1" applyFont="1" applyBorder="1" applyAlignment="1" applyProtection="1">
      <alignment horizontal="center" vertical="top" wrapText="1"/>
      <protection hidden="1"/>
    </xf>
    <xf numFmtId="0" fontId="9" fillId="0" borderId="283" xfId="1" applyFont="1" applyBorder="1" applyAlignment="1" applyProtection="1">
      <alignment horizontal="center" vertical="center"/>
      <protection hidden="1"/>
    </xf>
    <xf numFmtId="199" fontId="9" fillId="12" borderId="314" xfId="8" applyNumberFormat="1" applyFont="1" applyFill="1" applyBorder="1" applyAlignment="1" applyProtection="1">
      <alignment horizontal="right"/>
      <protection hidden="1"/>
    </xf>
    <xf numFmtId="0" fontId="9" fillId="7" borderId="135" xfId="1" applyFont="1" applyFill="1" applyBorder="1" applyAlignment="1" applyProtection="1">
      <alignment horizontal="left" vertical="center"/>
      <protection locked="0"/>
    </xf>
    <xf numFmtId="0" fontId="9" fillId="7" borderId="16" xfId="1" applyFont="1" applyFill="1" applyBorder="1" applyAlignment="1" applyProtection="1">
      <alignment horizontal="left" vertical="center"/>
      <protection locked="0"/>
    </xf>
    <xf numFmtId="0" fontId="9" fillId="7" borderId="58" xfId="1" applyFont="1" applyFill="1" applyBorder="1" applyAlignment="1" applyProtection="1">
      <alignment horizontal="left" vertical="center"/>
      <protection locked="0"/>
    </xf>
    <xf numFmtId="0" fontId="9" fillId="7" borderId="48" xfId="1" applyFont="1" applyFill="1" applyBorder="1" applyAlignment="1" applyProtection="1">
      <alignment horizontal="left" vertical="center"/>
      <protection locked="0"/>
    </xf>
    <xf numFmtId="0" fontId="9" fillId="7" borderId="65" xfId="1" applyFont="1" applyFill="1" applyBorder="1" applyAlignment="1" applyProtection="1">
      <alignment horizontal="left" vertical="center"/>
      <protection locked="0"/>
    </xf>
    <xf numFmtId="0" fontId="9" fillId="7" borderId="124" xfId="1" applyFont="1" applyFill="1" applyBorder="1" applyAlignment="1" applyProtection="1">
      <alignment horizontal="left" vertical="center"/>
      <protection locked="0"/>
    </xf>
    <xf numFmtId="0" fontId="9" fillId="7" borderId="137" xfId="1" applyFont="1" applyFill="1" applyBorder="1" applyAlignment="1" applyProtection="1">
      <alignment horizontal="left" vertical="center"/>
      <protection locked="0"/>
    </xf>
    <xf numFmtId="0" fontId="9" fillId="7" borderId="123" xfId="1" applyFont="1" applyFill="1" applyBorder="1" applyAlignment="1" applyProtection="1">
      <alignment horizontal="left" vertical="center"/>
      <protection locked="0"/>
    </xf>
    <xf numFmtId="0" fontId="9" fillId="7" borderId="136" xfId="1" applyFont="1" applyFill="1" applyBorder="1" applyAlignment="1" applyProtection="1">
      <alignment horizontal="left" vertical="center"/>
      <protection locked="0"/>
    </xf>
    <xf numFmtId="190" fontId="9" fillId="7" borderId="135" xfId="1" applyNumberFormat="1" applyFont="1" applyFill="1" applyBorder="1" applyAlignment="1" applyProtection="1">
      <alignment horizontal="right" vertical="center" indent="1"/>
      <protection locked="0"/>
    </xf>
    <xf numFmtId="190" fontId="9" fillId="7" borderId="58" xfId="1" applyNumberFormat="1" applyFont="1" applyFill="1" applyBorder="1" applyAlignment="1" applyProtection="1">
      <alignment horizontal="right" vertical="center" indent="1"/>
      <protection locked="0"/>
    </xf>
    <xf numFmtId="190" fontId="9" fillId="7" borderId="48" xfId="1" applyNumberFormat="1" applyFont="1" applyFill="1" applyBorder="1" applyAlignment="1" applyProtection="1">
      <alignment horizontal="right" vertical="center" indent="1"/>
      <protection locked="0"/>
    </xf>
    <xf numFmtId="190" fontId="9" fillId="7" borderId="124" xfId="1" applyNumberFormat="1" applyFont="1" applyFill="1" applyBorder="1" applyAlignment="1" applyProtection="1">
      <alignment horizontal="right" vertical="center" indent="1"/>
      <protection locked="0"/>
    </xf>
    <xf numFmtId="190" fontId="9" fillId="7" borderId="47" xfId="1" applyNumberFormat="1" applyFont="1" applyFill="1" applyBorder="1" applyAlignment="1" applyProtection="1">
      <alignment horizontal="right" vertical="center" indent="1"/>
      <protection locked="0"/>
    </xf>
    <xf numFmtId="190" fontId="9" fillId="7" borderId="134" xfId="1" applyNumberFormat="1" applyFont="1" applyFill="1" applyBorder="1" applyAlignment="1" applyProtection="1">
      <alignment horizontal="right" vertical="center" indent="1"/>
      <protection locked="0"/>
    </xf>
    <xf numFmtId="190" fontId="34" fillId="0" borderId="218" xfId="1" applyNumberFormat="1" applyFont="1" applyFill="1" applyBorder="1" applyAlignment="1" applyProtection="1">
      <alignment horizontal="right" vertical="center" indent="1"/>
      <protection hidden="1"/>
    </xf>
    <xf numFmtId="190" fontId="34" fillId="0" borderId="217" xfId="1" applyNumberFormat="1" applyFont="1" applyFill="1" applyBorder="1" applyAlignment="1" applyProtection="1">
      <alignment horizontal="right" vertical="center" indent="1"/>
      <protection hidden="1"/>
    </xf>
    <xf numFmtId="0" fontId="34" fillId="0" borderId="39" xfId="1" applyFont="1" applyBorder="1" applyAlignment="1" applyProtection="1">
      <alignment horizontal="center" vertical="center"/>
      <protection hidden="1"/>
    </xf>
    <xf numFmtId="0" fontId="34" fillId="0" borderId="44" xfId="1" applyFont="1" applyBorder="1" applyAlignment="1" applyProtection="1">
      <alignment horizontal="center" vertical="center"/>
      <protection hidden="1"/>
    </xf>
    <xf numFmtId="190" fontId="34" fillId="0" borderId="43" xfId="7" applyNumberFormat="1" applyFont="1" applyFill="1" applyBorder="1" applyAlignment="1" applyProtection="1">
      <alignment horizontal="right" indent="1"/>
      <protection hidden="1"/>
    </xf>
    <xf numFmtId="204" fontId="9" fillId="12" borderId="101" xfId="1" applyNumberFormat="1" applyFont="1" applyFill="1" applyBorder="1" applyAlignment="1" applyProtection="1">
      <alignment horizontal="center" vertical="center"/>
      <protection hidden="1"/>
    </xf>
    <xf numFmtId="0" fontId="108" fillId="15" borderId="0" xfId="1" applyFont="1" applyFill="1" applyBorder="1" applyAlignment="1" applyProtection="1">
      <alignment horizontal="left" vertical="center" wrapText="1"/>
      <protection hidden="1"/>
    </xf>
    <xf numFmtId="0" fontId="108" fillId="15" borderId="0" xfId="1" applyFont="1" applyFill="1" applyBorder="1" applyAlignment="1" applyProtection="1">
      <alignment horizontal="left" vertical="center"/>
      <protection hidden="1"/>
    </xf>
    <xf numFmtId="0" fontId="110" fillId="15" borderId="0" xfId="1" applyFont="1" applyFill="1" applyBorder="1" applyAlignment="1" applyProtection="1">
      <alignment horizontal="left" vertical="center" indent="2"/>
      <protection hidden="1"/>
    </xf>
    <xf numFmtId="190" fontId="108" fillId="15" borderId="0" xfId="1" applyNumberFormat="1" applyFont="1" applyFill="1" applyBorder="1" applyAlignment="1" applyProtection="1">
      <alignment horizontal="left" vertical="center" wrapText="1"/>
      <protection hidden="1"/>
    </xf>
    <xf numFmtId="190" fontId="9" fillId="0" borderId="47" xfId="1" applyNumberFormat="1" applyFont="1" applyBorder="1" applyAlignment="1" applyProtection="1">
      <alignment horizontal="right" vertical="center" indent="3"/>
      <protection hidden="1"/>
    </xf>
    <xf numFmtId="190" fontId="9" fillId="0" borderId="73" xfId="1" applyNumberFormat="1" applyFont="1" applyBorder="1" applyAlignment="1" applyProtection="1">
      <alignment horizontal="right" vertical="center" indent="3"/>
      <protection hidden="1"/>
    </xf>
    <xf numFmtId="190" fontId="9" fillId="0" borderId="72" xfId="1" applyNumberFormat="1" applyFont="1" applyBorder="1" applyAlignment="1" applyProtection="1">
      <alignment horizontal="right" vertical="center" indent="3"/>
      <protection hidden="1"/>
    </xf>
    <xf numFmtId="0" fontId="9" fillId="0" borderId="6" xfId="1" applyFont="1" applyBorder="1" applyAlignment="1" applyProtection="1">
      <alignment horizontal="center" vertical="center"/>
      <protection hidden="1"/>
    </xf>
    <xf numFmtId="0" fontId="9" fillId="0" borderId="0" xfId="1" applyFont="1" applyBorder="1" applyAlignment="1" applyProtection="1">
      <alignment horizontal="center" vertical="center"/>
      <protection hidden="1"/>
    </xf>
    <xf numFmtId="0" fontId="9" fillId="0" borderId="30" xfId="1" applyFont="1" applyBorder="1" applyAlignment="1" applyProtection="1">
      <alignment horizontal="center" vertical="center"/>
      <protection hidden="1"/>
    </xf>
    <xf numFmtId="190" fontId="9" fillId="0" borderId="5" xfId="1" applyNumberFormat="1" applyFont="1" applyBorder="1" applyAlignment="1" applyProtection="1">
      <alignment horizontal="right" vertical="center" indent="3"/>
      <protection hidden="1"/>
    </xf>
    <xf numFmtId="190" fontId="9" fillId="0" borderId="4" xfId="1" applyNumberFormat="1" applyFont="1" applyBorder="1" applyAlignment="1" applyProtection="1">
      <alignment horizontal="right" vertical="center" indent="3"/>
      <protection hidden="1"/>
    </xf>
    <xf numFmtId="190" fontId="9" fillId="0" borderId="32" xfId="1" applyNumberFormat="1" applyFont="1" applyBorder="1" applyAlignment="1" applyProtection="1">
      <alignment horizontal="right" vertical="center" indent="3"/>
      <protection hidden="1"/>
    </xf>
    <xf numFmtId="199" fontId="9" fillId="7" borderId="151" xfId="8" applyNumberFormat="1" applyFont="1" applyBorder="1" applyAlignment="1" applyProtection="1">
      <alignment horizontal="right"/>
      <protection locked="0"/>
    </xf>
    <xf numFmtId="199" fontId="9" fillId="7" borderId="143" xfId="8" applyNumberFormat="1" applyFont="1" applyBorder="1" applyAlignment="1" applyProtection="1">
      <alignment horizontal="right"/>
      <protection locked="0"/>
    </xf>
    <xf numFmtId="1" fontId="98" fillId="0" borderId="177" xfId="1" applyNumberFormat="1" applyFont="1" applyFill="1" applyBorder="1" applyAlignment="1" applyProtection="1">
      <alignment horizontal="center" vertical="center"/>
    </xf>
    <xf numFmtId="1" fontId="98" fillId="0" borderId="179" xfId="1" applyNumberFormat="1" applyFont="1" applyFill="1" applyBorder="1" applyAlignment="1" applyProtection="1">
      <alignment horizontal="center" vertical="center"/>
    </xf>
    <xf numFmtId="0" fontId="98" fillId="0" borderId="198" xfId="1" applyFont="1" applyBorder="1" applyAlignment="1" applyProtection="1">
      <alignment vertical="center"/>
    </xf>
    <xf numFmtId="0" fontId="98" fillId="0" borderId="194" xfId="1" applyFont="1" applyBorder="1" applyAlignment="1" applyProtection="1">
      <alignment vertical="center"/>
    </xf>
    <xf numFmtId="174" fontId="109" fillId="15" borderId="0" xfId="1" applyNumberFormat="1" applyFont="1" applyFill="1" applyBorder="1" applyAlignment="1" applyProtection="1">
      <alignment horizontal="left" vertical="center" indent="2"/>
      <protection hidden="1"/>
    </xf>
    <xf numFmtId="199" fontId="9" fillId="7" borderId="153" xfId="8" applyNumberFormat="1" applyFont="1" applyBorder="1" applyAlignment="1" applyProtection="1">
      <alignment horizontal="right"/>
      <protection locked="0"/>
    </xf>
    <xf numFmtId="3" fontId="9" fillId="0" borderId="135" xfId="1" applyNumberFormat="1" applyFont="1" applyFill="1" applyBorder="1" applyAlignment="1" applyProtection="1">
      <alignment horizontal="right" vertical="center" indent="6"/>
    </xf>
    <xf numFmtId="3" fontId="9" fillId="0" borderId="16" xfId="1" applyNumberFormat="1" applyFont="1" applyFill="1" applyBorder="1" applyAlignment="1" applyProtection="1">
      <alignment horizontal="right" vertical="center" indent="6"/>
    </xf>
    <xf numFmtId="3" fontId="9" fillId="0" borderId="58" xfId="1" applyNumberFormat="1" applyFont="1" applyFill="1" applyBorder="1" applyAlignment="1" applyProtection="1">
      <alignment horizontal="right" vertical="center" indent="6"/>
    </xf>
    <xf numFmtId="3" fontId="9" fillId="0" borderId="48" xfId="1" applyNumberFormat="1" applyFont="1" applyFill="1" applyBorder="1" applyAlignment="1" applyProtection="1">
      <alignment horizontal="right" vertical="center" indent="6"/>
    </xf>
    <xf numFmtId="3" fontId="9" fillId="0" borderId="65" xfId="1" applyNumberFormat="1" applyFont="1" applyFill="1" applyBorder="1" applyAlignment="1" applyProtection="1">
      <alignment horizontal="right" vertical="center" indent="6"/>
    </xf>
    <xf numFmtId="3" fontId="9" fillId="0" borderId="124" xfId="1" applyNumberFormat="1" applyFont="1" applyFill="1" applyBorder="1" applyAlignment="1" applyProtection="1">
      <alignment horizontal="right" vertical="center" indent="6"/>
    </xf>
    <xf numFmtId="3" fontId="9" fillId="0" borderId="137" xfId="1" applyNumberFormat="1" applyFont="1" applyBorder="1" applyAlignment="1" applyProtection="1">
      <alignment horizontal="right" vertical="center" indent="6"/>
      <protection hidden="1"/>
    </xf>
    <xf numFmtId="3" fontId="9" fillId="0" borderId="123" xfId="1" applyNumberFormat="1" applyFont="1" applyBorder="1" applyAlignment="1" applyProtection="1">
      <alignment horizontal="right" vertical="center" indent="6"/>
      <protection hidden="1"/>
    </xf>
    <xf numFmtId="3" fontId="9" fillId="0" borderId="136" xfId="1" applyNumberFormat="1" applyFont="1" applyBorder="1" applyAlignment="1" applyProtection="1">
      <alignment horizontal="right" vertical="center" indent="6"/>
      <protection hidden="1"/>
    </xf>
    <xf numFmtId="180" fontId="9" fillId="0" borderId="47" xfId="1" applyNumberFormat="1" applyFont="1" applyFill="1" applyBorder="1" applyAlignment="1" applyProtection="1">
      <alignment horizontal="right" vertical="center" indent="3"/>
      <protection hidden="1"/>
    </xf>
    <xf numFmtId="180" fontId="9" fillId="0" borderId="134" xfId="1" applyNumberFormat="1" applyFont="1" applyFill="1" applyBorder="1" applyAlignment="1" applyProtection="1">
      <alignment horizontal="right" vertical="center" indent="3"/>
      <protection hidden="1"/>
    </xf>
    <xf numFmtId="0" fontId="9" fillId="0" borderId="5" xfId="1" applyFont="1" applyBorder="1" applyAlignment="1" applyProtection="1">
      <alignment horizontal="center" vertical="center"/>
      <protection hidden="1"/>
    </xf>
    <xf numFmtId="0" fontId="9" fillId="0" borderId="125" xfId="1" applyFont="1" applyBorder="1" applyAlignment="1" applyProtection="1">
      <alignment horizontal="center" vertical="center"/>
      <protection hidden="1"/>
    </xf>
    <xf numFmtId="180" fontId="9" fillId="0" borderId="5" xfId="1" applyNumberFormat="1" applyFont="1" applyFill="1" applyBorder="1" applyAlignment="1" applyProtection="1">
      <alignment horizontal="right" vertical="center" indent="3"/>
      <protection hidden="1"/>
    </xf>
    <xf numFmtId="180" fontId="9" fillId="0" borderId="125" xfId="1" applyNumberFormat="1" applyFont="1" applyFill="1" applyBorder="1" applyAlignment="1" applyProtection="1">
      <alignment horizontal="right" vertical="center" indent="3"/>
      <protection hidden="1"/>
    </xf>
    <xf numFmtId="187" fontId="22" fillId="7" borderId="73" xfId="1" applyNumberFormat="1" applyFont="1" applyFill="1" applyBorder="1" applyAlignment="1" applyProtection="1">
      <alignment horizontal="left" vertical="center"/>
      <protection locked="0"/>
    </xf>
    <xf numFmtId="187" fontId="22" fillId="7" borderId="134" xfId="1" applyNumberFormat="1" applyFont="1" applyFill="1" applyBorder="1" applyAlignment="1" applyProtection="1">
      <alignment horizontal="left" vertical="center"/>
      <protection locked="0"/>
    </xf>
    <xf numFmtId="187" fontId="22" fillId="0" borderId="4" xfId="1" applyNumberFormat="1" applyFont="1" applyFill="1" applyBorder="1" applyAlignment="1" applyProtection="1">
      <alignment horizontal="left" vertical="center"/>
    </xf>
    <xf numFmtId="187" fontId="22" fillId="0" borderId="125" xfId="1" applyNumberFormat="1" applyFont="1" applyFill="1" applyBorder="1" applyAlignment="1" applyProtection="1">
      <alignment horizontal="left" vertical="center"/>
    </xf>
    <xf numFmtId="190" fontId="9" fillId="7" borderId="48" xfId="8" applyNumberFormat="1" applyFont="1" applyBorder="1" applyAlignment="1" applyProtection="1">
      <alignment horizontal="right" indent="1"/>
      <protection locked="0"/>
    </xf>
    <xf numFmtId="190" fontId="9" fillId="7" borderId="124" xfId="8" applyNumberFormat="1" applyFont="1" applyBorder="1" applyAlignment="1" applyProtection="1">
      <alignment horizontal="right" indent="1"/>
      <protection locked="0"/>
    </xf>
    <xf numFmtId="0" fontId="9" fillId="0" borderId="0" xfId="1" applyFont="1" applyAlignment="1" applyProtection="1">
      <alignment horizontal="right"/>
      <protection hidden="1"/>
    </xf>
    <xf numFmtId="186" fontId="9" fillId="0" borderId="5" xfId="1" applyNumberFormat="1" applyFont="1" applyBorder="1" applyAlignment="1" applyProtection="1">
      <alignment horizontal="center" vertical="center"/>
      <protection hidden="1"/>
    </xf>
    <xf numFmtId="186" fontId="9" fillId="0" borderId="125" xfId="1" applyNumberFormat="1" applyFont="1" applyBorder="1" applyAlignment="1" applyProtection="1">
      <alignment horizontal="center" vertical="center"/>
      <protection hidden="1"/>
    </xf>
    <xf numFmtId="168" fontId="9" fillId="0" borderId="0" xfId="8" applyNumberFormat="1" applyFont="1" applyFill="1" applyBorder="1" applyAlignment="1" applyProtection="1">
      <alignment horizontal="right"/>
      <protection hidden="1"/>
    </xf>
    <xf numFmtId="190" fontId="9" fillId="0" borderId="0" xfId="7" applyNumberFormat="1" applyFont="1" applyFill="1" applyBorder="1" applyAlignment="1" applyProtection="1">
      <alignment horizontal="right"/>
      <protection hidden="1"/>
    </xf>
    <xf numFmtId="186" fontId="9" fillId="0" borderId="47" xfId="1" applyNumberFormat="1" applyFont="1" applyBorder="1" applyAlignment="1" applyProtection="1">
      <alignment horizontal="center" vertical="center"/>
      <protection hidden="1"/>
    </xf>
    <xf numFmtId="186" fontId="9" fillId="0" borderId="134" xfId="1" applyNumberFormat="1" applyFont="1" applyBorder="1" applyAlignment="1" applyProtection="1">
      <alignment horizontal="center" vertical="center"/>
      <protection hidden="1"/>
    </xf>
    <xf numFmtId="0" fontId="34" fillId="0" borderId="6" xfId="1" applyFont="1" applyFill="1" applyBorder="1" applyAlignment="1" applyProtection="1">
      <alignment horizontal="center" vertical="top" wrapText="1"/>
      <protection hidden="1"/>
    </xf>
    <xf numFmtId="0" fontId="34" fillId="0" borderId="75" xfId="1" applyFont="1" applyFill="1" applyBorder="1" applyAlignment="1" applyProtection="1">
      <alignment horizontal="center" vertical="top" wrapText="1"/>
      <protection hidden="1"/>
    </xf>
    <xf numFmtId="3" fontId="34" fillId="0" borderId="218" xfId="1" applyNumberFormat="1" applyFont="1" applyBorder="1" applyAlignment="1" applyProtection="1">
      <alignment horizontal="right" vertical="center" indent="6"/>
      <protection hidden="1"/>
    </xf>
    <xf numFmtId="3" fontId="34" fillId="0" borderId="42" xfId="1" applyNumberFormat="1" applyFont="1" applyBorder="1" applyAlignment="1" applyProtection="1">
      <alignment horizontal="right" vertical="center" indent="6"/>
      <protection hidden="1"/>
    </xf>
    <xf numFmtId="3" fontId="34" fillId="0" borderId="217" xfId="1" applyNumberFormat="1" applyFont="1" applyBorder="1" applyAlignment="1" applyProtection="1">
      <alignment horizontal="right" vertical="center" indent="6"/>
      <protection hidden="1"/>
    </xf>
    <xf numFmtId="190" fontId="34" fillId="0" borderId="63" xfId="1" applyNumberFormat="1" applyFont="1" applyBorder="1" applyAlignment="1" applyProtection="1">
      <alignment horizontal="right" vertical="center" indent="3"/>
      <protection hidden="1"/>
    </xf>
    <xf numFmtId="190" fontId="34" fillId="0" borderId="64" xfId="1" applyNumberFormat="1" applyFont="1" applyBorder="1" applyAlignment="1" applyProtection="1">
      <alignment horizontal="right" vertical="center" indent="3"/>
      <protection hidden="1"/>
    </xf>
    <xf numFmtId="190" fontId="34" fillId="0" borderId="236" xfId="1" applyNumberFormat="1" applyFont="1" applyBorder="1" applyAlignment="1" applyProtection="1">
      <alignment horizontal="right" vertical="center" indent="3"/>
      <protection hidden="1"/>
    </xf>
    <xf numFmtId="190" fontId="31" fillId="0" borderId="47" xfId="1" applyNumberFormat="1" applyFont="1" applyFill="1" applyBorder="1" applyAlignment="1" applyProtection="1">
      <alignment horizontal="right" vertical="center" indent="3"/>
      <protection hidden="1"/>
    </xf>
    <xf numFmtId="190" fontId="31" fillId="0" borderId="73" xfId="1" applyNumberFormat="1" applyFont="1" applyFill="1" applyBorder="1" applyAlignment="1" applyProtection="1">
      <alignment horizontal="right" vertical="center" indent="3"/>
      <protection hidden="1"/>
    </xf>
    <xf numFmtId="190" fontId="31" fillId="0" borderId="140" xfId="1" applyNumberFormat="1" applyFont="1" applyFill="1" applyBorder="1" applyAlignment="1" applyProtection="1">
      <alignment horizontal="right" vertical="center" indent="3"/>
      <protection hidden="1"/>
    </xf>
    <xf numFmtId="190" fontId="31" fillId="0" borderId="148" xfId="1" applyNumberFormat="1" applyFont="1" applyFill="1" applyBorder="1" applyAlignment="1" applyProtection="1">
      <alignment horizontal="right" vertical="center" indent="2"/>
      <protection hidden="1"/>
    </xf>
    <xf numFmtId="190" fontId="31" fillId="0" borderId="134" xfId="1" applyNumberFormat="1" applyFont="1" applyFill="1" applyBorder="1" applyAlignment="1" applyProtection="1">
      <alignment horizontal="right" vertical="center" indent="2"/>
      <protection hidden="1"/>
    </xf>
    <xf numFmtId="190" fontId="31" fillId="0" borderId="147" xfId="1" applyNumberFormat="1" applyFont="1" applyFill="1" applyBorder="1" applyAlignment="1" applyProtection="1">
      <alignment horizontal="right" vertical="center" indent="2"/>
      <protection hidden="1"/>
    </xf>
    <xf numFmtId="190" fontId="31" fillId="0" borderId="125" xfId="1" applyNumberFormat="1" applyFont="1" applyFill="1" applyBorder="1" applyAlignment="1" applyProtection="1">
      <alignment horizontal="right" vertical="center" indent="2"/>
      <protection hidden="1"/>
    </xf>
    <xf numFmtId="190" fontId="9" fillId="0" borderId="151" xfId="1" quotePrefix="1" applyNumberFormat="1" applyFont="1" applyBorder="1" applyAlignment="1" applyProtection="1">
      <alignment horizontal="center" vertical="center"/>
      <protection hidden="1"/>
    </xf>
    <xf numFmtId="190" fontId="9" fillId="0" borderId="124" xfId="1" quotePrefix="1" applyNumberFormat="1" applyFont="1" applyBorder="1" applyAlignment="1" applyProtection="1">
      <alignment horizontal="center" vertical="center"/>
      <protection hidden="1"/>
    </xf>
    <xf numFmtId="190" fontId="34" fillId="0" borderId="146" xfId="1" applyNumberFormat="1" applyFont="1" applyBorder="1" applyAlignment="1" applyProtection="1">
      <alignment horizontal="right" vertical="center" indent="2"/>
      <protection hidden="1"/>
    </xf>
    <xf numFmtId="190" fontId="34" fillId="0" borderId="75" xfId="1" applyNumberFormat="1" applyFont="1" applyBorder="1" applyAlignment="1" applyProtection="1">
      <alignment horizontal="right" vertical="center" indent="2"/>
      <protection hidden="1"/>
    </xf>
    <xf numFmtId="186" fontId="9" fillId="0" borderId="48" xfId="1" applyNumberFormat="1" applyFont="1" applyBorder="1" applyAlignment="1" applyProtection="1">
      <alignment horizontal="center" vertical="center"/>
      <protection hidden="1"/>
    </xf>
    <xf numFmtId="186" fontId="9" fillId="0" borderId="124" xfId="1" applyNumberFormat="1" applyFont="1" applyBorder="1" applyAlignment="1" applyProtection="1">
      <alignment horizontal="center" vertical="center"/>
      <protection hidden="1"/>
    </xf>
    <xf numFmtId="190" fontId="31" fillId="0" borderId="48" xfId="1" applyNumberFormat="1" applyFont="1" applyFill="1" applyBorder="1" applyAlignment="1" applyProtection="1">
      <alignment horizontal="right" vertical="center" indent="3"/>
      <protection hidden="1"/>
    </xf>
    <xf numFmtId="190" fontId="31" fillId="0" borderId="65" xfId="1" applyNumberFormat="1" applyFont="1" applyFill="1" applyBorder="1" applyAlignment="1" applyProtection="1">
      <alignment horizontal="right" vertical="center" indent="3"/>
      <protection hidden="1"/>
    </xf>
    <xf numFmtId="190" fontId="31" fillId="0" borderId="143" xfId="1" applyNumberFormat="1" applyFont="1" applyFill="1" applyBorder="1" applyAlignment="1" applyProtection="1">
      <alignment horizontal="right" vertical="center" indent="3"/>
      <protection hidden="1"/>
    </xf>
    <xf numFmtId="180" fontId="9" fillId="0" borderId="135" xfId="1" applyNumberFormat="1" applyFont="1" applyFill="1" applyBorder="1" applyAlignment="1" applyProtection="1">
      <alignment horizontal="right" vertical="center" indent="4"/>
      <protection hidden="1"/>
    </xf>
    <xf numFmtId="180" fontId="9" fillId="0" borderId="16" xfId="1" applyNumberFormat="1" applyFont="1" applyFill="1" applyBorder="1" applyAlignment="1" applyProtection="1">
      <alignment horizontal="right" vertical="center" indent="4"/>
      <protection hidden="1"/>
    </xf>
    <xf numFmtId="180" fontId="9" fillId="0" borderId="58" xfId="1" applyNumberFormat="1" applyFont="1" applyFill="1" applyBorder="1" applyAlignment="1" applyProtection="1">
      <alignment horizontal="right" vertical="center" indent="4"/>
      <protection hidden="1"/>
    </xf>
    <xf numFmtId="180" fontId="9" fillId="0" borderId="48" xfId="1" applyNumberFormat="1" applyFont="1" applyFill="1" applyBorder="1" applyAlignment="1" applyProtection="1">
      <alignment horizontal="right" vertical="center" indent="4"/>
      <protection hidden="1"/>
    </xf>
    <xf numFmtId="180" fontId="9" fillId="0" borderId="65" xfId="1" applyNumberFormat="1" applyFont="1" applyFill="1" applyBorder="1" applyAlignment="1" applyProtection="1">
      <alignment horizontal="right" vertical="center" indent="4"/>
      <protection hidden="1"/>
    </xf>
    <xf numFmtId="180" fontId="9" fillId="0" borderId="124" xfId="1" applyNumberFormat="1" applyFont="1" applyFill="1" applyBorder="1" applyAlignment="1" applyProtection="1">
      <alignment horizontal="right" vertical="center" indent="4"/>
      <protection hidden="1"/>
    </xf>
    <xf numFmtId="180" fontId="9" fillId="0" borderId="137" xfId="1" applyNumberFormat="1" applyFont="1" applyFill="1" applyBorder="1" applyAlignment="1" applyProtection="1">
      <alignment horizontal="right" vertical="center" indent="4"/>
      <protection hidden="1"/>
    </xf>
    <xf numFmtId="180" fontId="9" fillId="0" borderId="123" xfId="1" applyNumberFormat="1" applyFont="1" applyFill="1" applyBorder="1" applyAlignment="1" applyProtection="1">
      <alignment horizontal="right" vertical="center" indent="4"/>
      <protection hidden="1"/>
    </xf>
    <xf numFmtId="180" fontId="9" fillId="0" borderId="136" xfId="1" applyNumberFormat="1" applyFont="1" applyFill="1" applyBorder="1" applyAlignment="1" applyProtection="1">
      <alignment horizontal="right" vertical="center" indent="4"/>
      <protection hidden="1"/>
    </xf>
    <xf numFmtId="180" fontId="9" fillId="0" borderId="218" xfId="1" applyNumberFormat="1" applyFont="1" applyFill="1" applyBorder="1" applyAlignment="1" applyProtection="1">
      <alignment horizontal="right" vertical="center" indent="4"/>
      <protection hidden="1"/>
    </xf>
    <xf numFmtId="180" fontId="9" fillId="0" borderId="42" xfId="1" applyNumberFormat="1" applyFont="1" applyFill="1" applyBorder="1" applyAlignment="1" applyProtection="1">
      <alignment horizontal="right" vertical="center" indent="4"/>
      <protection hidden="1"/>
    </xf>
    <xf numFmtId="180" fontId="9" fillId="0" borderId="217" xfId="1" applyNumberFormat="1" applyFont="1" applyFill="1" applyBorder="1" applyAlignment="1" applyProtection="1">
      <alignment horizontal="right" vertical="center" indent="4"/>
      <protection hidden="1"/>
    </xf>
    <xf numFmtId="190" fontId="34" fillId="0" borderId="161" xfId="1" applyNumberFormat="1" applyFont="1" applyBorder="1" applyAlignment="1" applyProtection="1">
      <alignment horizontal="right" vertical="center" indent="7"/>
      <protection hidden="1"/>
    </xf>
    <xf numFmtId="190" fontId="34" fillId="0" borderId="228" xfId="1" applyNumberFormat="1" applyFont="1" applyBorder="1" applyAlignment="1" applyProtection="1">
      <alignment horizontal="right" vertical="center" indent="7"/>
      <protection hidden="1"/>
    </xf>
    <xf numFmtId="190" fontId="34" fillId="0" borderId="176" xfId="1" applyNumberFormat="1" applyFont="1" applyBorder="1" applyAlignment="1" applyProtection="1">
      <alignment horizontal="right" vertical="center" indent="7"/>
      <protection hidden="1"/>
    </xf>
    <xf numFmtId="0" fontId="9" fillId="0" borderId="9" xfId="1" applyFont="1" applyBorder="1" applyAlignment="1" applyProtection="1">
      <alignment horizontal="center" vertical="center"/>
      <protection hidden="1"/>
    </xf>
    <xf numFmtId="0" fontId="9" fillId="0" borderId="8" xfId="1" applyFont="1" applyBorder="1" applyAlignment="1" applyProtection="1">
      <alignment horizontal="center" vertical="center"/>
      <protection hidden="1"/>
    </xf>
    <xf numFmtId="0" fontId="9" fillId="0" borderId="141" xfId="1" applyFont="1" applyBorder="1" applyAlignment="1" applyProtection="1">
      <alignment horizontal="center" vertical="center"/>
      <protection hidden="1"/>
    </xf>
    <xf numFmtId="0" fontId="9" fillId="0" borderId="149" xfId="1" applyFont="1" applyBorder="1" applyAlignment="1" applyProtection="1">
      <alignment horizontal="center" vertical="center"/>
      <protection hidden="1"/>
    </xf>
    <xf numFmtId="0" fontId="9" fillId="0" borderId="45" xfId="1" applyFont="1" applyBorder="1" applyAlignment="1" applyProtection="1">
      <alignment horizontal="center" vertical="center"/>
      <protection hidden="1"/>
    </xf>
    <xf numFmtId="186" fontId="9" fillId="0" borderId="47" xfId="1" applyNumberFormat="1" applyFont="1" applyFill="1" applyBorder="1" applyAlignment="1" applyProtection="1">
      <alignment horizontal="center" vertical="center"/>
      <protection hidden="1"/>
    </xf>
    <xf numFmtId="186" fontId="9" fillId="0" borderId="134" xfId="1" applyNumberFormat="1" applyFont="1" applyFill="1" applyBorder="1" applyAlignment="1" applyProtection="1">
      <alignment horizontal="center" vertical="center"/>
      <protection hidden="1"/>
    </xf>
    <xf numFmtId="181" fontId="22" fillId="0" borderId="123" xfId="1" applyNumberFormat="1" applyFont="1" applyBorder="1" applyAlignment="1" applyProtection="1">
      <alignment vertical="center"/>
      <protection hidden="1"/>
    </xf>
    <xf numFmtId="181" fontId="22" fillId="0" borderId="136" xfId="1" applyNumberFormat="1" applyFont="1" applyBorder="1" applyAlignment="1" applyProtection="1">
      <alignment vertical="center"/>
      <protection hidden="1"/>
    </xf>
    <xf numFmtId="190" fontId="31" fillId="0" borderId="5" xfId="1" applyNumberFormat="1" applyFont="1" applyFill="1" applyBorder="1" applyAlignment="1" applyProtection="1">
      <alignment horizontal="right" vertical="center" indent="3"/>
      <protection hidden="1"/>
    </xf>
    <xf numFmtId="190" fontId="31" fillId="0" borderId="4" xfId="1" applyNumberFormat="1" applyFont="1" applyFill="1" applyBorder="1" applyAlignment="1" applyProtection="1">
      <alignment horizontal="right" vertical="center" indent="3"/>
      <protection hidden="1"/>
    </xf>
    <xf numFmtId="190" fontId="31" fillId="0" borderId="139" xfId="1" applyNumberFormat="1" applyFont="1" applyFill="1" applyBorder="1" applyAlignment="1" applyProtection="1">
      <alignment horizontal="right" vertical="center" indent="3"/>
      <protection hidden="1"/>
    </xf>
    <xf numFmtId="190" fontId="9" fillId="0" borderId="147" xfId="1" quotePrefix="1" applyNumberFormat="1" applyFont="1" applyBorder="1" applyAlignment="1" applyProtection="1">
      <alignment horizontal="center" vertical="center"/>
      <protection hidden="1"/>
    </xf>
    <xf numFmtId="190" fontId="9" fillId="0" borderId="125" xfId="1" quotePrefix="1" applyNumberFormat="1" applyFont="1" applyBorder="1" applyAlignment="1" applyProtection="1">
      <alignment horizontal="center" vertical="center"/>
      <protection hidden="1"/>
    </xf>
    <xf numFmtId="190" fontId="34" fillId="0" borderId="5" xfId="1" applyNumberFormat="1" applyFont="1" applyBorder="1" applyAlignment="1" applyProtection="1">
      <alignment horizontal="right" vertical="center" indent="3"/>
      <protection hidden="1"/>
    </xf>
    <xf numFmtId="190" fontId="34" fillId="0" borderId="4" xfId="1" applyNumberFormat="1" applyFont="1" applyBorder="1" applyAlignment="1" applyProtection="1">
      <alignment horizontal="right" vertical="center" indent="3"/>
      <protection hidden="1"/>
    </xf>
    <xf numFmtId="190" fontId="34" fillId="0" borderId="139" xfId="1" applyNumberFormat="1" applyFont="1" applyBorder="1" applyAlignment="1" applyProtection="1">
      <alignment horizontal="right" vertical="center" indent="3"/>
      <protection hidden="1"/>
    </xf>
    <xf numFmtId="190" fontId="34" fillId="0" borderId="48" xfId="1" applyNumberFormat="1" applyFont="1" applyBorder="1" applyAlignment="1" applyProtection="1">
      <alignment horizontal="right" vertical="center" indent="3"/>
      <protection hidden="1"/>
    </xf>
    <xf numFmtId="190" fontId="34" fillId="0" borderId="65" xfId="1" applyNumberFormat="1" applyFont="1" applyBorder="1" applyAlignment="1" applyProtection="1">
      <alignment horizontal="right" vertical="center" indent="3"/>
      <protection hidden="1"/>
    </xf>
    <xf numFmtId="190" fontId="34" fillId="0" borderId="143" xfId="1" applyNumberFormat="1" applyFont="1" applyBorder="1" applyAlignment="1" applyProtection="1">
      <alignment horizontal="right" vertical="center" indent="3"/>
      <protection hidden="1"/>
    </xf>
    <xf numFmtId="190" fontId="34" fillId="0" borderId="6" xfId="1" applyNumberFormat="1" applyFont="1" applyBorder="1" applyAlignment="1" applyProtection="1">
      <alignment horizontal="right" vertical="center" indent="3"/>
      <protection hidden="1"/>
    </xf>
    <xf numFmtId="190" fontId="34" fillId="0" borderId="0" xfId="1" applyNumberFormat="1" applyFont="1" applyBorder="1" applyAlignment="1" applyProtection="1">
      <alignment horizontal="right" vertical="center" indent="3"/>
      <protection hidden="1"/>
    </xf>
    <xf numFmtId="190" fontId="34" fillId="0" borderId="57" xfId="1" applyNumberFormat="1" applyFont="1" applyBorder="1" applyAlignment="1" applyProtection="1">
      <alignment horizontal="right" vertical="center" indent="3"/>
      <protection hidden="1"/>
    </xf>
    <xf numFmtId="179" fontId="99" fillId="0" borderId="192" xfId="1" applyNumberFormat="1" applyFont="1" applyFill="1" applyBorder="1" applyAlignment="1" applyProtection="1">
      <alignment horizontal="right" vertical="center"/>
    </xf>
    <xf numFmtId="179" fontId="98" fillId="0" borderId="199" xfId="1" applyNumberFormat="1" applyFont="1" applyFill="1" applyBorder="1" applyAlignment="1" applyProtection="1">
      <alignment vertical="center"/>
    </xf>
    <xf numFmtId="179" fontId="99" fillId="0" borderId="192" xfId="1" applyNumberFormat="1" applyFont="1" applyFill="1" applyBorder="1" applyAlignment="1" applyProtection="1">
      <alignment vertical="center"/>
    </xf>
    <xf numFmtId="179" fontId="99" fillId="0" borderId="190" xfId="1" applyNumberFormat="1" applyFont="1" applyFill="1" applyBorder="1" applyAlignment="1" applyProtection="1">
      <alignment vertical="center"/>
    </xf>
    <xf numFmtId="178" fontId="98" fillId="0" borderId="196" xfId="1" applyNumberFormat="1" applyFont="1" applyFill="1" applyBorder="1" applyAlignment="1" applyProtection="1">
      <alignment horizontal="center" vertical="center"/>
      <protection hidden="1"/>
    </xf>
    <xf numFmtId="178" fontId="98" fillId="0" borderId="197" xfId="1" applyNumberFormat="1" applyFont="1" applyFill="1" applyBorder="1" applyAlignment="1" applyProtection="1">
      <alignment horizontal="center" vertical="center"/>
      <protection hidden="1"/>
    </xf>
    <xf numFmtId="178" fontId="98" fillId="0" borderId="207" xfId="1" applyNumberFormat="1" applyFont="1" applyFill="1" applyBorder="1" applyAlignment="1" applyProtection="1">
      <alignment horizontal="center" vertical="center"/>
      <protection hidden="1"/>
    </xf>
    <xf numFmtId="178" fontId="98" fillId="0" borderId="209" xfId="1" applyNumberFormat="1" applyFont="1" applyFill="1" applyBorder="1" applyAlignment="1" applyProtection="1">
      <alignment horizontal="center" vertical="center"/>
      <protection hidden="1"/>
    </xf>
    <xf numFmtId="179" fontId="98" fillId="0" borderId="0" xfId="1" applyNumberFormat="1" applyFont="1" applyFill="1" applyBorder="1" applyAlignment="1" applyProtection="1">
      <alignment horizontal="right" vertical="center"/>
    </xf>
    <xf numFmtId="178" fontId="98" fillId="0" borderId="204" xfId="1" applyNumberFormat="1" applyFont="1" applyFill="1" applyBorder="1" applyAlignment="1" applyProtection="1">
      <alignment horizontal="center" vertical="center"/>
      <protection hidden="1"/>
    </xf>
    <xf numFmtId="178" fontId="98" fillId="0" borderId="206" xfId="1" applyNumberFormat="1" applyFont="1" applyFill="1" applyBorder="1" applyAlignment="1" applyProtection="1">
      <alignment horizontal="center" vertical="center"/>
      <protection hidden="1"/>
    </xf>
    <xf numFmtId="178" fontId="98" fillId="0" borderId="201" xfId="1" applyNumberFormat="1" applyFont="1" applyFill="1" applyBorder="1" applyAlignment="1" applyProtection="1">
      <alignment horizontal="center" vertical="center"/>
      <protection hidden="1"/>
    </xf>
    <xf numFmtId="178" fontId="98" fillId="0" borderId="203" xfId="1" applyNumberFormat="1" applyFont="1" applyFill="1" applyBorder="1" applyAlignment="1" applyProtection="1">
      <alignment horizontal="center" vertical="center"/>
      <protection hidden="1"/>
    </xf>
    <xf numFmtId="190" fontId="9" fillId="0" borderId="48" xfId="1" applyNumberFormat="1" applyFont="1" applyBorder="1" applyAlignment="1" applyProtection="1">
      <alignment horizontal="right" vertical="center" indent="3"/>
      <protection hidden="1"/>
    </xf>
    <xf numFmtId="190" fontId="9" fillId="0" borderId="65" xfId="1" applyNumberFormat="1" applyFont="1" applyBorder="1" applyAlignment="1" applyProtection="1">
      <alignment horizontal="right" vertical="center" indent="3"/>
      <protection hidden="1"/>
    </xf>
    <xf numFmtId="190" fontId="9" fillId="0" borderId="67" xfId="1" applyNumberFormat="1" applyFont="1" applyBorder="1" applyAlignment="1" applyProtection="1">
      <alignment horizontal="right" vertical="center" indent="3"/>
      <protection hidden="1"/>
    </xf>
    <xf numFmtId="178" fontId="98" fillId="0" borderId="194" xfId="1" applyNumberFormat="1" applyFont="1" applyFill="1" applyBorder="1" applyAlignment="1" applyProtection="1">
      <alignment horizontal="center" vertical="center"/>
      <protection hidden="1"/>
    </xf>
    <xf numFmtId="178" fontId="98" fillId="0" borderId="195" xfId="1" applyNumberFormat="1" applyFont="1" applyFill="1" applyBorder="1" applyAlignment="1" applyProtection="1">
      <alignment horizontal="center" vertical="center"/>
      <protection hidden="1"/>
    </xf>
    <xf numFmtId="0" fontId="99" fillId="0" borderId="198" xfId="1" applyFont="1" applyBorder="1" applyAlignment="1" applyProtection="1">
      <alignment horizontal="center" vertical="center"/>
      <protection hidden="1"/>
    </xf>
    <xf numFmtId="0" fontId="99" fillId="0" borderId="200" xfId="1" applyFont="1" applyBorder="1" applyAlignment="1" applyProtection="1">
      <alignment horizontal="center" vertical="center"/>
      <protection hidden="1"/>
    </xf>
    <xf numFmtId="190" fontId="99" fillId="0" borderId="198" xfId="1" applyNumberFormat="1" applyFont="1" applyBorder="1" applyAlignment="1" applyProtection="1">
      <alignment horizontal="center" vertical="center"/>
      <protection hidden="1"/>
    </xf>
    <xf numFmtId="190" fontId="99" fillId="0" borderId="200" xfId="1" applyNumberFormat="1" applyFont="1" applyBorder="1" applyAlignment="1" applyProtection="1">
      <alignment horizontal="center" vertical="center"/>
      <protection hidden="1"/>
    </xf>
    <xf numFmtId="190" fontId="99" fillId="0" borderId="207" xfId="1" applyNumberFormat="1" applyFont="1" applyBorder="1" applyAlignment="1" applyProtection="1">
      <alignment horizontal="center" vertical="center"/>
      <protection hidden="1"/>
    </xf>
    <xf numFmtId="190" fontId="99" fillId="0" borderId="209" xfId="1" applyNumberFormat="1" applyFont="1" applyBorder="1" applyAlignment="1" applyProtection="1">
      <alignment horizontal="center" vertical="center"/>
      <protection hidden="1"/>
    </xf>
    <xf numFmtId="166" fontId="98" fillId="0" borderId="207" xfId="1" applyNumberFormat="1" applyFont="1" applyBorder="1" applyAlignment="1" applyProtection="1">
      <alignment horizontal="center" vertical="center"/>
      <protection hidden="1"/>
    </xf>
    <xf numFmtId="166" fontId="98" fillId="0" borderId="209" xfId="1" applyNumberFormat="1" applyFont="1" applyBorder="1" applyAlignment="1" applyProtection="1">
      <alignment horizontal="center" vertical="center"/>
      <protection hidden="1"/>
    </xf>
    <xf numFmtId="0" fontId="98" fillId="0" borderId="194" xfId="1" applyFont="1" applyBorder="1" applyAlignment="1" applyProtection="1">
      <alignment horizontal="center" vertical="center"/>
      <protection hidden="1"/>
    </xf>
    <xf numFmtId="0" fontId="98" fillId="0" borderId="195" xfId="1" applyFont="1" applyBorder="1" applyAlignment="1" applyProtection="1">
      <alignment horizontal="center" vertical="center"/>
      <protection hidden="1"/>
    </xf>
    <xf numFmtId="0" fontId="9" fillId="0" borderId="183" xfId="1" applyFont="1" applyBorder="1" applyAlignment="1" applyProtection="1">
      <alignment horizontal="center" vertical="center"/>
      <protection hidden="1"/>
    </xf>
    <xf numFmtId="180" fontId="34" fillId="0" borderId="137" xfId="1" applyNumberFormat="1" applyFont="1" applyFill="1" applyBorder="1" applyAlignment="1" applyProtection="1">
      <alignment horizontal="right" vertical="center" indent="4"/>
      <protection hidden="1"/>
    </xf>
    <xf numFmtId="180" fontId="34" fillId="0" borderId="123" xfId="1" applyNumberFormat="1" applyFont="1" applyFill="1" applyBorder="1" applyAlignment="1" applyProtection="1">
      <alignment horizontal="right" vertical="center" indent="4"/>
      <protection hidden="1"/>
    </xf>
    <xf numFmtId="180" fontId="34" fillId="0" borderId="185" xfId="1" applyNumberFormat="1" applyFont="1" applyFill="1" applyBorder="1" applyAlignment="1" applyProtection="1">
      <alignment horizontal="right" vertical="center" indent="4"/>
      <protection hidden="1"/>
    </xf>
    <xf numFmtId="190" fontId="34" fillId="0" borderId="76" xfId="1" applyNumberFormat="1" applyFont="1" applyBorder="1" applyAlignment="1" applyProtection="1">
      <alignment horizontal="right" vertical="center" indent="3"/>
      <protection hidden="1"/>
    </xf>
    <xf numFmtId="190" fontId="34" fillId="0" borderId="235" xfId="1" applyNumberFormat="1" applyFont="1" applyBorder="1" applyAlignment="1" applyProtection="1">
      <alignment horizontal="right" vertical="center" indent="3"/>
      <protection hidden="1"/>
    </xf>
    <xf numFmtId="190" fontId="34" fillId="0" borderId="21" xfId="1" applyNumberFormat="1" applyFont="1" applyBorder="1" applyAlignment="1" applyProtection="1">
      <alignment horizontal="right" vertical="center" indent="3"/>
      <protection hidden="1"/>
    </xf>
    <xf numFmtId="190" fontId="34" fillId="0" borderId="23" xfId="1" applyNumberFormat="1" applyFont="1" applyBorder="1" applyAlignment="1" applyProtection="1">
      <alignment horizontal="right" vertical="center" indent="3"/>
      <protection hidden="1"/>
    </xf>
    <xf numFmtId="190" fontId="34" fillId="0" borderId="161" xfId="1" applyNumberFormat="1" applyFont="1" applyBorder="1" applyAlignment="1" applyProtection="1">
      <alignment horizontal="right" vertical="center" indent="3"/>
      <protection hidden="1"/>
    </xf>
    <xf numFmtId="190" fontId="34" fillId="0" borderId="228" xfId="1" applyNumberFormat="1" applyFont="1" applyBorder="1" applyAlignment="1" applyProtection="1">
      <alignment horizontal="right" vertical="center" indent="3"/>
      <protection hidden="1"/>
    </xf>
    <xf numFmtId="190" fontId="34" fillId="0" borderId="176" xfId="1" applyNumberFormat="1" applyFont="1" applyBorder="1" applyAlignment="1" applyProtection="1">
      <alignment horizontal="right" vertical="center" indent="3"/>
      <protection hidden="1"/>
    </xf>
    <xf numFmtId="0" fontId="9" fillId="0" borderId="6" xfId="1" applyFont="1" applyBorder="1" applyAlignment="1" applyProtection="1">
      <alignment horizontal="center" vertical="top" wrapText="1"/>
      <protection hidden="1"/>
    </xf>
    <xf numFmtId="0" fontId="9" fillId="0" borderId="0" xfId="1" applyFont="1" applyBorder="1" applyAlignment="1" applyProtection="1">
      <alignment horizontal="center" vertical="top" wrapText="1"/>
      <protection hidden="1"/>
    </xf>
    <xf numFmtId="0" fontId="9" fillId="0" borderId="30" xfId="1" applyFont="1" applyBorder="1" applyAlignment="1" applyProtection="1">
      <alignment horizontal="center" vertical="top" wrapText="1"/>
      <protection hidden="1"/>
    </xf>
    <xf numFmtId="179" fontId="98" fillId="0" borderId="190" xfId="1" applyNumberFormat="1" applyFont="1" applyFill="1" applyBorder="1" applyAlignment="1" applyProtection="1">
      <alignment vertical="center"/>
    </xf>
    <xf numFmtId="179" fontId="98" fillId="0" borderId="0" xfId="0" applyNumberFormat="1" applyFont="1" applyBorder="1" applyProtection="1"/>
    <xf numFmtId="180" fontId="34" fillId="0" borderId="218" xfId="1" applyNumberFormat="1" applyFont="1" applyFill="1" applyBorder="1" applyAlignment="1" applyProtection="1">
      <alignment horizontal="right" vertical="center" indent="4"/>
      <protection hidden="1"/>
    </xf>
    <xf numFmtId="180" fontId="34" fillId="0" borderId="42" xfId="1" applyNumberFormat="1" applyFont="1" applyFill="1" applyBorder="1" applyAlignment="1" applyProtection="1">
      <alignment horizontal="right" vertical="center" indent="4"/>
      <protection hidden="1"/>
    </xf>
    <xf numFmtId="180" fontId="34" fillId="0" borderId="182" xfId="1" applyNumberFormat="1" applyFont="1" applyFill="1" applyBorder="1" applyAlignment="1" applyProtection="1">
      <alignment horizontal="right" vertical="center" indent="4"/>
      <protection hidden="1"/>
    </xf>
    <xf numFmtId="0" fontId="34" fillId="0" borderId="49" xfId="1" applyFont="1" applyFill="1" applyBorder="1" applyAlignment="1" applyProtection="1">
      <alignment horizontal="center" vertical="top" wrapText="1"/>
      <protection hidden="1"/>
    </xf>
    <xf numFmtId="190" fontId="34" fillId="0" borderId="0" xfId="1" applyNumberFormat="1" applyFont="1" applyBorder="1" applyAlignment="1" applyProtection="1">
      <alignment horizontal="right" vertical="center" indent="2"/>
      <protection hidden="1"/>
    </xf>
    <xf numFmtId="180" fontId="9" fillId="0" borderId="218" xfId="1" applyNumberFormat="1" applyFont="1" applyFill="1" applyBorder="1" applyAlignment="1" applyProtection="1">
      <alignment horizontal="right" vertical="center" indent="3"/>
      <protection hidden="1"/>
    </xf>
    <xf numFmtId="180" fontId="9" fillId="0" borderId="42" xfId="1" applyNumberFormat="1" applyFont="1" applyFill="1" applyBorder="1" applyAlignment="1" applyProtection="1">
      <alignment horizontal="right" vertical="center" indent="3"/>
      <protection hidden="1"/>
    </xf>
    <xf numFmtId="180" fontId="101" fillId="7" borderId="135" xfId="1" applyNumberFormat="1" applyFont="1" applyFill="1" applyBorder="1" applyAlignment="1" applyProtection="1">
      <alignment horizontal="right" vertical="center" indent="3"/>
      <protection locked="0"/>
    </xf>
    <xf numFmtId="180" fontId="101" fillId="7" borderId="58" xfId="1" applyNumberFormat="1" applyFont="1" applyFill="1" applyBorder="1" applyAlignment="1" applyProtection="1">
      <alignment horizontal="right" vertical="center" indent="3"/>
      <protection locked="0"/>
    </xf>
    <xf numFmtId="180" fontId="101" fillId="7" borderId="48" xfId="1" applyNumberFormat="1" applyFont="1" applyFill="1" applyBorder="1" applyAlignment="1" applyProtection="1">
      <alignment horizontal="right" vertical="center" indent="3"/>
      <protection locked="0"/>
    </xf>
    <xf numFmtId="180" fontId="101" fillId="7" borderId="124" xfId="1" applyNumberFormat="1" applyFont="1" applyFill="1" applyBorder="1" applyAlignment="1" applyProtection="1">
      <alignment horizontal="right" vertical="center" indent="3"/>
      <protection locked="0"/>
    </xf>
    <xf numFmtId="180" fontId="101" fillId="7" borderId="137" xfId="1" applyNumberFormat="1" applyFont="1" applyFill="1" applyBorder="1" applyAlignment="1" applyProtection="1">
      <alignment horizontal="right" vertical="center" indent="3"/>
      <protection locked="0"/>
    </xf>
    <xf numFmtId="180" fontId="101" fillId="7" borderId="136" xfId="1" applyNumberFormat="1" applyFont="1" applyFill="1" applyBorder="1" applyAlignment="1" applyProtection="1">
      <alignment horizontal="right" vertical="center" indent="3"/>
      <protection locked="0"/>
    </xf>
    <xf numFmtId="180" fontId="34" fillId="0" borderId="135" xfId="1" applyNumberFormat="1" applyFont="1" applyFill="1" applyBorder="1" applyAlignment="1" applyProtection="1">
      <alignment horizontal="right" vertical="center" indent="4"/>
      <protection hidden="1"/>
    </xf>
    <xf numFmtId="180" fontId="34" fillId="0" borderId="16" xfId="1" applyNumberFormat="1" applyFont="1" applyFill="1" applyBorder="1" applyAlignment="1" applyProtection="1">
      <alignment horizontal="right" vertical="center" indent="4"/>
      <protection hidden="1"/>
    </xf>
    <xf numFmtId="180" fontId="34" fillId="0" borderId="184" xfId="1" applyNumberFormat="1" applyFont="1" applyFill="1" applyBorder="1" applyAlignment="1" applyProtection="1">
      <alignment horizontal="right" vertical="center" indent="4"/>
      <protection hidden="1"/>
    </xf>
    <xf numFmtId="180" fontId="34" fillId="0" borderId="48" xfId="1" applyNumberFormat="1" applyFont="1" applyFill="1" applyBorder="1" applyAlignment="1" applyProtection="1">
      <alignment horizontal="right" vertical="center" indent="4"/>
      <protection hidden="1"/>
    </xf>
    <xf numFmtId="180" fontId="34" fillId="0" borderId="65" xfId="1" applyNumberFormat="1" applyFont="1" applyFill="1" applyBorder="1" applyAlignment="1" applyProtection="1">
      <alignment horizontal="right" vertical="center" indent="4"/>
      <protection hidden="1"/>
    </xf>
    <xf numFmtId="180" fontId="34" fillId="0" borderId="67" xfId="1" applyNumberFormat="1" applyFont="1" applyFill="1" applyBorder="1" applyAlignment="1" applyProtection="1">
      <alignment horizontal="right" vertical="center" indent="4"/>
      <protection hidden="1"/>
    </xf>
    <xf numFmtId="178" fontId="34" fillId="0" borderId="0" xfId="1" applyNumberFormat="1" applyFont="1" applyBorder="1" applyAlignment="1" applyProtection="1">
      <alignment horizontal="center" vertical="center"/>
      <protection hidden="1"/>
    </xf>
    <xf numFmtId="0" fontId="12" fillId="0" borderId="42" xfId="1" applyFont="1" applyBorder="1" applyAlignment="1" applyProtection="1">
      <alignment vertical="center"/>
      <protection hidden="1"/>
    </xf>
    <xf numFmtId="170" fontId="102" fillId="10" borderId="0" xfId="1" applyNumberFormat="1" applyFont="1" applyFill="1" applyBorder="1" applyAlignment="1" applyProtection="1">
      <alignment horizontal="center"/>
      <protection locked="0"/>
    </xf>
    <xf numFmtId="170" fontId="34" fillId="0" borderId="0" xfId="1" applyNumberFormat="1" applyFont="1" applyFill="1" applyAlignment="1" applyProtection="1">
      <alignment horizontal="center"/>
      <protection hidden="1"/>
    </xf>
    <xf numFmtId="0" fontId="9" fillId="0" borderId="42" xfId="1" applyFont="1" applyBorder="1" applyAlignment="1" applyProtection="1">
      <alignment vertical="center"/>
      <protection hidden="1"/>
    </xf>
    <xf numFmtId="186" fontId="9" fillId="0" borderId="48" xfId="1" applyNumberFormat="1" applyFont="1" applyFill="1" applyBorder="1" applyAlignment="1" applyProtection="1">
      <alignment horizontal="center" vertical="center"/>
      <protection hidden="1"/>
    </xf>
    <xf numFmtId="186" fontId="9" fillId="0" borderId="124" xfId="1" applyNumberFormat="1" applyFont="1" applyFill="1" applyBorder="1" applyAlignment="1" applyProtection="1">
      <alignment horizontal="center" vertical="center"/>
      <protection hidden="1"/>
    </xf>
    <xf numFmtId="0" fontId="34" fillId="0" borderId="6" xfId="1" applyFont="1" applyBorder="1" applyAlignment="1" applyProtection="1">
      <alignment horizontal="center" vertical="center"/>
      <protection hidden="1"/>
    </xf>
    <xf numFmtId="0" fontId="34" fillId="0" borderId="75" xfId="1" applyFont="1" applyBorder="1" applyAlignment="1" applyProtection="1">
      <alignment horizontal="center" vertical="center"/>
      <protection hidden="1"/>
    </xf>
    <xf numFmtId="0" fontId="9" fillId="0" borderId="64" xfId="1" applyFont="1" applyBorder="1" applyAlignment="1" applyProtection="1">
      <alignment horizontal="right" vertical="center"/>
      <protection hidden="1"/>
    </xf>
    <xf numFmtId="0" fontId="57" fillId="0" borderId="0" xfId="0" applyFont="1" applyAlignment="1" applyProtection="1">
      <alignment horizontal="center" vertical="top" wrapText="1"/>
      <protection hidden="1"/>
    </xf>
    <xf numFmtId="0" fontId="34" fillId="0" borderId="10" xfId="1" applyFont="1" applyBorder="1" applyAlignment="1" applyProtection="1">
      <alignment horizontal="center" vertical="center"/>
      <protection hidden="1"/>
    </xf>
    <xf numFmtId="0" fontId="9" fillId="0" borderId="57" xfId="1" applyFont="1" applyBorder="1" applyAlignment="1" applyProtection="1">
      <alignment horizontal="center" vertical="center"/>
      <protection hidden="1"/>
    </xf>
    <xf numFmtId="190" fontId="9" fillId="0" borderId="5" xfId="1" applyNumberFormat="1" applyFont="1" applyFill="1" applyBorder="1" applyAlignment="1" applyProtection="1">
      <alignment horizontal="right" vertical="center" indent="1"/>
      <protection hidden="1"/>
    </xf>
    <xf numFmtId="190" fontId="9" fillId="0" borderId="125" xfId="1" applyNumberFormat="1" applyFont="1" applyFill="1" applyBorder="1" applyAlignment="1" applyProtection="1">
      <alignment horizontal="right" vertical="center" indent="1"/>
      <protection hidden="1"/>
    </xf>
    <xf numFmtId="0" fontId="9" fillId="0" borderId="4" xfId="1" applyFont="1" applyBorder="1" applyAlignment="1" applyProtection="1">
      <alignment horizontal="center" vertical="center"/>
      <protection hidden="1"/>
    </xf>
    <xf numFmtId="0" fontId="9" fillId="0" borderId="75" xfId="1" applyFont="1" applyBorder="1" applyAlignment="1" applyProtection="1">
      <alignment horizontal="center" vertical="center"/>
      <protection hidden="1"/>
    </xf>
    <xf numFmtId="205" fontId="9" fillId="0" borderId="48" xfId="1" applyNumberFormat="1" applyFont="1" applyBorder="1" applyAlignment="1" applyProtection="1">
      <alignment horizontal="right" vertical="center"/>
      <protection hidden="1"/>
    </xf>
    <xf numFmtId="205" fontId="9" fillId="0" borderId="124" xfId="1" applyNumberFormat="1" applyFont="1" applyBorder="1" applyAlignment="1" applyProtection="1">
      <alignment horizontal="right" vertical="center"/>
      <protection hidden="1"/>
    </xf>
    <xf numFmtId="0" fontId="34" fillId="0" borderId="60" xfId="1" applyFont="1" applyBorder="1" applyAlignment="1" applyProtection="1">
      <alignment horizontal="center" vertical="top" wrapText="1"/>
      <protection hidden="1"/>
    </xf>
    <xf numFmtId="0" fontId="34" fillId="0" borderId="14" xfId="1" applyFont="1" applyBorder="1" applyAlignment="1" applyProtection="1">
      <alignment horizontal="center" vertical="top" wrapText="1"/>
      <protection hidden="1"/>
    </xf>
    <xf numFmtId="190" fontId="9" fillId="7" borderId="47" xfId="8" applyNumberFormat="1" applyFont="1" applyBorder="1" applyAlignment="1" applyProtection="1">
      <alignment horizontal="right" indent="1"/>
      <protection locked="0"/>
    </xf>
    <xf numFmtId="190" fontId="9" fillId="7" borderId="134" xfId="8" applyNumberFormat="1" applyFont="1" applyBorder="1" applyAlignment="1" applyProtection="1">
      <alignment horizontal="right" indent="1"/>
      <protection locked="0"/>
    </xf>
    <xf numFmtId="199" fontId="9" fillId="7" borderId="152" xfId="8" applyNumberFormat="1" applyFont="1" applyBorder="1" applyAlignment="1" applyProtection="1">
      <alignment horizontal="right"/>
      <protection locked="0"/>
    </xf>
    <xf numFmtId="199" fontId="9" fillId="7" borderId="144" xfId="8" applyNumberFormat="1" applyFont="1" applyBorder="1" applyAlignment="1" applyProtection="1">
      <alignment horizontal="right"/>
      <protection locked="0"/>
    </xf>
    <xf numFmtId="0" fontId="34" fillId="0" borderId="39" xfId="1" applyFont="1" applyBorder="1" applyAlignment="1" applyProtection="1">
      <alignment vertical="center"/>
      <protection hidden="1"/>
    </xf>
    <xf numFmtId="0" fontId="34" fillId="0" borderId="10" xfId="1" applyFont="1" applyBorder="1" applyAlignment="1" applyProtection="1">
      <alignment vertical="center"/>
      <protection hidden="1"/>
    </xf>
    <xf numFmtId="0" fontId="34" fillId="0" borderId="44" xfId="1" applyFont="1" applyBorder="1" applyAlignment="1" applyProtection="1">
      <alignment vertical="center"/>
      <protection hidden="1"/>
    </xf>
    <xf numFmtId="0" fontId="9" fillId="7" borderId="288" xfId="1" applyFont="1" applyFill="1" applyBorder="1" applyAlignment="1" applyProtection="1">
      <alignment vertical="top"/>
      <protection locked="0"/>
    </xf>
    <xf numFmtId="0" fontId="9" fillId="7" borderId="126" xfId="1" applyFont="1" applyFill="1" applyBorder="1" applyAlignment="1" applyProtection="1">
      <alignment vertical="top"/>
      <protection locked="0"/>
    </xf>
    <xf numFmtId="0" fontId="9" fillId="7" borderId="221" xfId="1" applyFont="1" applyFill="1" applyBorder="1" applyAlignment="1" applyProtection="1">
      <alignment vertical="top"/>
      <protection locked="0"/>
    </xf>
    <xf numFmtId="0" fontId="34" fillId="0" borderId="226" xfId="1" applyFont="1" applyFill="1" applyBorder="1" applyAlignment="1" applyProtection="1">
      <alignment vertical="center"/>
      <protection hidden="1"/>
    </xf>
    <xf numFmtId="0" fontId="34" fillId="0" borderId="64" xfId="1" applyFont="1" applyFill="1" applyBorder="1" applyAlignment="1" applyProtection="1">
      <alignment vertical="center"/>
      <protection hidden="1"/>
    </xf>
    <xf numFmtId="205" fontId="9" fillId="0" borderId="63" xfId="1" applyNumberFormat="1" applyFont="1" applyBorder="1" applyAlignment="1" applyProtection="1">
      <alignment horizontal="right" vertical="center"/>
      <protection hidden="1"/>
    </xf>
    <xf numFmtId="205" fontId="9" fillId="0" borderId="133" xfId="1" applyNumberFormat="1" applyFont="1" applyBorder="1" applyAlignment="1" applyProtection="1">
      <alignment horizontal="right" vertical="center"/>
      <protection hidden="1"/>
    </xf>
    <xf numFmtId="205" fontId="9" fillId="0" borderId="6" xfId="1" applyNumberFormat="1" applyFont="1" applyBorder="1" applyAlignment="1" applyProtection="1">
      <alignment horizontal="right" vertical="center"/>
      <protection hidden="1"/>
    </xf>
    <xf numFmtId="205" fontId="9" fillId="0" borderId="75" xfId="1" applyNumberFormat="1" applyFont="1" applyBorder="1" applyAlignment="1" applyProtection="1">
      <alignment horizontal="right" vertical="center"/>
      <protection hidden="1"/>
    </xf>
    <xf numFmtId="190" fontId="9" fillId="0" borderId="135" xfId="8" applyNumberFormat="1" applyFont="1" applyFill="1" applyBorder="1" applyAlignment="1" applyProtection="1">
      <alignment horizontal="right" indent="1"/>
      <protection hidden="1"/>
    </xf>
    <xf numFmtId="190" fontId="9" fillId="0" borderId="58" xfId="8" applyNumberFormat="1" applyFont="1" applyFill="1" applyBorder="1" applyAlignment="1" applyProtection="1">
      <alignment horizontal="right" indent="1"/>
      <protection hidden="1"/>
    </xf>
    <xf numFmtId="190" fontId="9" fillId="7" borderId="135" xfId="8" applyNumberFormat="1" applyFont="1" applyBorder="1" applyAlignment="1" applyProtection="1">
      <alignment horizontal="right" indent="1"/>
      <protection locked="0"/>
    </xf>
    <xf numFmtId="190" fontId="9" fillId="7" borderId="58" xfId="8" applyNumberFormat="1" applyFont="1" applyBorder="1" applyAlignment="1" applyProtection="1">
      <alignment horizontal="right" indent="1"/>
      <protection locked="0"/>
    </xf>
    <xf numFmtId="205" fontId="9" fillId="0" borderId="137" xfId="1" applyNumberFormat="1" applyFont="1" applyBorder="1" applyAlignment="1" applyProtection="1">
      <alignment horizontal="right" vertical="center"/>
      <protection hidden="1"/>
    </xf>
    <xf numFmtId="205" fontId="9" fillId="0" borderId="136" xfId="1" applyNumberFormat="1" applyFont="1" applyBorder="1" applyAlignment="1" applyProtection="1">
      <alignment horizontal="right" vertical="center"/>
      <protection hidden="1"/>
    </xf>
    <xf numFmtId="181" fontId="22" fillId="0" borderId="73" xfId="1" applyNumberFormat="1" applyFont="1" applyBorder="1" applyAlignment="1" applyProtection="1">
      <alignment vertical="center"/>
      <protection hidden="1"/>
    </xf>
    <xf numFmtId="181" fontId="22" fillId="0" borderId="134" xfId="1" applyNumberFormat="1" applyFont="1" applyBorder="1" applyAlignment="1" applyProtection="1">
      <alignment vertical="center"/>
      <protection hidden="1"/>
    </xf>
    <xf numFmtId="0" fontId="34" fillId="0" borderId="49" xfId="1" applyFont="1" applyBorder="1" applyAlignment="1" applyProtection="1">
      <alignment horizontal="center" vertical="center"/>
      <protection hidden="1"/>
    </xf>
    <xf numFmtId="0" fontId="34" fillId="0" borderId="0" xfId="1" applyFont="1" applyBorder="1" applyAlignment="1" applyProtection="1">
      <alignment horizontal="center" vertical="center"/>
      <protection hidden="1"/>
    </xf>
    <xf numFmtId="0" fontId="34" fillId="0" borderId="30" xfId="1" applyFont="1" applyBorder="1" applyAlignment="1" applyProtection="1">
      <alignment horizontal="center" vertical="center"/>
      <protection hidden="1"/>
    </xf>
    <xf numFmtId="190" fontId="34" fillId="0" borderId="32" xfId="1" applyNumberFormat="1" applyFont="1" applyBorder="1" applyAlignment="1" applyProtection="1">
      <alignment horizontal="right" vertical="center" indent="3"/>
      <protection hidden="1"/>
    </xf>
    <xf numFmtId="190" fontId="34" fillId="0" borderId="67" xfId="1" applyNumberFormat="1" applyFont="1" applyBorder="1" applyAlignment="1" applyProtection="1">
      <alignment horizontal="right" vertical="center" indent="3"/>
      <protection hidden="1"/>
    </xf>
    <xf numFmtId="190" fontId="34" fillId="0" borderId="30" xfId="1" applyNumberFormat="1" applyFont="1" applyBorder="1" applyAlignment="1" applyProtection="1">
      <alignment horizontal="right" vertical="center" indent="3"/>
      <protection hidden="1"/>
    </xf>
    <xf numFmtId="0" fontId="9" fillId="0" borderId="146" xfId="1" applyFont="1" applyBorder="1" applyAlignment="1" applyProtection="1">
      <alignment horizontal="center" vertical="center"/>
      <protection hidden="1"/>
    </xf>
    <xf numFmtId="3" fontId="22" fillId="0" borderId="63" xfId="1" applyNumberFormat="1" applyFont="1" applyFill="1" applyBorder="1" applyAlignment="1" applyProtection="1">
      <alignment horizontal="center" vertical="center"/>
    </xf>
    <xf numFmtId="3" fontId="22" fillId="0" borderId="133" xfId="1" applyNumberFormat="1" applyFont="1" applyFill="1" applyBorder="1" applyAlignment="1" applyProtection="1">
      <alignment horizontal="center" vertical="center"/>
    </xf>
    <xf numFmtId="180" fontId="34" fillId="0" borderId="63" xfId="1" applyNumberFormat="1" applyFont="1" applyBorder="1" applyAlignment="1" applyProtection="1">
      <alignment horizontal="center" vertical="center"/>
      <protection hidden="1"/>
    </xf>
    <xf numFmtId="180" fontId="34" fillId="0" borderId="133" xfId="1" applyNumberFormat="1" applyFont="1" applyBorder="1" applyAlignment="1" applyProtection="1">
      <alignment horizontal="center" vertical="center"/>
      <protection hidden="1"/>
    </xf>
    <xf numFmtId="190" fontId="9" fillId="0" borderId="48" xfId="8" applyNumberFormat="1" applyFont="1" applyFill="1" applyBorder="1" applyAlignment="1" applyProtection="1">
      <alignment horizontal="right" indent="1"/>
    </xf>
    <xf numFmtId="190" fontId="9" fillId="0" borderId="124" xfId="8" applyNumberFormat="1" applyFont="1" applyFill="1" applyBorder="1" applyAlignment="1" applyProtection="1">
      <alignment horizontal="right" indent="1"/>
    </xf>
    <xf numFmtId="3" fontId="105" fillId="12" borderId="48" xfId="1" applyNumberFormat="1" applyFont="1" applyFill="1" applyBorder="1" applyAlignment="1" applyProtection="1">
      <alignment horizontal="center" vertical="center"/>
    </xf>
    <xf numFmtId="3" fontId="105" fillId="12" borderId="65" xfId="1" applyNumberFormat="1" applyFont="1" applyFill="1" applyBorder="1" applyAlignment="1" applyProtection="1">
      <alignment horizontal="center" vertical="center"/>
    </xf>
    <xf numFmtId="3" fontId="105" fillId="12" borderId="124" xfId="1" applyNumberFormat="1" applyFont="1" applyFill="1" applyBorder="1" applyAlignment="1" applyProtection="1">
      <alignment horizontal="center" vertical="center"/>
    </xf>
    <xf numFmtId="0" fontId="34" fillId="0" borderId="39" xfId="1" applyFont="1" applyBorder="1" applyAlignment="1" applyProtection="1">
      <alignment horizontal="center" vertical="center" wrapText="1"/>
      <protection hidden="1"/>
    </xf>
    <xf numFmtId="0" fontId="34" fillId="0" borderId="10" xfId="1" applyFont="1" applyBorder="1" applyAlignment="1" applyProtection="1">
      <alignment horizontal="center" vertical="center" wrapText="1"/>
      <protection hidden="1"/>
    </xf>
    <xf numFmtId="0" fontId="34" fillId="0" borderId="49" xfId="1" applyFont="1" applyBorder="1" applyAlignment="1" applyProtection="1">
      <alignment horizontal="center" vertical="center" wrapText="1"/>
      <protection hidden="1"/>
    </xf>
    <xf numFmtId="0" fontId="34" fillId="0" borderId="6" xfId="1" applyFont="1" applyBorder="1" applyAlignment="1" applyProtection="1">
      <alignment horizontal="center" vertical="center" wrapText="1"/>
      <protection hidden="1"/>
    </xf>
    <xf numFmtId="0" fontId="34" fillId="0" borderId="0" xfId="1" applyFont="1" applyBorder="1" applyAlignment="1" applyProtection="1">
      <alignment horizontal="center" vertical="center" wrapText="1"/>
      <protection hidden="1"/>
    </xf>
    <xf numFmtId="0" fontId="34" fillId="0" borderId="30" xfId="1" applyFont="1" applyBorder="1" applyAlignment="1" applyProtection="1">
      <alignment horizontal="center" vertical="center" wrapText="1"/>
      <protection hidden="1"/>
    </xf>
    <xf numFmtId="201" fontId="9" fillId="0" borderId="48" xfId="5" applyNumberFormat="1" applyFont="1" applyFill="1" applyBorder="1" applyAlignment="1" applyProtection="1">
      <alignment horizontal="right" vertical="center"/>
    </xf>
    <xf numFmtId="201" fontId="9" fillId="0" borderId="124" xfId="5" applyNumberFormat="1" applyFont="1" applyFill="1" applyBorder="1" applyAlignment="1" applyProtection="1">
      <alignment horizontal="right" vertical="center"/>
    </xf>
    <xf numFmtId="190" fontId="22" fillId="0" borderId="218" xfId="1" applyNumberFormat="1" applyFont="1" applyBorder="1" applyAlignment="1" applyProtection="1">
      <alignment horizontal="center" vertical="center"/>
      <protection hidden="1"/>
    </xf>
    <xf numFmtId="190" fontId="22" fillId="0" borderId="217" xfId="1" applyNumberFormat="1" applyFont="1" applyBorder="1" applyAlignment="1" applyProtection="1">
      <alignment horizontal="center" vertical="center"/>
      <protection hidden="1"/>
    </xf>
    <xf numFmtId="3" fontId="114" fillId="12" borderId="235" xfId="1" applyNumberFormat="1" applyFont="1" applyFill="1" applyBorder="1" applyAlignment="1" applyProtection="1">
      <alignment horizontal="center" vertical="center"/>
    </xf>
    <xf numFmtId="3" fontId="114" fillId="12" borderId="21" xfId="1" applyNumberFormat="1" applyFont="1" applyFill="1" applyBorder="1" applyAlignment="1" applyProtection="1">
      <alignment horizontal="center" vertical="center"/>
    </xf>
    <xf numFmtId="3" fontId="114" fillId="12" borderId="222" xfId="1" applyNumberFormat="1" applyFont="1" applyFill="1" applyBorder="1" applyAlignment="1" applyProtection="1">
      <alignment horizontal="center" vertical="center"/>
    </xf>
    <xf numFmtId="201" fontId="34" fillId="0" borderId="235" xfId="8" applyNumberFormat="1" applyFont="1" applyFill="1" applyBorder="1" applyAlignment="1" applyProtection="1">
      <alignment horizontal="right" vertical="center"/>
    </xf>
    <xf numFmtId="201" fontId="34" fillId="0" borderId="222" xfId="8" applyNumberFormat="1" applyFont="1" applyFill="1" applyBorder="1" applyAlignment="1" applyProtection="1">
      <alignment horizontal="right" vertical="center"/>
    </xf>
    <xf numFmtId="3" fontId="105" fillId="12" borderId="137" xfId="1" applyNumberFormat="1" applyFont="1" applyFill="1" applyBorder="1" applyAlignment="1" applyProtection="1">
      <alignment horizontal="center" vertical="center"/>
    </xf>
    <xf numFmtId="3" fontId="105" fillId="12" borderId="123" xfId="1" applyNumberFormat="1" applyFont="1" applyFill="1" applyBorder="1" applyAlignment="1" applyProtection="1">
      <alignment horizontal="center" vertical="center"/>
    </xf>
    <xf numFmtId="3" fontId="105" fillId="12" borderId="136" xfId="1" applyNumberFormat="1" applyFont="1" applyFill="1" applyBorder="1" applyAlignment="1" applyProtection="1">
      <alignment horizontal="center" vertical="center"/>
    </xf>
    <xf numFmtId="3" fontId="105" fillId="12" borderId="5" xfId="1" applyNumberFormat="1" applyFont="1" applyFill="1" applyBorder="1" applyAlignment="1" applyProtection="1">
      <alignment horizontal="center" vertical="center"/>
    </xf>
    <xf numFmtId="3" fontId="105" fillId="12" borderId="4" xfId="1" applyNumberFormat="1" applyFont="1" applyFill="1" applyBorder="1" applyAlignment="1" applyProtection="1">
      <alignment horizontal="center" vertical="center"/>
    </xf>
    <xf numFmtId="3" fontId="105" fillId="12" borderId="125" xfId="1" applyNumberFormat="1" applyFont="1" applyFill="1" applyBorder="1" applyAlignment="1" applyProtection="1">
      <alignment horizontal="center" vertical="center"/>
    </xf>
    <xf numFmtId="0" fontId="17" fillId="0" borderId="27" xfId="1" applyFont="1" applyBorder="1" applyAlignment="1" applyProtection="1">
      <alignment horizontal="left" vertical="center"/>
      <protection hidden="1"/>
    </xf>
    <xf numFmtId="0" fontId="17" fillId="0" borderId="126" xfId="1" applyFont="1" applyBorder="1" applyAlignment="1" applyProtection="1">
      <alignment horizontal="left" vertical="center"/>
      <protection hidden="1"/>
    </xf>
    <xf numFmtId="0" fontId="17" fillId="0" borderId="306" xfId="1" applyFont="1" applyBorder="1" applyAlignment="1" applyProtection="1">
      <alignment horizontal="left" vertical="center"/>
      <protection hidden="1"/>
    </xf>
    <xf numFmtId="0" fontId="34" fillId="0" borderId="15" xfId="1" applyFont="1" applyBorder="1" applyAlignment="1" applyProtection="1">
      <alignment horizontal="center" vertical="top" wrapText="1"/>
      <protection hidden="1"/>
    </xf>
    <xf numFmtId="190" fontId="9" fillId="0" borderId="135" xfId="8" applyNumberFormat="1" applyFont="1" applyFill="1" applyBorder="1" applyAlignment="1" applyProtection="1">
      <alignment horizontal="right" indent="1"/>
      <protection locked="0"/>
    </xf>
    <xf numFmtId="190" fontId="9" fillId="0" borderId="58" xfId="8" applyNumberFormat="1" applyFont="1" applyFill="1" applyBorder="1" applyAlignment="1" applyProtection="1">
      <alignment horizontal="right" indent="1"/>
      <protection locked="0"/>
    </xf>
    <xf numFmtId="49" fontId="9" fillId="7" borderId="63" xfId="7" applyNumberFormat="1" applyFont="1" applyFill="1" applyBorder="1" applyAlignment="1" applyProtection="1">
      <alignment horizontal="left"/>
      <protection locked="0"/>
    </xf>
    <xf numFmtId="49" fontId="9" fillId="7" borderId="64" xfId="7" applyNumberFormat="1" applyFont="1" applyFill="1" applyBorder="1" applyAlignment="1" applyProtection="1">
      <alignment horizontal="left"/>
      <protection locked="0"/>
    </xf>
    <xf numFmtId="49" fontId="9" fillId="7" borderId="133" xfId="7" applyNumberFormat="1" applyFont="1" applyFill="1" applyBorder="1" applyAlignment="1" applyProtection="1">
      <alignment horizontal="left"/>
      <protection locked="0"/>
    </xf>
    <xf numFmtId="190" fontId="34" fillId="0" borderId="63" xfId="8" applyNumberFormat="1" applyFont="1" applyFill="1" applyBorder="1" applyAlignment="1" applyProtection="1">
      <alignment horizontal="right" indent="1"/>
      <protection hidden="1"/>
    </xf>
    <xf numFmtId="190" fontId="34" fillId="0" borderId="133" xfId="8" applyNumberFormat="1" applyFont="1" applyFill="1" applyBorder="1" applyAlignment="1" applyProtection="1">
      <alignment horizontal="right" indent="1"/>
      <protection hidden="1"/>
    </xf>
    <xf numFmtId="3" fontId="22" fillId="0" borderId="63" xfId="1" applyNumberFormat="1" applyFont="1" applyFill="1" applyBorder="1" applyAlignment="1" applyProtection="1">
      <alignment horizontal="center" vertical="center"/>
      <protection hidden="1"/>
    </xf>
    <xf numFmtId="3" fontId="22" fillId="0" borderId="133" xfId="1" applyNumberFormat="1" applyFont="1" applyFill="1" applyBorder="1" applyAlignment="1" applyProtection="1">
      <alignment horizontal="center" vertical="center"/>
      <protection hidden="1"/>
    </xf>
    <xf numFmtId="49" fontId="9" fillId="7" borderId="135" xfId="7" applyNumberFormat="1" applyFont="1" applyFill="1" applyBorder="1" applyAlignment="1" applyProtection="1">
      <alignment horizontal="left"/>
      <protection locked="0"/>
    </xf>
    <xf numFmtId="49" fontId="9" fillId="7" borderId="16" xfId="7" applyNumberFormat="1" applyFont="1" applyFill="1" applyBorder="1" applyAlignment="1" applyProtection="1">
      <alignment horizontal="left"/>
      <protection locked="0"/>
    </xf>
    <xf numFmtId="49" fontId="9" fillId="7" borderId="58" xfId="7" applyNumberFormat="1" applyFont="1" applyFill="1" applyBorder="1" applyAlignment="1" applyProtection="1">
      <alignment horizontal="left"/>
      <protection locked="0"/>
    </xf>
    <xf numFmtId="190" fontId="9" fillId="0" borderId="137" xfId="8" applyNumberFormat="1" applyFont="1" applyFill="1" applyBorder="1" applyAlignment="1" applyProtection="1">
      <alignment horizontal="right" indent="1"/>
    </xf>
    <xf numFmtId="190" fontId="9" fillId="0" borderId="136" xfId="8" applyNumberFormat="1" applyFont="1" applyFill="1" applyBorder="1" applyAlignment="1" applyProtection="1">
      <alignment horizontal="right" indent="1"/>
    </xf>
    <xf numFmtId="190" fontId="34" fillId="0" borderId="218" xfId="8" applyNumberFormat="1" applyFont="1" applyFill="1" applyBorder="1" applyAlignment="1" applyProtection="1">
      <alignment horizontal="right" indent="1"/>
    </xf>
    <xf numFmtId="190" fontId="34" fillId="0" borderId="217" xfId="8" applyNumberFormat="1" applyFont="1" applyFill="1" applyBorder="1" applyAlignment="1" applyProtection="1">
      <alignment horizontal="right" indent="1"/>
    </xf>
    <xf numFmtId="201" fontId="9" fillId="0" borderId="137" xfId="5" applyNumberFormat="1" applyFont="1" applyFill="1" applyBorder="1" applyAlignment="1" applyProtection="1">
      <alignment horizontal="right" vertical="center"/>
    </xf>
    <xf numFmtId="201" fontId="9" fillId="0" borderId="136" xfId="5" applyNumberFormat="1" applyFont="1" applyFill="1" applyBorder="1" applyAlignment="1" applyProtection="1">
      <alignment horizontal="right" vertical="center"/>
    </xf>
    <xf numFmtId="201" fontId="9" fillId="0" borderId="5" xfId="5" applyNumberFormat="1" applyFont="1" applyFill="1" applyBorder="1" applyAlignment="1" applyProtection="1">
      <alignment horizontal="right" vertical="center"/>
    </xf>
    <xf numFmtId="201" fontId="9" fillId="0" borderId="125" xfId="5" applyNumberFormat="1" applyFont="1" applyFill="1" applyBorder="1" applyAlignment="1" applyProtection="1">
      <alignment horizontal="right" vertical="center"/>
    </xf>
    <xf numFmtId="49" fontId="9" fillId="0" borderId="48" xfId="7" applyNumberFormat="1" applyFont="1" applyFill="1" applyBorder="1" applyAlignment="1" applyProtection="1">
      <alignment horizontal="left"/>
    </xf>
    <xf numFmtId="49" fontId="9" fillId="0" borderId="65" xfId="7" applyNumberFormat="1" applyFont="1" applyFill="1" applyBorder="1" applyAlignment="1" applyProtection="1">
      <alignment horizontal="left"/>
    </xf>
    <xf numFmtId="49" fontId="9" fillId="0" borderId="124" xfId="7" applyNumberFormat="1" applyFont="1" applyFill="1" applyBorder="1" applyAlignment="1" applyProtection="1">
      <alignment horizontal="left"/>
    </xf>
    <xf numFmtId="49" fontId="9" fillId="0" borderId="137" xfId="7" applyNumberFormat="1" applyFont="1" applyFill="1" applyBorder="1" applyAlignment="1" applyProtection="1">
      <alignment horizontal="left"/>
    </xf>
    <xf numFmtId="49" fontId="9" fillId="0" borderId="123" xfId="7" applyNumberFormat="1" applyFont="1" applyFill="1" applyBorder="1" applyAlignment="1" applyProtection="1">
      <alignment horizontal="left"/>
    </xf>
    <xf numFmtId="49" fontId="9" fillId="0" borderId="136" xfId="7" applyNumberFormat="1" applyFont="1" applyFill="1" applyBorder="1" applyAlignment="1" applyProtection="1">
      <alignment horizontal="left"/>
    </xf>
    <xf numFmtId="49" fontId="9" fillId="7" borderId="48" xfId="7" applyNumberFormat="1" applyFont="1" applyFill="1" applyBorder="1" applyAlignment="1" applyProtection="1">
      <alignment horizontal="left"/>
      <protection locked="0"/>
    </xf>
    <xf numFmtId="49" fontId="9" fillId="7" borderId="65" xfId="7" applyNumberFormat="1" applyFont="1" applyFill="1" applyBorder="1" applyAlignment="1" applyProtection="1">
      <alignment horizontal="left"/>
      <protection locked="0"/>
    </xf>
    <xf numFmtId="49" fontId="9" fillId="7" borderId="124" xfId="7" applyNumberFormat="1" applyFont="1" applyFill="1" applyBorder="1" applyAlignment="1" applyProtection="1">
      <alignment horizontal="left"/>
      <protection locked="0"/>
    </xf>
    <xf numFmtId="190" fontId="34" fillId="0" borderId="63" xfId="8" applyNumberFormat="1" applyFont="1" applyFill="1" applyBorder="1" applyAlignment="1" applyProtection="1">
      <alignment horizontal="right" indent="1"/>
    </xf>
    <xf numFmtId="190" fontId="34" fillId="0" borderId="133" xfId="8" applyNumberFormat="1" applyFont="1" applyFill="1" applyBorder="1" applyAlignment="1" applyProtection="1">
      <alignment horizontal="right" indent="1"/>
    </xf>
    <xf numFmtId="190" fontId="9" fillId="0" borderId="5" xfId="8" applyNumberFormat="1" applyFont="1" applyFill="1" applyBorder="1" applyAlignment="1" applyProtection="1">
      <alignment horizontal="right" indent="1"/>
    </xf>
    <xf numFmtId="190" fontId="9" fillId="0" borderId="125" xfId="8" applyNumberFormat="1" applyFont="1" applyFill="1" applyBorder="1" applyAlignment="1" applyProtection="1">
      <alignment horizontal="right" indent="1"/>
    </xf>
    <xf numFmtId="190" fontId="9" fillId="0" borderId="47" xfId="8" applyNumberFormat="1" applyFont="1" applyFill="1" applyBorder="1" applyAlignment="1" applyProtection="1">
      <alignment horizontal="right" indent="1"/>
    </xf>
    <xf numFmtId="190" fontId="9" fillId="0" borderId="134" xfId="8" applyNumberFormat="1" applyFont="1" applyFill="1" applyBorder="1" applyAlignment="1" applyProtection="1">
      <alignment horizontal="right" indent="1"/>
    </xf>
    <xf numFmtId="190" fontId="9" fillId="0" borderId="135" xfId="8" applyNumberFormat="1" applyFont="1" applyFill="1" applyBorder="1" applyAlignment="1" applyProtection="1">
      <alignment horizontal="right" indent="1"/>
    </xf>
    <xf numFmtId="190" fontId="9" fillId="0" borderId="58" xfId="8" applyNumberFormat="1" applyFont="1" applyFill="1" applyBorder="1" applyAlignment="1" applyProtection="1">
      <alignment horizontal="right" indent="1"/>
    </xf>
    <xf numFmtId="49" fontId="9" fillId="7" borderId="48" xfId="1" applyNumberFormat="1" applyFont="1" applyFill="1" applyBorder="1" applyAlignment="1" applyProtection="1">
      <alignment horizontal="left" vertical="center"/>
      <protection locked="0"/>
    </xf>
    <xf numFmtId="49" fontId="9" fillId="7" borderId="65" xfId="1" applyNumberFormat="1" applyFont="1" applyFill="1" applyBorder="1" applyAlignment="1" applyProtection="1">
      <alignment horizontal="left" vertical="center"/>
      <protection locked="0"/>
    </xf>
    <xf numFmtId="49" fontId="9" fillId="7" borderId="124" xfId="1" applyNumberFormat="1" applyFont="1" applyFill="1" applyBorder="1" applyAlignment="1" applyProtection="1">
      <alignment horizontal="left" vertical="center"/>
      <protection locked="0"/>
    </xf>
    <xf numFmtId="168" fontId="9" fillId="0" borderId="6" xfId="7" applyNumberFormat="1" applyFont="1" applyFill="1" applyBorder="1" applyAlignment="1" applyProtection="1">
      <alignment horizontal="right"/>
    </xf>
    <xf numFmtId="168" fontId="9" fillId="0" borderId="75" xfId="7" applyNumberFormat="1" applyFont="1" applyFill="1" applyBorder="1" applyAlignment="1" applyProtection="1">
      <alignment horizontal="right"/>
    </xf>
    <xf numFmtId="0" fontId="9" fillId="7" borderId="0" xfId="7" applyFont="1" applyFill="1" applyBorder="1" applyAlignment="1" applyProtection="1">
      <alignment horizontal="left" vertical="center"/>
      <protection locked="0"/>
    </xf>
    <xf numFmtId="1" fontId="9" fillId="25" borderId="0" xfId="8" applyNumberFormat="1" applyFont="1" applyFill="1" applyBorder="1" applyAlignment="1" applyProtection="1">
      <alignment horizontal="center"/>
    </xf>
    <xf numFmtId="0" fontId="9" fillId="25" borderId="75" xfId="8" applyNumberFormat="1" applyFill="1" applyBorder="1" applyAlignment="1" applyProtection="1">
      <alignment horizontal="center"/>
    </xf>
    <xf numFmtId="0" fontId="9" fillId="7" borderId="0" xfId="8" applyNumberFormat="1" applyFont="1" applyFill="1" applyBorder="1" applyAlignment="1" applyProtection="1">
      <alignment horizontal="left"/>
      <protection locked="0"/>
    </xf>
    <xf numFmtId="0" fontId="9" fillId="7" borderId="0" xfId="8" applyNumberFormat="1" applyFill="1" applyBorder="1" applyAlignment="1" applyProtection="1">
      <alignment horizontal="left"/>
      <protection locked="0"/>
    </xf>
    <xf numFmtId="0" fontId="9" fillId="7" borderId="75" xfId="8" applyNumberFormat="1" applyFill="1" applyBorder="1" applyAlignment="1" applyProtection="1">
      <alignment horizontal="left"/>
      <protection locked="0"/>
    </xf>
    <xf numFmtId="190" fontId="9" fillId="7" borderId="6" xfId="8" applyNumberFormat="1" applyFont="1" applyFill="1" applyBorder="1" applyAlignment="1" applyProtection="1">
      <alignment horizontal="right" indent="1"/>
      <protection locked="0"/>
    </xf>
    <xf numFmtId="190" fontId="9" fillId="7" borderId="75" xfId="8" applyNumberFormat="1" applyFont="1" applyFill="1" applyBorder="1" applyAlignment="1" applyProtection="1">
      <alignment horizontal="right" indent="1"/>
      <protection locked="0"/>
    </xf>
    <xf numFmtId="190" fontId="9" fillId="0" borderId="65" xfId="7" applyNumberFormat="1" applyFont="1" applyFill="1" applyBorder="1" applyAlignment="1" applyProtection="1">
      <alignment horizontal="right"/>
    </xf>
    <xf numFmtId="190" fontId="9" fillId="0" borderId="124" xfId="7" applyNumberFormat="1" applyFont="1" applyFill="1" applyBorder="1" applyAlignment="1" applyProtection="1">
      <alignment horizontal="right"/>
    </xf>
    <xf numFmtId="0" fontId="9" fillId="7" borderId="0" xfId="8" applyNumberFormat="1" applyFont="1" applyBorder="1" applyAlignment="1" applyProtection="1">
      <alignment horizontal="left"/>
      <protection locked="0"/>
    </xf>
    <xf numFmtId="0" fontId="9" fillId="7" borderId="0" xfId="8" applyNumberFormat="1" applyBorder="1" applyAlignment="1" applyProtection="1">
      <alignment horizontal="left"/>
      <protection locked="0"/>
    </xf>
    <xf numFmtId="0" fontId="9" fillId="7" borderId="75" xfId="8" applyNumberFormat="1" applyBorder="1" applyAlignment="1" applyProtection="1">
      <alignment horizontal="left"/>
      <protection locked="0"/>
    </xf>
    <xf numFmtId="190" fontId="9" fillId="7" borderId="6" xfId="8" applyNumberFormat="1" applyFont="1" applyBorder="1" applyAlignment="1" applyProtection="1">
      <alignment horizontal="right" indent="1"/>
      <protection locked="0"/>
    </xf>
    <xf numFmtId="190" fontId="9" fillId="7" borderId="75" xfId="8" applyNumberFormat="1" applyFont="1" applyBorder="1" applyAlignment="1" applyProtection="1">
      <alignment horizontal="right" indent="1"/>
      <protection locked="0"/>
    </xf>
    <xf numFmtId="190" fontId="34" fillId="0" borderId="63" xfId="7" applyNumberFormat="1" applyFont="1" applyFill="1" applyBorder="1" applyAlignment="1" applyProtection="1">
      <alignment horizontal="right" indent="1"/>
    </xf>
    <xf numFmtId="190" fontId="34" fillId="0" borderId="133" xfId="7" applyNumberFormat="1" applyFont="1" applyFill="1" applyBorder="1" applyAlignment="1" applyProtection="1">
      <alignment horizontal="right" indent="1"/>
    </xf>
    <xf numFmtId="194" fontId="9" fillId="0" borderId="43" xfId="1" applyNumberFormat="1" applyFont="1" applyBorder="1" applyAlignment="1" applyProtection="1">
      <alignment horizontal="center" vertical="center"/>
      <protection hidden="1"/>
    </xf>
    <xf numFmtId="190" fontId="9" fillId="7" borderId="65" xfId="7" applyNumberFormat="1" applyFont="1" applyFill="1" applyBorder="1" applyAlignment="1" applyProtection="1">
      <alignment horizontal="left"/>
      <protection locked="0"/>
    </xf>
    <xf numFmtId="190" fontId="9" fillId="7" borderId="124" xfId="7" applyNumberFormat="1" applyFont="1" applyFill="1" applyBorder="1" applyAlignment="1" applyProtection="1">
      <alignment horizontal="left"/>
      <protection locked="0"/>
    </xf>
    <xf numFmtId="190" fontId="34" fillId="0" borderId="43" xfId="7" applyNumberFormat="1" applyFont="1" applyFill="1" applyBorder="1" applyAlignment="1" applyProtection="1">
      <alignment horizontal="right" indent="1"/>
    </xf>
    <xf numFmtId="190" fontId="9" fillId="7" borderId="63" xfId="7" applyNumberFormat="1" applyFont="1" applyFill="1" applyBorder="1" applyAlignment="1" applyProtection="1">
      <alignment horizontal="left"/>
      <protection locked="0"/>
    </xf>
    <xf numFmtId="190" fontId="9" fillId="7" borderId="64" xfId="7" applyNumberFormat="1" applyFont="1" applyFill="1" applyBorder="1" applyAlignment="1" applyProtection="1">
      <alignment horizontal="left"/>
      <protection locked="0"/>
    </xf>
    <xf numFmtId="190" fontId="9" fillId="7" borderId="133" xfId="7" applyNumberFormat="1" applyFont="1" applyFill="1" applyBorder="1" applyAlignment="1" applyProtection="1">
      <alignment horizontal="left"/>
      <protection locked="0"/>
    </xf>
    <xf numFmtId="49" fontId="9" fillId="0" borderId="135" xfId="7" applyNumberFormat="1" applyFont="1" applyFill="1" applyBorder="1" applyAlignment="1" applyProtection="1">
      <alignment horizontal="left"/>
    </xf>
    <xf numFmtId="49" fontId="9" fillId="0" borderId="16" xfId="7" applyNumberFormat="1" applyFont="1" applyFill="1" applyBorder="1" applyAlignment="1" applyProtection="1">
      <alignment horizontal="left"/>
    </xf>
    <xf numFmtId="49" fontId="9" fillId="0" borderId="58" xfId="7" applyNumberFormat="1" applyFont="1" applyFill="1" applyBorder="1" applyAlignment="1" applyProtection="1">
      <alignment horizontal="left"/>
    </xf>
    <xf numFmtId="199" fontId="9" fillId="7" borderId="94" xfId="8" applyNumberFormat="1" applyFont="1" applyBorder="1" applyAlignment="1" applyProtection="1">
      <alignment horizontal="right"/>
      <protection locked="0"/>
    </xf>
    <xf numFmtId="199" fontId="9" fillId="7" borderId="52" xfId="8" applyNumberFormat="1" applyFont="1" applyBorder="1" applyAlignment="1" applyProtection="1">
      <alignment horizontal="right"/>
      <protection locked="0"/>
    </xf>
    <xf numFmtId="0" fontId="9" fillId="7" borderId="288" xfId="1" applyFont="1" applyFill="1" applyBorder="1" applyAlignment="1" applyProtection="1">
      <alignment vertical="top" wrapText="1"/>
      <protection locked="0"/>
    </xf>
    <xf numFmtId="0" fontId="9" fillId="7" borderId="126" xfId="1" applyFont="1" applyFill="1" applyBorder="1" applyAlignment="1" applyProtection="1">
      <alignment vertical="top" wrapText="1"/>
      <protection locked="0"/>
    </xf>
    <xf numFmtId="0" fontId="9" fillId="7" borderId="221" xfId="1" applyFont="1" applyFill="1" applyBorder="1" applyAlignment="1" applyProtection="1">
      <alignment vertical="top" wrapText="1"/>
      <protection locked="0"/>
    </xf>
    <xf numFmtId="199" fontId="9" fillId="7" borderId="97" xfId="8" applyNumberFormat="1" applyFont="1" applyBorder="1" applyAlignment="1" applyProtection="1">
      <alignment horizontal="right"/>
      <protection locked="0"/>
    </xf>
    <xf numFmtId="0" fontId="9" fillId="7" borderId="48" xfId="1" applyFont="1" applyFill="1" applyBorder="1" applyAlignment="1" applyProtection="1">
      <alignment vertical="center"/>
      <protection locked="0"/>
    </xf>
    <xf numFmtId="0" fontId="9" fillId="7" borderId="65" xfId="1" applyFont="1" applyFill="1" applyBorder="1" applyAlignment="1" applyProtection="1">
      <alignment vertical="center"/>
      <protection locked="0"/>
    </xf>
    <xf numFmtId="0" fontId="9" fillId="7" borderId="124" xfId="1" applyFont="1" applyFill="1" applyBorder="1" applyAlignment="1" applyProtection="1">
      <alignment vertical="center"/>
      <protection locked="0"/>
    </xf>
    <xf numFmtId="0" fontId="9" fillId="7" borderId="137" xfId="1" applyFont="1" applyFill="1" applyBorder="1" applyAlignment="1" applyProtection="1">
      <alignment vertical="center"/>
      <protection locked="0"/>
    </xf>
    <xf numFmtId="0" fontId="9" fillId="7" borderId="123" xfId="1" applyFont="1" applyFill="1" applyBorder="1" applyAlignment="1" applyProtection="1">
      <alignment vertical="center"/>
      <protection locked="0"/>
    </xf>
    <xf numFmtId="0" fontId="9" fillId="7" borderId="136" xfId="1" applyFont="1" applyFill="1" applyBorder="1" applyAlignment="1" applyProtection="1">
      <alignment vertical="center"/>
      <protection locked="0"/>
    </xf>
    <xf numFmtId="1" fontId="98" fillId="0" borderId="177" xfId="1" applyNumberFormat="1" applyFont="1" applyFill="1" applyBorder="1" applyAlignment="1" applyProtection="1">
      <alignment horizontal="center" vertical="center"/>
      <protection hidden="1"/>
    </xf>
    <xf numFmtId="1" fontId="98" fillId="0" borderId="179" xfId="1" applyNumberFormat="1" applyFont="1" applyFill="1" applyBorder="1" applyAlignment="1" applyProtection="1">
      <alignment horizontal="center" vertical="center"/>
      <protection hidden="1"/>
    </xf>
    <xf numFmtId="0" fontId="98" fillId="0" borderId="198" xfId="1" applyFont="1" applyBorder="1" applyAlignment="1" applyProtection="1">
      <alignment vertical="center"/>
      <protection hidden="1"/>
    </xf>
    <xf numFmtId="0" fontId="98" fillId="0" borderId="194" xfId="1" applyFont="1" applyBorder="1" applyAlignment="1" applyProtection="1">
      <alignment vertical="center"/>
      <protection hidden="1"/>
    </xf>
    <xf numFmtId="179" fontId="99" fillId="0" borderId="192" xfId="1" applyNumberFormat="1" applyFont="1" applyFill="1" applyBorder="1" applyAlignment="1" applyProtection="1">
      <alignment horizontal="right" vertical="center"/>
      <protection hidden="1"/>
    </xf>
    <xf numFmtId="179" fontId="99" fillId="0" borderId="190" xfId="1" applyNumberFormat="1" applyFont="1" applyFill="1" applyBorder="1" applyAlignment="1" applyProtection="1">
      <alignment vertical="center"/>
      <protection hidden="1"/>
    </xf>
    <xf numFmtId="179" fontId="98" fillId="0" borderId="0" xfId="1" applyNumberFormat="1" applyFont="1" applyFill="1" applyBorder="1" applyAlignment="1" applyProtection="1">
      <alignment horizontal="right" vertical="center"/>
      <protection hidden="1"/>
    </xf>
    <xf numFmtId="179" fontId="98" fillId="0" borderId="199" xfId="1" applyNumberFormat="1" applyFont="1" applyFill="1" applyBorder="1" applyAlignment="1" applyProtection="1">
      <alignment vertical="center"/>
      <protection hidden="1"/>
    </xf>
    <xf numFmtId="179" fontId="99" fillId="0" borderId="192" xfId="1" applyNumberFormat="1" applyFont="1" applyFill="1" applyBorder="1" applyAlignment="1" applyProtection="1">
      <alignment vertical="center"/>
      <protection hidden="1"/>
    </xf>
    <xf numFmtId="179" fontId="98" fillId="0" borderId="0" xfId="0" applyNumberFormat="1" applyFont="1" applyBorder="1" applyProtection="1">
      <protection hidden="1"/>
    </xf>
    <xf numFmtId="179" fontId="98" fillId="0" borderId="190" xfId="1" applyNumberFormat="1" applyFont="1" applyFill="1" applyBorder="1" applyAlignment="1" applyProtection="1">
      <alignment vertical="center"/>
      <protection hidden="1"/>
    </xf>
    <xf numFmtId="190" fontId="9" fillId="0" borderId="65" xfId="7" applyNumberFormat="1" applyFont="1" applyFill="1" applyBorder="1" applyAlignment="1" applyProtection="1">
      <alignment horizontal="right"/>
      <protection hidden="1"/>
    </xf>
    <xf numFmtId="190" fontId="9" fillId="0" borderId="124" xfId="7" applyNumberFormat="1" applyFont="1" applyFill="1" applyBorder="1" applyAlignment="1" applyProtection="1">
      <alignment horizontal="right"/>
      <protection hidden="1"/>
    </xf>
    <xf numFmtId="0" fontId="9" fillId="7" borderId="0" xfId="8" applyNumberFormat="1" applyFont="1" applyBorder="1" applyAlignment="1" applyProtection="1">
      <protection locked="0"/>
    </xf>
    <xf numFmtId="0" fontId="9" fillId="7" borderId="0" xfId="8" applyNumberFormat="1" applyBorder="1" applyAlignment="1" applyProtection="1">
      <protection locked="0"/>
    </xf>
    <xf numFmtId="0" fontId="9" fillId="7" borderId="75" xfId="8" applyNumberFormat="1" applyBorder="1" applyAlignment="1" applyProtection="1">
      <protection locked="0"/>
    </xf>
    <xf numFmtId="0" fontId="9" fillId="7" borderId="0" xfId="8" applyNumberFormat="1" applyFont="1" applyFill="1" applyBorder="1" applyAlignment="1" applyProtection="1">
      <protection locked="0"/>
    </xf>
    <xf numFmtId="0" fontId="9" fillId="7" borderId="0" xfId="8" applyNumberFormat="1" applyFill="1" applyBorder="1" applyAlignment="1" applyProtection="1">
      <protection locked="0"/>
    </xf>
    <xf numFmtId="0" fontId="9" fillId="7" borderId="75" xfId="8" applyNumberFormat="1" applyFill="1" applyBorder="1" applyAlignment="1" applyProtection="1">
      <protection locked="0"/>
    </xf>
    <xf numFmtId="49" fontId="9" fillId="7" borderId="135" xfId="1" applyNumberFormat="1" applyFont="1" applyFill="1" applyBorder="1" applyAlignment="1" applyProtection="1">
      <alignment horizontal="left" vertical="center"/>
      <protection locked="0"/>
    </xf>
    <xf numFmtId="49" fontId="9" fillId="7" borderId="16" xfId="1" applyNumberFormat="1" applyFont="1" applyFill="1" applyBorder="1" applyAlignment="1" applyProtection="1">
      <alignment horizontal="left" vertical="center"/>
      <protection locked="0"/>
    </xf>
    <xf numFmtId="49" fontId="9" fillId="7" borderId="58" xfId="1" applyNumberFormat="1" applyFont="1" applyFill="1" applyBorder="1" applyAlignment="1" applyProtection="1">
      <alignment horizontal="left" vertical="center"/>
      <protection locked="0"/>
    </xf>
    <xf numFmtId="49" fontId="9" fillId="0" borderId="137" xfId="7" applyNumberFormat="1" applyFont="1" applyFill="1" applyBorder="1" applyAlignment="1" applyProtection="1">
      <alignment horizontal="left"/>
      <protection hidden="1"/>
    </xf>
    <xf numFmtId="49" fontId="9" fillId="0" borderId="123" xfId="7" applyNumberFormat="1" applyFont="1" applyFill="1" applyBorder="1" applyAlignment="1" applyProtection="1">
      <alignment horizontal="left"/>
      <protection hidden="1"/>
    </xf>
    <xf numFmtId="49" fontId="9" fillId="0" borderId="136" xfId="7" applyNumberFormat="1" applyFont="1" applyFill="1" applyBorder="1" applyAlignment="1" applyProtection="1">
      <alignment horizontal="left"/>
      <protection hidden="1"/>
    </xf>
    <xf numFmtId="190" fontId="9" fillId="0" borderId="0" xfId="7" applyNumberFormat="1" applyFont="1" applyFill="1" applyBorder="1" applyAlignment="1" applyProtection="1">
      <alignment horizontal="right"/>
    </xf>
    <xf numFmtId="168" fontId="9" fillId="0" borderId="0" xfId="8" applyNumberFormat="1" applyFont="1" applyFill="1" applyBorder="1" applyAlignment="1" applyProtection="1">
      <alignment horizontal="right"/>
    </xf>
    <xf numFmtId="190" fontId="34" fillId="0" borderId="217" xfId="7" applyNumberFormat="1" applyFont="1" applyFill="1" applyBorder="1" applyAlignment="1" applyProtection="1">
      <alignment horizontal="right" indent="1"/>
    </xf>
    <xf numFmtId="166" fontId="98" fillId="0" borderId="196" xfId="1" applyNumberFormat="1" applyFont="1" applyBorder="1" applyAlignment="1" applyProtection="1">
      <alignment horizontal="center" vertical="center"/>
      <protection hidden="1"/>
    </xf>
    <xf numFmtId="166" fontId="98" fillId="0" borderId="197" xfId="1" applyNumberFormat="1" applyFont="1" applyBorder="1" applyAlignment="1" applyProtection="1">
      <alignment horizontal="center" vertical="center"/>
      <protection hidden="1"/>
    </xf>
    <xf numFmtId="0" fontId="0" fillId="0" borderId="0" xfId="0" applyProtection="1"/>
    <xf numFmtId="0" fontId="12" fillId="6" borderId="0" xfId="0" applyFont="1" applyFill="1" applyBorder="1" applyAlignment="1" applyProtection="1">
      <alignment horizontal="left" vertical="center"/>
      <protection locked="0"/>
    </xf>
    <xf numFmtId="0" fontId="0" fillId="4" borderId="0" xfId="0" applyFill="1" applyBorder="1" applyAlignment="1">
      <alignment horizontal="center"/>
    </xf>
    <xf numFmtId="0" fontId="15" fillId="4" borderId="0" xfId="0" applyFont="1" applyFill="1" applyBorder="1" applyAlignment="1">
      <alignment horizontal="left" vertical="top" wrapText="1"/>
    </xf>
    <xf numFmtId="0" fontId="13" fillId="5" borderId="0" xfId="0" applyFont="1" applyFill="1" applyBorder="1" applyAlignment="1">
      <alignment horizontal="center" vertical="center"/>
    </xf>
    <xf numFmtId="0" fontId="13" fillId="5" borderId="0" xfId="0" applyFont="1" applyFill="1" applyBorder="1" applyAlignment="1">
      <alignment horizontal="left" vertical="center"/>
    </xf>
    <xf numFmtId="3" fontId="0" fillId="3" borderId="0" xfId="0" applyNumberFormat="1" applyFill="1" applyBorder="1" applyAlignment="1">
      <alignment horizontal="right" vertical="center" indent="1"/>
    </xf>
    <xf numFmtId="49" fontId="15" fillId="3" borderId="0" xfId="0" applyNumberFormat="1" applyFont="1" applyFill="1" applyBorder="1" applyAlignment="1" applyProtection="1">
      <alignment horizontal="left" vertical="center"/>
      <protection locked="0"/>
    </xf>
    <xf numFmtId="0" fontId="53" fillId="3" borderId="0" xfId="0" applyFont="1" applyFill="1" applyBorder="1" applyAlignment="1" applyProtection="1">
      <alignment horizontal="center" vertical="center"/>
      <protection locked="0"/>
    </xf>
    <xf numFmtId="0" fontId="52" fillId="3" borderId="0" xfId="0" applyFont="1" applyFill="1" applyBorder="1" applyAlignment="1" applyProtection="1">
      <alignment horizontal="center" vertical="center"/>
      <protection locked="0"/>
    </xf>
    <xf numFmtId="49" fontId="19" fillId="3" borderId="0" xfId="0" applyNumberFormat="1" applyFont="1" applyFill="1" applyBorder="1" applyAlignment="1" applyProtection="1">
      <alignment horizontal="left" vertical="center" wrapText="1"/>
      <protection locked="0"/>
    </xf>
    <xf numFmtId="0" fontId="55" fillId="0" borderId="117" xfId="0" applyFont="1" applyFill="1" applyBorder="1" applyAlignment="1">
      <alignment horizontal="center" vertical="center"/>
    </xf>
    <xf numFmtId="185" fontId="0" fillId="3" borderId="0" xfId="0" applyNumberFormat="1" applyFill="1" applyBorder="1" applyAlignment="1">
      <alignment horizontal="right" vertical="center" indent="1"/>
    </xf>
    <xf numFmtId="165" fontId="12" fillId="8" borderId="0" xfId="0" applyNumberFormat="1" applyFont="1" applyFill="1" applyAlignment="1">
      <alignment vertical="center"/>
    </xf>
    <xf numFmtId="0" fontId="13" fillId="8" borderId="0" xfId="0" applyFont="1" applyFill="1" applyAlignment="1">
      <alignment horizontal="left" vertical="center"/>
    </xf>
    <xf numFmtId="0" fontId="13" fillId="8" borderId="0" xfId="0" applyFont="1" applyFill="1" applyAlignment="1">
      <alignment vertical="center"/>
    </xf>
    <xf numFmtId="0" fontId="55" fillId="0" borderId="129" xfId="0" applyFont="1" applyFill="1" applyBorder="1" applyAlignment="1">
      <alignment horizontal="center" vertical="center"/>
    </xf>
    <xf numFmtId="0" fontId="12" fillId="15" borderId="0" xfId="0" applyFont="1" applyFill="1" applyAlignment="1">
      <alignment vertical="center" wrapText="1"/>
    </xf>
    <xf numFmtId="0" fontId="14" fillId="0" borderId="0" xfId="0" applyFont="1" applyAlignment="1">
      <alignment horizontal="left" vertical="center"/>
    </xf>
    <xf numFmtId="0" fontId="12" fillId="0" borderId="307" xfId="0" applyNumberFormat="1" applyFont="1" applyFill="1" applyBorder="1" applyAlignment="1">
      <alignment vertical="center"/>
    </xf>
    <xf numFmtId="0" fontId="12" fillId="0" borderId="308" xfId="0" applyNumberFormat="1" applyFont="1" applyFill="1" applyBorder="1" applyAlignment="1">
      <alignment vertical="center"/>
    </xf>
    <xf numFmtId="0" fontId="12" fillId="0" borderId="309" xfId="0" applyNumberFormat="1" applyFont="1" applyFill="1" applyBorder="1" applyAlignment="1">
      <alignment vertical="center"/>
    </xf>
  </cellXfs>
  <cellStyles count="10">
    <cellStyle name="Eingabe" xfId="8"/>
    <cellStyle name="Komma" xfId="6" builtinId="3"/>
    <cellStyle name="Link" xfId="4" builtinId="8"/>
    <cellStyle name="Normal 2" xfId="7"/>
    <cellStyle name="Normal 3" xfId="9"/>
    <cellStyle name="Prozent" xfId="5" builtinId="5"/>
    <cellStyle name="Standard" xfId="0" builtinId="0"/>
    <cellStyle name="Standard 2" xfId="1"/>
    <cellStyle name="Standard 3" xfId="3"/>
    <cellStyle name="Standard_Zusammenfassung Energiesysteme" xfId="2"/>
  </cellStyles>
  <dxfs count="1664">
    <dxf>
      <font>
        <color theme="4" tint="0.79998168889431442"/>
      </font>
    </dxf>
    <dxf>
      <font>
        <color theme="4" tint="0.79998168889431442"/>
      </font>
    </dxf>
    <dxf>
      <font>
        <color theme="4" tint="0.79998168889431442"/>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79998168889431442"/>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rgb="FF0000FF"/>
      </font>
    </dxf>
    <dxf>
      <font>
        <color theme="0" tint="-0.24994659260841701"/>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rgb="FF0000FF"/>
      </font>
    </dxf>
    <dxf>
      <font>
        <color theme="0" tint="-0.24994659260841701"/>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rgb="FF0000FF"/>
      </font>
    </dxf>
    <dxf>
      <font>
        <color theme="0" tint="-0.24994659260841701"/>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FF0000"/>
      </font>
    </dxf>
    <dxf>
      <font>
        <color theme="0" tint="-0.24994659260841701"/>
      </font>
    </dxf>
    <dxf>
      <font>
        <color rgb="FF0000FF"/>
      </font>
    </dxf>
    <dxf>
      <font>
        <color theme="0" tint="-0.24994659260841701"/>
      </font>
    </dxf>
    <dxf>
      <font>
        <color rgb="FF0000FF"/>
      </font>
    </dxf>
    <dxf>
      <font>
        <color theme="0" tint="-0.24994659260841701"/>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rgb="FF0000FF"/>
      </font>
    </dxf>
    <dxf>
      <fill>
        <patternFill>
          <bgColor rgb="FFFFFF99"/>
        </patternFill>
      </fill>
    </dxf>
    <dxf>
      <font>
        <color rgb="FF0000FF"/>
      </font>
    </dxf>
    <dxf>
      <font>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FF0000"/>
      </font>
    </dxf>
    <dxf>
      <font>
        <color rgb="FF00B050"/>
      </font>
    </dxf>
    <dxf>
      <font>
        <color theme="0"/>
      </font>
    </dxf>
    <dxf>
      <font>
        <color theme="0"/>
      </font>
    </dxf>
    <dxf>
      <font>
        <color theme="0"/>
      </font>
    </dxf>
    <dxf>
      <font>
        <color rgb="FF00B050"/>
      </font>
    </dxf>
    <dxf>
      <font>
        <color theme="0"/>
      </font>
    </dxf>
    <dxf>
      <fill>
        <patternFill>
          <bgColor theme="6" tint="0.39994506668294322"/>
        </patternFill>
      </fill>
    </dxf>
    <dxf>
      <font>
        <color rgb="FFFF0000"/>
      </font>
    </dxf>
    <dxf>
      <fill>
        <patternFill>
          <bgColor theme="6" tint="0.39994506668294322"/>
        </patternFill>
      </fill>
    </dxf>
    <dxf>
      <font>
        <color rgb="FFFF0000"/>
      </font>
    </dxf>
    <dxf>
      <font>
        <color theme="1"/>
      </font>
      <border>
        <left/>
        <right style="thin">
          <color auto="1"/>
        </right>
        <top style="dotted">
          <color auto="1"/>
        </top>
        <bottom style="thin">
          <color auto="1"/>
        </bottom>
        <vertical/>
        <horizontal/>
      </border>
    </dxf>
    <dxf>
      <font>
        <color rgb="FFFF0000"/>
      </font>
    </dxf>
    <dxf>
      <fill>
        <patternFill>
          <bgColor theme="9" tint="0.39994506668294322"/>
        </patternFill>
      </fill>
    </dxf>
    <dxf>
      <fill>
        <patternFill>
          <bgColor theme="6" tint="0.39994506668294322"/>
        </patternFill>
      </fill>
    </dxf>
    <dxf>
      <font>
        <color rgb="FFFF0000"/>
      </font>
    </dxf>
    <dxf>
      <font>
        <color theme="0" tint="-0.24994659260841701"/>
      </font>
    </dxf>
    <dxf>
      <font>
        <color theme="0" tint="-0.24994659260841701"/>
      </font>
    </dxf>
    <dxf>
      <font>
        <color theme="0" tint="-0.24994659260841701"/>
      </font>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left/>
        <right/>
        <top style="dotted">
          <color auto="1"/>
        </top>
        <bottom style="thin">
          <color auto="1"/>
        </bottom>
        <vertical/>
        <horizontal/>
      </border>
    </dxf>
    <dxf>
      <border>
        <bottom style="dotted">
          <color auto="1"/>
        </bottom>
      </border>
    </dxf>
    <dxf>
      <font>
        <color theme="1"/>
      </font>
      <border>
        <left/>
        <right style="thin">
          <color auto="1"/>
        </right>
        <top style="dotted">
          <color auto="1"/>
        </top>
        <bottom style="thin">
          <color auto="1"/>
        </bottom>
        <vertical/>
        <horizontal/>
      </border>
    </dxf>
    <dxf>
      <font>
        <color rgb="FFFF0000"/>
      </font>
    </dxf>
    <dxf>
      <fill>
        <patternFill>
          <bgColor theme="7" tint="0.59996337778862885"/>
        </patternFill>
      </fill>
    </dxf>
    <dxf>
      <font>
        <color rgb="FFFF0000"/>
      </font>
    </dxf>
    <dxf>
      <fill>
        <patternFill>
          <bgColor theme="7" tint="0.59996337778862885"/>
        </patternFill>
      </fill>
    </dxf>
    <dxf>
      <font>
        <color theme="1"/>
      </font>
      <border>
        <left/>
        <right style="thin">
          <color auto="1"/>
        </right>
        <top style="dotted">
          <color auto="1"/>
        </top>
        <bottom style="thin">
          <color auto="1"/>
        </bottom>
        <vertical/>
        <horizontal/>
      </border>
    </dxf>
    <dxf>
      <font>
        <color rgb="FFFF0000"/>
      </font>
    </dxf>
    <dxf>
      <font>
        <color rgb="FFFF0000"/>
      </font>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ill>
        <patternFill>
          <bgColor theme="7" tint="0.59996337778862885"/>
        </patternFill>
      </fill>
    </dxf>
    <dxf>
      <border>
        <bottom style="dotted">
          <color auto="1"/>
        </bottom>
      </border>
    </dxf>
    <dxf>
      <fill>
        <patternFill>
          <bgColor theme="7" tint="0.59996337778862885"/>
        </patternFill>
      </fill>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ont>
        <color theme="1"/>
      </font>
      <border>
        <left/>
        <right style="thin">
          <color auto="1"/>
        </right>
        <top style="dotted">
          <color auto="1"/>
        </top>
        <bottom style="thin">
          <color auto="1"/>
        </bottom>
        <vertical/>
        <horizontal/>
      </border>
    </dxf>
    <dxf>
      <font>
        <color rgb="FFFF0000"/>
      </font>
    </dxf>
    <dxf>
      <fill>
        <patternFill>
          <bgColor theme="7" tint="0.59996337778862885"/>
        </patternFill>
      </fill>
    </dxf>
    <dxf>
      <border>
        <bottom style="dotted">
          <color auto="1"/>
        </bottom>
      </border>
    </dxf>
    <dxf>
      <font>
        <color rgb="FFFF0000"/>
      </font>
    </dxf>
    <dxf>
      <fill>
        <patternFill>
          <bgColor theme="7" tint="0.59996337778862885"/>
        </patternFill>
      </fill>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ill>
        <patternFill>
          <bgColor theme="7" tint="0.59996337778862885"/>
        </patternFill>
      </fill>
    </dxf>
    <dxf>
      <border>
        <bottom style="dotted">
          <color auto="1"/>
        </bottom>
      </border>
    </dxf>
    <dxf>
      <font>
        <color rgb="FFFF0000"/>
      </font>
    </dxf>
    <dxf>
      <fill>
        <patternFill>
          <bgColor theme="7" tint="0.59996337778862885"/>
        </patternFill>
      </fill>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7" tint="0.59996337778862885"/>
        </patternFill>
      </fill>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ont>
        <color rgb="FFFF0000"/>
      </font>
    </dxf>
    <dxf>
      <fill>
        <patternFill>
          <bgColor theme="5" tint="0.59996337778862885"/>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fill>
        <patternFill patternType="none">
          <bgColor auto="1"/>
        </patternFill>
      </fill>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00B050"/>
      </font>
    </dxf>
    <dxf>
      <font>
        <color theme="0"/>
      </font>
    </dxf>
    <dxf>
      <font>
        <color theme="0"/>
      </font>
    </dxf>
    <dxf>
      <font>
        <color theme="0"/>
      </font>
    </dxf>
    <dxf>
      <font>
        <color rgb="FF00B050"/>
      </font>
    </dxf>
    <dxf>
      <font>
        <color theme="0"/>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ont>
        <color theme="1"/>
      </font>
      <border>
        <left/>
        <right style="thin">
          <color auto="1"/>
        </right>
        <top style="dotted">
          <color auto="1"/>
        </top>
        <bottom style="thin">
          <color auto="1"/>
        </bottom>
        <vertical/>
        <horizontal/>
      </border>
    </dxf>
    <dxf>
      <font>
        <color rgb="FFFF0000"/>
      </font>
    </dxf>
    <dxf>
      <fill>
        <patternFill>
          <bgColor theme="6" tint="0.39994506668294322"/>
        </patternFill>
      </fill>
    </dxf>
    <dxf>
      <font>
        <color rgb="FFFF0000"/>
      </font>
    </dxf>
    <dxf>
      <font>
        <color rgb="FFFF0000"/>
      </font>
    </dxf>
    <dxf>
      <fill>
        <patternFill>
          <bgColor theme="7" tint="0.59996337778862885"/>
        </patternFill>
      </fill>
    </dxf>
    <dxf>
      <font>
        <color theme="0" tint="-0.24994659260841701"/>
      </font>
    </dxf>
    <dxf>
      <font>
        <color theme="0" tint="-0.24994659260841701"/>
      </font>
    </dxf>
    <dxf>
      <font>
        <color theme="0" tint="-0.24994659260841701"/>
      </font>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left/>
        <right/>
        <top style="dotted">
          <color auto="1"/>
        </top>
        <bottom style="thin">
          <color auto="1"/>
        </bottom>
        <vertical/>
        <horizontal/>
      </border>
    </dxf>
    <dxf>
      <border>
        <bottom style="dotted">
          <color auto="1"/>
        </bottom>
      </border>
    </dxf>
    <dxf>
      <font>
        <color theme="1"/>
      </font>
      <border>
        <left/>
        <right style="thin">
          <color auto="1"/>
        </right>
        <top style="dotted">
          <color auto="1"/>
        </top>
        <bottom style="thin">
          <color auto="1"/>
        </bottom>
        <vertical/>
        <horizontal/>
      </border>
    </dxf>
    <dxf>
      <font>
        <color rgb="FFFF0000"/>
      </font>
    </dxf>
    <dxf>
      <fill>
        <patternFill>
          <bgColor theme="7" tint="0.59996337778862885"/>
        </patternFill>
      </fill>
    </dxf>
    <dxf>
      <font>
        <color rgb="FFFF0000"/>
      </font>
    </dxf>
    <dxf>
      <fill>
        <patternFill>
          <bgColor theme="7" tint="0.59996337778862885"/>
        </patternFill>
      </fill>
    </dxf>
    <dxf>
      <font>
        <color theme="1"/>
      </font>
      <border>
        <left/>
        <right style="thin">
          <color auto="1"/>
        </right>
        <top style="dotted">
          <color auto="1"/>
        </top>
        <bottom style="thin">
          <color auto="1"/>
        </bottom>
        <vertical/>
        <horizontal/>
      </border>
    </dxf>
    <dxf>
      <font>
        <color rgb="FFFF0000"/>
      </font>
    </dxf>
    <dxf>
      <font>
        <color rgb="FFFF0000"/>
      </font>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ill>
        <patternFill>
          <bgColor theme="7" tint="0.59996337778862885"/>
        </patternFill>
      </fill>
    </dxf>
    <dxf>
      <border>
        <bottom style="dotted">
          <color auto="1"/>
        </bottom>
      </border>
    </dxf>
    <dxf>
      <fill>
        <patternFill>
          <bgColor theme="7" tint="0.59996337778862885"/>
        </patternFill>
      </fill>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ont>
        <color theme="1"/>
      </font>
      <border>
        <left/>
        <right style="thin">
          <color auto="1"/>
        </right>
        <top style="dotted">
          <color auto="1"/>
        </top>
        <bottom style="thin">
          <color auto="1"/>
        </bottom>
        <vertical/>
        <horizontal/>
      </border>
    </dxf>
    <dxf>
      <font>
        <color rgb="FFFF0000"/>
      </font>
    </dxf>
    <dxf>
      <fill>
        <patternFill>
          <bgColor theme="7" tint="0.59996337778862885"/>
        </patternFill>
      </fill>
    </dxf>
    <dxf>
      <border>
        <bottom style="dotted">
          <color auto="1"/>
        </bottom>
      </border>
    </dxf>
    <dxf>
      <font>
        <color rgb="FFFF0000"/>
      </font>
    </dxf>
    <dxf>
      <fill>
        <patternFill>
          <bgColor theme="7" tint="0.59996337778862885"/>
        </patternFill>
      </fill>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ill>
        <patternFill>
          <bgColor theme="7" tint="0.59996337778862885"/>
        </patternFill>
      </fill>
    </dxf>
    <dxf>
      <border>
        <bottom style="dotted">
          <color auto="1"/>
        </bottom>
      </border>
    </dxf>
    <dxf>
      <font>
        <color rgb="FFFF0000"/>
      </font>
    </dxf>
    <dxf>
      <fill>
        <patternFill>
          <bgColor theme="7" tint="0.59996337778862885"/>
        </patternFill>
      </fill>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ont>
        <color rgb="FFFF0000"/>
      </font>
    </dxf>
    <dxf>
      <fill>
        <patternFill>
          <bgColor theme="5" tint="0.59996337778862885"/>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theme="0"/>
      </font>
    </dxf>
    <dxf>
      <font>
        <color rgb="FF00B050"/>
      </font>
    </dxf>
    <dxf>
      <font>
        <color theme="0"/>
      </font>
    </dxf>
    <dxf>
      <font>
        <color theme="0" tint="-0.24994659260841701"/>
      </font>
    </dxf>
    <dxf>
      <font>
        <color rgb="FFFF0000"/>
      </font>
    </dxf>
    <dxf>
      <font>
        <color rgb="FFFF0000"/>
      </font>
    </dxf>
    <dxf>
      <fill>
        <patternFill>
          <bgColor theme="9" tint="0.39994506668294322"/>
        </patternFill>
      </fill>
    </dxf>
    <dxf>
      <font>
        <color rgb="FF00B050"/>
      </font>
    </dxf>
    <dxf>
      <font>
        <color theme="0"/>
      </font>
    </dxf>
    <dxf>
      <font>
        <color theme="0"/>
      </font>
    </dxf>
    <dxf>
      <fill>
        <patternFill>
          <bgColor theme="6" tint="0.39994506668294322"/>
        </patternFill>
      </fill>
    </dxf>
    <dxf>
      <font>
        <color rgb="FFFF0000"/>
      </font>
    </dxf>
    <dxf>
      <fill>
        <patternFill>
          <bgColor theme="6" tint="0.39994506668294322"/>
        </patternFill>
      </fill>
    </dxf>
    <dxf>
      <font>
        <color rgb="FFFF0000"/>
      </font>
    </dxf>
    <dxf>
      <font>
        <color theme="1"/>
      </font>
      <border>
        <left/>
        <right style="thin">
          <color auto="1"/>
        </right>
        <top style="dotted">
          <color auto="1"/>
        </top>
        <bottom style="thin">
          <color auto="1"/>
        </bottom>
        <vertical/>
        <horizontal/>
      </border>
    </dxf>
    <dxf>
      <font>
        <color rgb="FFFF0000"/>
      </font>
    </dxf>
    <dxf>
      <fill>
        <patternFill>
          <bgColor theme="9" tint="0.39994506668294322"/>
        </patternFill>
      </fill>
    </dxf>
    <dxf>
      <fill>
        <patternFill>
          <bgColor theme="6" tint="0.39994506668294322"/>
        </patternFill>
      </fill>
    </dxf>
    <dxf>
      <font>
        <color rgb="FFFF0000"/>
      </font>
    </dxf>
    <dxf>
      <font>
        <color rgb="FFFF0000"/>
      </font>
    </dxf>
    <dxf>
      <fill>
        <patternFill>
          <bgColor theme="7" tint="0.59996337778862885"/>
        </patternFill>
      </fill>
    </dxf>
    <dxf>
      <font>
        <color theme="0" tint="-0.24994659260841701"/>
      </font>
    </dxf>
    <dxf>
      <font>
        <color theme="0" tint="-0.24994659260841701"/>
      </font>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left/>
        <right/>
        <top style="dotted">
          <color auto="1"/>
        </top>
        <bottom style="thin">
          <color auto="1"/>
        </bottom>
        <vertical/>
        <horizontal/>
      </border>
    </dxf>
    <dxf>
      <border>
        <bottom style="dotted">
          <color auto="1"/>
        </bottom>
      </border>
    </dxf>
    <dxf>
      <font>
        <color theme="1"/>
      </font>
      <border>
        <left/>
        <right style="thin">
          <color auto="1"/>
        </right>
        <top style="dotted">
          <color auto="1"/>
        </top>
        <bottom style="thin">
          <color auto="1"/>
        </bottom>
        <vertical/>
        <horizontal/>
      </border>
    </dxf>
    <dxf>
      <font>
        <color rgb="FFFF0000"/>
      </font>
    </dxf>
    <dxf>
      <fill>
        <patternFill>
          <bgColor theme="7" tint="0.59996337778862885"/>
        </patternFill>
      </fill>
    </dxf>
    <dxf>
      <font>
        <color rgb="FFFF0000"/>
      </font>
    </dxf>
    <dxf>
      <fill>
        <patternFill>
          <bgColor theme="7" tint="0.59996337778862885"/>
        </patternFill>
      </fill>
    </dxf>
    <dxf>
      <font>
        <color theme="1"/>
      </font>
      <border>
        <left/>
        <right style="thin">
          <color auto="1"/>
        </right>
        <top style="dotted">
          <color auto="1"/>
        </top>
        <bottom style="thin">
          <color auto="1"/>
        </bottom>
        <vertical/>
        <horizontal/>
      </border>
    </dxf>
    <dxf>
      <font>
        <color rgb="FFFF0000"/>
      </font>
    </dxf>
    <dxf>
      <font>
        <color rgb="FFFF0000"/>
      </font>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ill>
        <patternFill>
          <bgColor theme="7" tint="0.59996337778862885"/>
        </patternFill>
      </fill>
    </dxf>
    <dxf>
      <border>
        <bottom style="dotted">
          <color auto="1"/>
        </bottom>
      </border>
    </dxf>
    <dxf>
      <fill>
        <patternFill>
          <bgColor theme="7" tint="0.59996337778862885"/>
        </patternFill>
      </fill>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ont>
        <color theme="1"/>
      </font>
      <border>
        <left/>
        <right style="thin">
          <color auto="1"/>
        </right>
        <top style="dotted">
          <color auto="1"/>
        </top>
        <bottom style="thin">
          <color auto="1"/>
        </bottom>
        <vertical/>
        <horizontal/>
      </border>
    </dxf>
    <dxf>
      <font>
        <color rgb="FFFF0000"/>
      </font>
    </dxf>
    <dxf>
      <fill>
        <patternFill>
          <bgColor theme="7" tint="0.59996337778862885"/>
        </patternFill>
      </fill>
    </dxf>
    <dxf>
      <border>
        <bottom style="dotted">
          <color auto="1"/>
        </bottom>
      </border>
    </dxf>
    <dxf>
      <font>
        <color rgb="FFFF0000"/>
      </font>
    </dxf>
    <dxf>
      <fill>
        <patternFill>
          <bgColor theme="7" tint="0.59996337778862885"/>
        </patternFill>
      </fill>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ill>
        <patternFill>
          <bgColor theme="7" tint="0.59996337778862885"/>
        </patternFill>
      </fill>
    </dxf>
    <dxf>
      <border>
        <bottom style="dotted">
          <color auto="1"/>
        </bottom>
      </border>
    </dxf>
    <dxf>
      <font>
        <color rgb="FFFF0000"/>
      </font>
    </dxf>
    <dxf>
      <fill>
        <patternFill>
          <bgColor theme="7" tint="0.59996337778862885"/>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ont>
        <color rgb="FFFF0000"/>
      </font>
    </dxf>
    <dxf>
      <fill>
        <patternFill>
          <bgColor theme="5" tint="0.59996337778862885"/>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dxf>
    <dxf>
      <font>
        <color rgb="FFFF0000"/>
      </font>
    </dxf>
    <dxf>
      <font>
        <color rgb="FFFF0000"/>
      </font>
    </dxf>
    <dxf>
      <font>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4"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00B050"/>
      </font>
    </dxf>
    <dxf>
      <font>
        <color theme="0"/>
      </font>
    </dxf>
    <dxf>
      <font>
        <color theme="0"/>
      </font>
    </dxf>
    <dxf>
      <font>
        <color theme="0"/>
      </font>
    </dxf>
    <dxf>
      <fill>
        <patternFill>
          <bgColor theme="6" tint="0.39994506668294322"/>
        </patternFill>
      </fill>
    </dxf>
    <dxf>
      <font>
        <color rgb="FFFF0000"/>
      </font>
    </dxf>
    <dxf>
      <fill>
        <patternFill>
          <bgColor theme="6" tint="0.39994506668294322"/>
        </patternFill>
      </fill>
    </dxf>
    <dxf>
      <font>
        <color rgb="FFFF0000"/>
      </font>
    </dxf>
    <dxf>
      <font>
        <color rgb="FF00B050"/>
      </font>
    </dxf>
    <dxf>
      <font>
        <color theme="0"/>
      </font>
    </dxf>
    <dxf>
      <font>
        <color theme="1"/>
      </font>
      <border>
        <left/>
        <right style="thin">
          <color auto="1"/>
        </right>
        <top style="dotted">
          <color auto="1"/>
        </top>
        <bottom style="thin">
          <color auto="1"/>
        </bottom>
        <vertical/>
        <horizontal/>
      </border>
    </dxf>
    <dxf>
      <font>
        <color rgb="FFFF0000"/>
      </font>
    </dxf>
    <dxf>
      <fill>
        <patternFill>
          <bgColor theme="9" tint="0.39994506668294322"/>
        </patternFill>
      </fill>
    </dxf>
    <dxf>
      <fill>
        <patternFill>
          <bgColor theme="6" tint="0.39994506668294322"/>
        </patternFill>
      </fill>
    </dxf>
    <dxf>
      <font>
        <color rgb="FFFF0000"/>
      </font>
    </dxf>
    <dxf>
      <font>
        <color rgb="FFFF0000"/>
      </font>
    </dxf>
    <dxf>
      <fill>
        <patternFill>
          <bgColor theme="9" tint="0.39994506668294322"/>
        </patternFill>
      </fill>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left/>
        <right/>
        <top style="dotted">
          <color auto="1"/>
        </top>
        <bottom style="thin">
          <color auto="1"/>
        </bottom>
        <vertical/>
        <horizontal/>
      </border>
    </dxf>
    <dxf>
      <border>
        <bottom style="dotted">
          <color auto="1"/>
        </bottom>
      </border>
    </dxf>
    <dxf>
      <font>
        <color theme="1"/>
      </font>
      <border>
        <left/>
        <right style="thin">
          <color auto="1"/>
        </right>
        <top style="dotted">
          <color auto="1"/>
        </top>
        <bottom style="thin">
          <color auto="1"/>
        </bottom>
        <vertical/>
        <horizontal/>
      </border>
    </dxf>
    <dxf>
      <font>
        <color rgb="FFFF0000"/>
      </font>
    </dxf>
    <dxf>
      <font>
        <color rgb="FFFF0000"/>
      </font>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ill>
        <patternFill>
          <bgColor theme="7" tint="0.59996337778862885"/>
        </patternFill>
      </fill>
    </dxf>
    <dxf>
      <border>
        <bottom style="dotted">
          <color auto="1"/>
        </bottom>
      </border>
    </dxf>
    <dxf>
      <fill>
        <patternFill>
          <bgColor theme="7" tint="0.59996337778862885"/>
        </patternFill>
      </fill>
    </dxf>
    <dxf>
      <font>
        <color theme="7" tint="0.59996337778862885"/>
      </font>
      <fill>
        <patternFill patternType="solid">
          <bgColor theme="7" tint="0.59996337778862885"/>
        </patternFill>
      </fill>
    </dxf>
    <dxf>
      <font>
        <color theme="1"/>
      </font>
      <fill>
        <patternFill>
          <bgColor rgb="FFFFFF99"/>
        </patternFill>
      </fill>
    </dxf>
    <dxf>
      <font>
        <color rgb="FFFF0000"/>
      </font>
    </dxf>
    <dxf>
      <font>
        <color theme="7" tint="0.59996337778862885"/>
      </font>
      <fill>
        <patternFill patternType="solid">
          <bgColor theme="7" tint="0.59996337778862885"/>
        </patternFill>
      </fill>
    </dxf>
    <dxf>
      <font>
        <color theme="1"/>
      </font>
      <fill>
        <patternFill>
          <bgColor rgb="FFFFFF99"/>
        </patternFill>
      </fill>
    </dxf>
    <dxf>
      <font>
        <color rgb="FFFF0000"/>
      </font>
    </dxf>
    <dxf>
      <border>
        <top style="dotted">
          <color auto="1"/>
        </top>
        <bottom style="thin">
          <color auto="1"/>
        </bottom>
        <vertical/>
        <horizontal/>
      </border>
    </dxf>
    <dxf>
      <font>
        <color theme="1"/>
      </font>
      <border>
        <left/>
        <right style="thin">
          <color auto="1"/>
        </right>
        <top style="dotted">
          <color auto="1"/>
        </top>
        <bottom style="thin">
          <color auto="1"/>
        </bottom>
        <vertical/>
        <horizontal/>
      </border>
    </dxf>
    <dxf>
      <font>
        <color rgb="FFFF0000"/>
      </font>
    </dxf>
    <dxf>
      <fill>
        <patternFill>
          <bgColor theme="7" tint="0.59996337778862885"/>
        </patternFill>
      </fill>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border>
        <top style="dotted">
          <color auto="1"/>
        </top>
        <bottom style="thin">
          <color auto="1"/>
        </bottom>
        <vertical/>
        <horizontal/>
      </border>
    </dxf>
    <dxf>
      <fill>
        <patternFill>
          <bgColor theme="7"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7" tint="0.59996337778862885"/>
        </patternFill>
      </fill>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ont>
        <color rgb="FFFF0000"/>
      </font>
    </dxf>
    <dxf>
      <fill>
        <patternFill>
          <bgColor theme="5" tint="0.59996337778862885"/>
        </patternFill>
      </fill>
    </dxf>
    <dxf>
      <fill>
        <patternFill>
          <bgColor theme="6" tint="0.39994506668294322"/>
        </patternFill>
      </fill>
    </dxf>
    <dxf>
      <font>
        <color rgb="FFFF0000"/>
      </font>
    </dxf>
    <dxf>
      <font>
        <color theme="1"/>
      </font>
      <border>
        <left/>
        <right style="thin">
          <color auto="1"/>
        </right>
        <top style="dotted">
          <color auto="1"/>
        </top>
        <bottom style="thin">
          <color auto="1"/>
        </bottom>
        <vertical/>
        <horizontal/>
      </border>
    </dxf>
    <dxf>
      <font>
        <color rgb="FFFF0000"/>
      </font>
    </dxf>
    <dxf>
      <fill>
        <patternFill>
          <bgColor theme="7" tint="0.59996337778862885"/>
        </patternFill>
      </fill>
    </dxf>
    <dxf>
      <border>
        <bottom style="dotted">
          <color auto="1"/>
        </bottom>
      </border>
    </dxf>
    <dxf>
      <border>
        <bottom style="dotted">
          <color auto="1"/>
        </bottom>
      </border>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rgb="FFFFC000"/>
        </patternFill>
      </fill>
    </dxf>
    <dxf>
      <fill>
        <patternFill>
          <bgColor theme="9" tint="0.39994506668294322"/>
        </patternFill>
      </fill>
    </dxf>
    <dxf>
      <font>
        <color rgb="FFFF0000"/>
      </font>
    </dxf>
    <dxf>
      <fill>
        <patternFill>
          <bgColor theme="7" tint="0.59996337778862885"/>
        </patternFill>
      </fill>
    </dxf>
    <dxf>
      <fill>
        <patternFill>
          <bgColor theme="9" tint="0.39994506668294322"/>
        </patternFill>
      </fill>
    </dxf>
    <dxf>
      <font>
        <color rgb="FFFF0000"/>
      </font>
    </dxf>
    <dxf>
      <fill>
        <patternFill>
          <bgColor theme="7"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rgb="FFFF0000"/>
      </font>
    </dxf>
    <dxf>
      <font>
        <color rgb="FF0000FF"/>
      </font>
    </dxf>
    <dxf>
      <font>
        <color theme="0" tint="-0.24994659260841701"/>
      </font>
    </dxf>
    <dxf>
      <font>
        <color theme="0" tint="-0.24994659260841701"/>
      </font>
    </dxf>
    <dxf>
      <font>
        <color rgb="FFFF0000"/>
      </font>
    </dxf>
    <dxf>
      <font>
        <color theme="2" tint="-9.9948118533890809E-2"/>
      </font>
      <fill>
        <patternFill>
          <bgColor theme="2"/>
        </patternFill>
      </fill>
    </dxf>
    <dxf>
      <font>
        <color theme="0" tint="-0.24994659260841701"/>
      </font>
    </dxf>
    <dxf>
      <font>
        <color rgb="FF0000FF"/>
      </font>
    </dxf>
    <dxf>
      <font>
        <color theme="0" tint="-0.24994659260841701"/>
      </font>
    </dxf>
    <dxf>
      <font>
        <color rgb="FFFF0000"/>
      </font>
    </dxf>
    <dxf>
      <font>
        <color rgb="FFFF0000"/>
      </font>
    </dxf>
    <dxf>
      <font>
        <color rgb="FFFF0000"/>
      </font>
    </dxf>
    <dxf>
      <font>
        <color theme="0" tint="-0.24994659260841701"/>
      </font>
    </dxf>
    <dxf>
      <font>
        <color theme="0" tint="-0.24994659260841701"/>
      </font>
    </dxf>
    <dxf>
      <font>
        <color theme="0" tint="-0.24994659260841701"/>
      </font>
    </dxf>
    <dxf>
      <font>
        <color rgb="FF0000FF"/>
      </font>
    </dxf>
    <dxf>
      <font>
        <color theme="0" tint="-0.24994659260841701"/>
      </font>
    </dxf>
    <dxf>
      <font>
        <color rgb="FFFF0000"/>
      </font>
    </dxf>
    <dxf>
      <font>
        <color theme="2" tint="-9.9948118533890809E-2"/>
      </font>
      <fill>
        <patternFill>
          <bgColor theme="2"/>
        </patternFill>
      </fill>
    </dxf>
    <dxf>
      <font>
        <color theme="0" tint="-0.24994659260841701"/>
      </font>
    </dxf>
    <dxf>
      <font>
        <color theme="0" tint="-0.24994659260841701"/>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FF0000"/>
      </font>
    </dxf>
    <dxf>
      <font>
        <color rgb="FFFF0000"/>
      </font>
    </dxf>
    <dxf>
      <font>
        <color rgb="FFFF0000"/>
      </font>
    </dxf>
    <dxf>
      <font>
        <color rgb="FFFF0000"/>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FF0000"/>
      </font>
    </dxf>
    <dxf>
      <font>
        <color rgb="FFFF0000"/>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FF0000"/>
      </font>
    </dxf>
    <dxf>
      <font>
        <color rgb="FFFF0000"/>
      </font>
    </dxf>
    <dxf>
      <font>
        <color rgb="FFFF0000"/>
      </font>
    </dxf>
    <dxf>
      <font>
        <color rgb="FFFF0000"/>
      </font>
    </dxf>
    <dxf>
      <font>
        <color theme="0" tint="-0.24994659260841701"/>
      </font>
    </dxf>
    <dxf>
      <font>
        <color theme="0" tint="-0.24994659260841701"/>
      </font>
    </dxf>
    <dxf>
      <font>
        <color rgb="FF0000FF"/>
      </font>
    </dxf>
    <dxf>
      <font>
        <color theme="0" tint="-0.24994659260841701"/>
      </font>
    </dxf>
    <dxf>
      <font>
        <color rgb="FFFF0000"/>
      </font>
    </dxf>
    <dxf>
      <font>
        <color theme="0" tint="-0.24994659260841701"/>
      </font>
    </dxf>
    <dxf>
      <font>
        <color theme="0" tint="-0.24994659260841701"/>
      </font>
    </dxf>
    <dxf>
      <font>
        <color rgb="FF0000FF"/>
      </font>
    </dxf>
    <dxf>
      <font>
        <color rgb="FF0000FF"/>
      </font>
    </dxf>
    <dxf>
      <font>
        <color rgb="FFFF0000"/>
      </font>
    </dxf>
    <dxf>
      <font>
        <color rgb="FFFF0000"/>
      </font>
    </dxf>
    <dxf>
      <font>
        <color theme="0" tint="-0.24994659260841701"/>
      </font>
    </dxf>
    <dxf>
      <font>
        <color rgb="FFFF0000"/>
      </font>
    </dxf>
    <dxf>
      <font>
        <color rgb="FFFF0000"/>
      </font>
    </dxf>
    <dxf>
      <font>
        <color rgb="FFFF0000"/>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9" defaultPivotStyle="PivotStyleLight16"/>
  <colors>
    <mruColors>
      <color rgb="FFFFFF99"/>
      <color rgb="FF66FFFF"/>
      <color rgb="FFE4DFEC"/>
      <color rgb="FFFFFF00"/>
      <color rgb="FFFFFFCC"/>
      <color rgb="FF0000FF"/>
      <color rgb="FFFF6600"/>
      <color rgb="FFFFCC99"/>
      <color rgb="FF0000CC"/>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1"/>
          <c:order val="0"/>
          <c:tx>
            <c:strRef>
              <c:f>Berechnungen!$A$12</c:f>
              <c:strCache>
                <c:ptCount val="1"/>
                <c:pt idx="0">
                  <c:v>Förder-beiträge</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0;&quot;&quot;" sourceLinked="0"/>
            <c:spPr>
              <a:noFill/>
              <a:ln>
                <a:noFill/>
              </a:ln>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Berechnungen!$D$12:$G$12</c:f>
              <c:numCache>
                <c:formatCode>#,##0</c:formatCode>
                <c:ptCount val="4"/>
                <c:pt idx="0">
                  <c:v>0</c:v>
                </c:pt>
                <c:pt idx="1">
                  <c:v>0</c:v>
                </c:pt>
                <c:pt idx="2">
                  <c:v>0</c:v>
                </c:pt>
                <c:pt idx="3">
                  <c:v>0</c:v>
                </c:pt>
              </c:numCache>
            </c:numRef>
          </c:val>
        </c:ser>
        <c:ser>
          <c:idx val="0"/>
          <c:order val="1"/>
          <c:tx>
            <c:strRef>
              <c:f>Berechnungen!$A$11</c:f>
              <c:strCache>
                <c:ptCount val="1"/>
                <c:pt idx="0">
                  <c:v>Investitions-kosten</c:v>
                </c:pt>
              </c:strCache>
            </c:strRef>
          </c:tx>
          <c:spPr>
            <a:solidFill>
              <a:schemeClr val="tx2">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Berechnungen!$D$11:$G$11</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237075512"/>
        <c:axId val="171107160"/>
      </c:barChart>
      <c:catAx>
        <c:axId val="237075512"/>
        <c:scaling>
          <c:orientation val="minMax"/>
        </c:scaling>
        <c:delete val="0"/>
        <c:axPos val="b"/>
        <c:majorTickMark val="none"/>
        <c:minorTickMark val="none"/>
        <c:tickLblPos val="none"/>
        <c:spPr>
          <a:ln w="12700"/>
        </c:spPr>
        <c:crossAx val="171107160"/>
        <c:crosses val="autoZero"/>
        <c:auto val="1"/>
        <c:lblAlgn val="ctr"/>
        <c:lblOffset val="100"/>
        <c:noMultiLvlLbl val="0"/>
      </c:catAx>
      <c:valAx>
        <c:axId val="171107160"/>
        <c:scaling>
          <c:orientation val="minMax"/>
        </c:scaling>
        <c:delete val="0"/>
        <c:axPos val="l"/>
        <c:majorGridlines>
          <c:spPr>
            <a:ln w="6350">
              <a:solidFill>
                <a:sysClr val="windowText" lastClr="000000">
                  <a:tint val="75000"/>
                  <a:shade val="95000"/>
                  <a:satMod val="105000"/>
                </a:sysClr>
              </a:solidFill>
            </a:ln>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237075512"/>
        <c:crosses val="autoZero"/>
        <c:crossBetween val="between"/>
      </c:valAx>
      <c:spPr>
        <a:noFill/>
        <a:ln w="25400">
          <a:noFill/>
        </a:ln>
      </c:spPr>
    </c:plotArea>
    <c:legend>
      <c:legendPos val="l"/>
      <c:layout>
        <c:manualLayout>
          <c:xMode val="edge"/>
          <c:yMode val="edge"/>
          <c:x val="0"/>
          <c:y val="0.22008305291728397"/>
          <c:w val="0.10327527290961512"/>
          <c:h val="0.41377565376178616"/>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0"/>
          <c:order val="0"/>
          <c:tx>
            <c:strRef>
              <c:f>Berechnungen!$A$15</c:f>
              <c:strCache>
                <c:ptCount val="1"/>
                <c:pt idx="0">
                  <c:v>Finanzie-rungs-kosten</c:v>
                </c:pt>
              </c:strCache>
            </c:strRef>
          </c:tx>
          <c:spPr>
            <a:solidFill>
              <a:schemeClr val="accent1"/>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Berechnungen!$D$15:$G$15</c:f>
              <c:numCache>
                <c:formatCode>#,##0</c:formatCode>
                <c:ptCount val="4"/>
                <c:pt idx="0">
                  <c:v>0</c:v>
                </c:pt>
                <c:pt idx="1">
                  <c:v>0</c:v>
                </c:pt>
                <c:pt idx="2">
                  <c:v>0</c:v>
                </c:pt>
                <c:pt idx="3">
                  <c:v>0</c:v>
                </c:pt>
              </c:numCache>
            </c:numRef>
          </c:val>
        </c:ser>
        <c:ser>
          <c:idx val="1"/>
          <c:order val="1"/>
          <c:tx>
            <c:strRef>
              <c:f>Berechnungen!$A$16</c:f>
              <c:strCache>
                <c:ptCount val="1"/>
                <c:pt idx="0">
                  <c:v>Instand-haltungs-kosten</c:v>
                </c:pt>
              </c:strCache>
            </c:strRef>
          </c:tx>
          <c:spPr>
            <a:solidFill>
              <a:srgbClr val="92D05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Berechnungen!$D$16:$G$16</c:f>
              <c:numCache>
                <c:formatCode>#,##0</c:formatCode>
                <c:ptCount val="4"/>
                <c:pt idx="0">
                  <c:v>0</c:v>
                </c:pt>
                <c:pt idx="1">
                  <c:v>0</c:v>
                </c:pt>
                <c:pt idx="2">
                  <c:v>0</c:v>
                </c:pt>
                <c:pt idx="3">
                  <c:v>0</c:v>
                </c:pt>
              </c:numCache>
            </c:numRef>
          </c:val>
        </c:ser>
        <c:ser>
          <c:idx val="2"/>
          <c:order val="2"/>
          <c:tx>
            <c:strRef>
              <c:f>Berechnungen!$A$17</c:f>
              <c:strCache>
                <c:ptCount val="1"/>
                <c:pt idx="0">
                  <c:v>Energie-kosten</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Berechnungen!$D$17:$G$17</c:f>
              <c:numCache>
                <c:formatCode>#,##0</c:formatCode>
                <c:ptCount val="4"/>
                <c:pt idx="0">
                  <c:v>0</c:v>
                </c:pt>
                <c:pt idx="1">
                  <c:v>0</c:v>
                </c:pt>
                <c:pt idx="2">
                  <c:v>0</c:v>
                </c:pt>
                <c:pt idx="3">
                  <c:v>0</c:v>
                </c:pt>
              </c:numCache>
            </c:numRef>
          </c:val>
        </c:ser>
        <c:ser>
          <c:idx val="3"/>
          <c:order val="3"/>
          <c:tx>
            <c:strRef>
              <c:f>Berechnungen!$A$18</c:f>
              <c:strCache>
                <c:ptCount val="1"/>
                <c:pt idx="0">
                  <c:v>Externe Kosten</c:v>
                </c:pt>
              </c:strCache>
            </c:strRef>
          </c:tx>
          <c:spPr>
            <a:solidFill>
              <a:schemeClr val="accent6">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Berechnungen!$D$18:$G$18</c:f>
              <c:numCache>
                <c:formatCode>#,##0</c:formatCode>
                <c:ptCount val="4"/>
                <c:pt idx="0">
                  <c:v>0</c:v>
                </c:pt>
                <c:pt idx="1">
                  <c:v>0</c:v>
                </c:pt>
                <c:pt idx="2">
                  <c:v>0</c:v>
                </c:pt>
                <c:pt idx="3">
                  <c:v>0</c:v>
                </c:pt>
              </c:numCache>
            </c:numRef>
          </c:val>
        </c:ser>
        <c:dLbls>
          <c:showLegendKey val="0"/>
          <c:showVal val="1"/>
          <c:showCatName val="0"/>
          <c:showSerName val="0"/>
          <c:showPercent val="0"/>
          <c:showBubbleSize val="0"/>
        </c:dLbls>
        <c:gapWidth val="150"/>
        <c:overlap val="100"/>
        <c:axId val="171343648"/>
        <c:axId val="234867648"/>
      </c:barChart>
      <c:catAx>
        <c:axId val="171343648"/>
        <c:scaling>
          <c:orientation val="minMax"/>
        </c:scaling>
        <c:delete val="0"/>
        <c:axPos val="b"/>
        <c:majorTickMark val="none"/>
        <c:minorTickMark val="none"/>
        <c:tickLblPos val="none"/>
        <c:spPr>
          <a:ln w="12700"/>
          <a:effectLst/>
        </c:spPr>
        <c:crossAx val="234867648"/>
        <c:crosses val="autoZero"/>
        <c:auto val="1"/>
        <c:lblAlgn val="ctr"/>
        <c:lblOffset val="100"/>
        <c:noMultiLvlLbl val="0"/>
      </c:catAx>
      <c:valAx>
        <c:axId val="234867648"/>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171343648"/>
        <c:crosses val="autoZero"/>
        <c:crossBetween val="between"/>
      </c:valAx>
      <c:spPr>
        <a:noFill/>
        <a:ln w="25400">
          <a:noFill/>
        </a:ln>
      </c:spPr>
    </c:plotArea>
    <c:legend>
      <c:legendPos val="l"/>
      <c:layout>
        <c:manualLayout>
          <c:xMode val="edge"/>
          <c:yMode val="edge"/>
          <c:x val="0"/>
          <c:y val="0.15825256254053693"/>
          <c:w val="0.10578660894887899"/>
          <c:h val="0.63646784507486154"/>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2"/>
          <c:order val="0"/>
          <c:tx>
            <c:strRef>
              <c:f>Berechnungen!$A$91</c:f>
              <c:strCache>
                <c:ptCount val="1"/>
                <c:pt idx="0">
                  <c:v>Erstellung (Graue Energie)</c:v>
                </c:pt>
              </c:strCache>
            </c:strRef>
          </c:tx>
          <c:spPr>
            <a:solidFill>
              <a:schemeClr val="tx1">
                <a:lumMod val="50000"/>
                <a:lumOff val="5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Berechnungen!$D$91:$G$91</c:f>
              <c:numCache>
                <c:formatCode>#,##0</c:formatCode>
                <c:ptCount val="4"/>
                <c:pt idx="0">
                  <c:v>0</c:v>
                </c:pt>
                <c:pt idx="1">
                  <c:v>0</c:v>
                </c:pt>
                <c:pt idx="2">
                  <c:v>0</c:v>
                </c:pt>
                <c:pt idx="3">
                  <c:v>0</c:v>
                </c:pt>
              </c:numCache>
            </c:numRef>
          </c:val>
        </c:ser>
        <c:ser>
          <c:idx val="0"/>
          <c:order val="1"/>
          <c:tx>
            <c:strRef>
              <c:f>Berechnungen!$A$92</c:f>
              <c:strCache>
                <c:ptCount val="1"/>
                <c:pt idx="0">
                  <c:v>Betrieb: nicht erneuerbar</c:v>
                </c:pt>
              </c:strCache>
            </c:strRef>
          </c:tx>
          <c:spPr>
            <a:solidFill>
              <a:schemeClr val="accent2"/>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Berechnungen!$D$92:$G$92</c:f>
              <c:numCache>
                <c:formatCode>#,##0</c:formatCode>
                <c:ptCount val="4"/>
                <c:pt idx="0">
                  <c:v>0</c:v>
                </c:pt>
                <c:pt idx="1">
                  <c:v>0</c:v>
                </c:pt>
                <c:pt idx="2">
                  <c:v>0</c:v>
                </c:pt>
                <c:pt idx="3">
                  <c:v>0</c:v>
                </c:pt>
              </c:numCache>
            </c:numRef>
          </c:val>
        </c:ser>
        <c:ser>
          <c:idx val="3"/>
          <c:order val="2"/>
          <c:tx>
            <c:strRef>
              <c:f>Berechnungen!$A$93</c:f>
              <c:strCache>
                <c:ptCount val="1"/>
                <c:pt idx="0">
                  <c:v>Betrieb: erneuerbar</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Berechnungen!$D$93:$G$93</c:f>
              <c:numCache>
                <c:formatCode>#,##0</c:formatCode>
                <c:ptCount val="4"/>
                <c:pt idx="0">
                  <c:v>0</c:v>
                </c:pt>
                <c:pt idx="1">
                  <c:v>0</c:v>
                </c:pt>
                <c:pt idx="2">
                  <c:v>0</c:v>
                </c:pt>
                <c:pt idx="3">
                  <c:v>0</c:v>
                </c:pt>
              </c:numCache>
            </c:numRef>
          </c:val>
        </c:ser>
        <c:ser>
          <c:idx val="1"/>
          <c:order val="3"/>
          <c:tx>
            <c:strRef>
              <c:f>Berechnungen!$A$94</c:f>
              <c:strCache>
                <c:ptCount val="1"/>
                <c:pt idx="0">
                  <c:v>Betrieb: erneuerbar am Standort</c:v>
                </c:pt>
              </c:strCache>
            </c:strRef>
          </c:tx>
          <c:spPr>
            <a:solidFill>
              <a:schemeClr val="accent5">
                <a:lumMod val="40000"/>
                <a:lumOff val="6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Berechnungen!$D$94:$G$94</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243617352"/>
        <c:axId val="243619784"/>
      </c:barChart>
      <c:catAx>
        <c:axId val="243617352"/>
        <c:scaling>
          <c:orientation val="minMax"/>
        </c:scaling>
        <c:delete val="0"/>
        <c:axPos val="b"/>
        <c:majorTickMark val="none"/>
        <c:minorTickMark val="none"/>
        <c:tickLblPos val="none"/>
        <c:spPr>
          <a:ln w="12700"/>
        </c:spPr>
        <c:crossAx val="243619784"/>
        <c:crosses val="autoZero"/>
        <c:auto val="1"/>
        <c:lblAlgn val="ctr"/>
        <c:lblOffset val="100"/>
        <c:noMultiLvlLbl val="0"/>
      </c:catAx>
      <c:valAx>
        <c:axId val="243619784"/>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243617352"/>
        <c:crosses val="autoZero"/>
        <c:crossBetween val="between"/>
      </c:valAx>
      <c:spPr>
        <a:noFill/>
        <a:ln w="25400">
          <a:noFill/>
        </a:ln>
      </c:spPr>
    </c:plotArea>
    <c:legend>
      <c:legendPos val="l"/>
      <c:layout>
        <c:manualLayout>
          <c:xMode val="edge"/>
          <c:yMode val="edge"/>
          <c:x val="0"/>
          <c:y val="0.14837846193013401"/>
          <c:w val="0.10531473629898826"/>
          <c:h val="0.67950125171998565"/>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0"/>
          <c:order val="0"/>
          <c:tx>
            <c:strRef>
              <c:f>Berechnungen!$A$97</c:f>
              <c:strCache>
                <c:ptCount val="1"/>
                <c:pt idx="0">
                  <c:v>Erstellung</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a:effectLst/>
            </c:spPr>
            <c:txPr>
              <a:bodyPr/>
              <a:lstStyle/>
              <a:p>
                <a:pPr>
                  <a:defRPr sz="1000">
                    <a:solidFill>
                      <a:sysClr val="windowText" lastClr="000000"/>
                    </a:solidFill>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Berechnungen!$D$97:$G$97</c:f>
              <c:numCache>
                <c:formatCode>#,##0</c:formatCode>
                <c:ptCount val="4"/>
                <c:pt idx="0">
                  <c:v>0</c:v>
                </c:pt>
                <c:pt idx="1">
                  <c:v>0</c:v>
                </c:pt>
                <c:pt idx="2">
                  <c:v>0</c:v>
                </c:pt>
                <c:pt idx="3">
                  <c:v>0</c:v>
                </c:pt>
              </c:numCache>
            </c:numRef>
          </c:val>
        </c:ser>
        <c:ser>
          <c:idx val="1"/>
          <c:order val="1"/>
          <c:tx>
            <c:strRef>
              <c:f>Berechnungen!$A$98</c:f>
              <c:strCache>
                <c:ptCount val="1"/>
                <c:pt idx="0">
                  <c:v>Betrieb</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Berechnungen!$D$98:$G$98</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243777528"/>
        <c:axId val="236850632"/>
      </c:barChart>
      <c:catAx>
        <c:axId val="243777528"/>
        <c:scaling>
          <c:orientation val="minMax"/>
        </c:scaling>
        <c:delete val="0"/>
        <c:axPos val="b"/>
        <c:majorTickMark val="none"/>
        <c:minorTickMark val="none"/>
        <c:tickLblPos val="none"/>
        <c:spPr>
          <a:ln w="12700"/>
        </c:spPr>
        <c:crossAx val="236850632"/>
        <c:crosses val="autoZero"/>
        <c:auto val="1"/>
        <c:lblAlgn val="ctr"/>
        <c:lblOffset val="100"/>
        <c:noMultiLvlLbl val="0"/>
      </c:catAx>
      <c:valAx>
        <c:axId val="236850632"/>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243777528"/>
        <c:crosses val="autoZero"/>
        <c:crossBetween val="between"/>
      </c:valAx>
      <c:spPr>
        <a:noFill/>
        <a:ln w="25400">
          <a:noFill/>
        </a:ln>
      </c:spPr>
    </c:plotArea>
    <c:legend>
      <c:legendPos val="l"/>
      <c:layout>
        <c:manualLayout>
          <c:xMode val="edge"/>
          <c:yMode val="edge"/>
          <c:x val="0"/>
          <c:y val="0.24383650657986491"/>
          <c:w val="9.3997128564060048E-2"/>
          <c:h val="0.32743345880841107"/>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2"/>
          <c:y val="2.9125911969615392E-2"/>
          <c:w val="0.80139833584631659"/>
          <c:h val="0.9523528212657848"/>
        </c:manualLayout>
      </c:layout>
      <c:barChart>
        <c:barDir val="col"/>
        <c:grouping val="stacked"/>
        <c:varyColors val="0"/>
        <c:ser>
          <c:idx val="0"/>
          <c:order val="0"/>
          <c:tx>
            <c:strRef>
              <c:f>Berechnungen!$A$40</c:f>
              <c:strCache>
                <c:ptCount val="1"/>
                <c:pt idx="0">
                  <c:v>Elektrizität</c:v>
                </c:pt>
              </c:strCache>
            </c:strRef>
          </c:tx>
          <c:spPr>
            <a:solidFill>
              <a:srgbClr val="FFC00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Berechnungen!$D$40:$G$40</c:f>
              <c:numCache>
                <c:formatCode>#,##0</c:formatCode>
                <c:ptCount val="4"/>
                <c:pt idx="0">
                  <c:v>0</c:v>
                </c:pt>
                <c:pt idx="1">
                  <c:v>0</c:v>
                </c:pt>
                <c:pt idx="2">
                  <c:v>0</c:v>
                </c:pt>
                <c:pt idx="3">
                  <c:v>0</c:v>
                </c:pt>
              </c:numCache>
            </c:numRef>
          </c:val>
        </c:ser>
        <c:ser>
          <c:idx val="5"/>
          <c:order val="1"/>
          <c:tx>
            <c:strRef>
              <c:f>Berechnungen!$A$44</c:f>
              <c:strCache>
                <c:ptCount val="1"/>
                <c:pt idx="0">
                  <c:v>Brennstoff XY</c:v>
                </c:pt>
              </c:strCache>
            </c:strRef>
          </c:tx>
          <c:spPr>
            <a:solidFill>
              <a:schemeClr val="accent2"/>
            </a:solidFill>
            <a:effectLst>
              <a:outerShdw blurRad="50800" dist="38100" dir="2700000" algn="tl" rotWithShape="0">
                <a:prstClr val="black">
                  <a:alpha val="40000"/>
                </a:prstClr>
              </a:outerShdw>
            </a:effectLst>
          </c:spPr>
          <c:invertIfNegative val="0"/>
          <c:dLbls>
            <c:numFmt formatCode="#,##0_ ;[Red]\-#,##0;&quot;&quot;" sourceLinked="0"/>
            <c:spPr>
              <a:noFill/>
              <a:ln>
                <a:noFill/>
              </a:ln>
              <a:effectLst/>
            </c:spPr>
            <c:txPr>
              <a:bodyPr/>
              <a:lstStyle/>
              <a:p>
                <a:pPr>
                  <a:defRPr>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Berechnungen!$D$44:$G$44</c:f>
              <c:numCache>
                <c:formatCode>#,##0</c:formatCode>
                <c:ptCount val="4"/>
                <c:pt idx="0">
                  <c:v>0</c:v>
                </c:pt>
                <c:pt idx="1">
                  <c:v>0</c:v>
                </c:pt>
                <c:pt idx="2">
                  <c:v>0</c:v>
                </c:pt>
                <c:pt idx="3">
                  <c:v>0</c:v>
                </c:pt>
              </c:numCache>
            </c:numRef>
          </c:val>
        </c:ser>
        <c:ser>
          <c:idx val="1"/>
          <c:order val="2"/>
          <c:tx>
            <c:strRef>
              <c:f>Berechnungen!$A$41</c:f>
              <c:strCache>
                <c:ptCount val="1"/>
                <c:pt idx="0">
                  <c:v>Heizöl, Erdgas, Biogas</c:v>
                </c:pt>
              </c:strCache>
            </c:strRef>
          </c:tx>
          <c:spPr>
            <a:solidFill>
              <a:srgbClr val="FF660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Berechnungen!$D$41:$G$41</c:f>
              <c:numCache>
                <c:formatCode>#,##0</c:formatCode>
                <c:ptCount val="4"/>
                <c:pt idx="0">
                  <c:v>0</c:v>
                </c:pt>
                <c:pt idx="1">
                  <c:v>0</c:v>
                </c:pt>
                <c:pt idx="2">
                  <c:v>0</c:v>
                </c:pt>
                <c:pt idx="3">
                  <c:v>0</c:v>
                </c:pt>
              </c:numCache>
            </c:numRef>
          </c:val>
        </c:ser>
        <c:ser>
          <c:idx val="6"/>
          <c:order val="3"/>
          <c:tx>
            <c:strRef>
              <c:f>Berechnungen!$A$45</c:f>
              <c:strCache>
                <c:ptCount val="1"/>
                <c:pt idx="0">
                  <c:v>Wärmeverbund XY</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a:ln>
                <a:noFill/>
              </a:ln>
              <a:effectLst/>
            </c:spPr>
            <c:txPr>
              <a:bodyPr/>
              <a:lstStyle/>
              <a:p>
                <a:pPr>
                  <a:defRPr>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Berechnungen!$D$45:$G$45</c:f>
              <c:numCache>
                <c:formatCode>#,##0</c:formatCode>
                <c:ptCount val="4"/>
                <c:pt idx="0">
                  <c:v>0</c:v>
                </c:pt>
                <c:pt idx="1">
                  <c:v>0</c:v>
                </c:pt>
                <c:pt idx="2">
                  <c:v>0</c:v>
                </c:pt>
                <c:pt idx="3">
                  <c:v>0</c:v>
                </c:pt>
              </c:numCache>
            </c:numRef>
          </c:val>
        </c:ser>
        <c:ser>
          <c:idx val="2"/>
          <c:order val="4"/>
          <c:tx>
            <c:strRef>
              <c:f>Berechnungen!$A$42</c:f>
              <c:strCache>
                <c:ptCount val="1"/>
                <c:pt idx="0">
                  <c:v>Fernwärme</c:v>
                </c:pt>
              </c:strCache>
            </c:strRef>
          </c:tx>
          <c:spPr>
            <a:solidFill>
              <a:schemeClr val="tx2">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Berechnungen!$D$42:$G$42</c:f>
              <c:numCache>
                <c:formatCode>#,##0</c:formatCode>
                <c:ptCount val="4"/>
                <c:pt idx="0">
                  <c:v>0</c:v>
                </c:pt>
                <c:pt idx="1">
                  <c:v>0</c:v>
                </c:pt>
                <c:pt idx="2">
                  <c:v>0</c:v>
                </c:pt>
                <c:pt idx="3">
                  <c:v>0</c:v>
                </c:pt>
              </c:numCache>
            </c:numRef>
          </c:val>
        </c:ser>
        <c:ser>
          <c:idx val="3"/>
          <c:order val="5"/>
          <c:tx>
            <c:strRef>
              <c:f>Berechnungen!$A$43</c:f>
              <c:strCache>
                <c:ptCount val="1"/>
                <c:pt idx="0">
                  <c:v>Holz</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Berechnungen!$D$43:$G$43</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236851024"/>
        <c:axId val="236851416"/>
      </c:barChart>
      <c:lineChart>
        <c:grouping val="standard"/>
        <c:varyColors val="0"/>
        <c:ser>
          <c:idx val="4"/>
          <c:order val="6"/>
          <c:tx>
            <c:strRef>
              <c:f>Berechnungen!$A$48</c:f>
              <c:strCache>
                <c:ptCount val="1"/>
                <c:pt idx="0">
                  <c:v>Grenzwert </c:v>
                </c:pt>
              </c:strCache>
            </c:strRef>
          </c:tx>
          <c:spPr>
            <a:ln w="25400">
              <a:solidFill>
                <a:schemeClr val="accent2">
                  <a:lumMod val="50000"/>
                </a:schemeClr>
              </a:solidFill>
              <a:prstDash val="solid"/>
            </a:ln>
            <a:effectLst/>
          </c:spPr>
          <c:marker>
            <c:symbol val="none"/>
          </c:marker>
          <c:trendline>
            <c:spPr>
              <a:ln w="28575">
                <a:solidFill>
                  <a:srgbClr val="C0504D">
                    <a:lumMod val="50000"/>
                  </a:srgbClr>
                </a:solidFill>
              </a:ln>
              <a:effectLst>
                <a:outerShdw blurRad="50800" dist="38100" dir="2700000" algn="tl" rotWithShape="0">
                  <a:prstClr val="black">
                    <a:alpha val="40000"/>
                  </a:prstClr>
                </a:outerShdw>
              </a:effectLst>
            </c:spPr>
            <c:trendlineType val="linear"/>
            <c:forward val="0.5"/>
            <c:backward val="0.5"/>
            <c:dispRSqr val="0"/>
            <c:dispEq val="0"/>
          </c:trendline>
          <c:val>
            <c:numRef>
              <c:f>Berechnungen!$D$48:$G$48</c:f>
              <c:numCache>
                <c:formatCode>#,##0</c:formatCode>
                <c:ptCount val="4"/>
                <c:pt idx="0">
                  <c:v>0</c:v>
                </c:pt>
                <c:pt idx="1">
                  <c:v>0</c:v>
                </c:pt>
                <c:pt idx="2">
                  <c:v>0</c:v>
                </c:pt>
                <c:pt idx="3">
                  <c:v>0</c:v>
                </c:pt>
              </c:numCache>
            </c:numRef>
          </c:val>
          <c:smooth val="0"/>
        </c:ser>
        <c:dLbls>
          <c:showLegendKey val="0"/>
          <c:showVal val="0"/>
          <c:showCatName val="0"/>
          <c:showSerName val="0"/>
          <c:showPercent val="0"/>
          <c:showBubbleSize val="0"/>
        </c:dLbls>
        <c:marker val="1"/>
        <c:smooth val="0"/>
        <c:axId val="236851024"/>
        <c:axId val="236851416"/>
      </c:lineChart>
      <c:catAx>
        <c:axId val="236851024"/>
        <c:scaling>
          <c:orientation val="minMax"/>
        </c:scaling>
        <c:delete val="0"/>
        <c:axPos val="b"/>
        <c:majorTickMark val="none"/>
        <c:minorTickMark val="none"/>
        <c:tickLblPos val="none"/>
        <c:spPr>
          <a:ln w="12700"/>
          <a:effectLst/>
        </c:spPr>
        <c:crossAx val="236851416"/>
        <c:crosses val="autoZero"/>
        <c:auto val="1"/>
        <c:lblAlgn val="ctr"/>
        <c:lblOffset val="100"/>
        <c:noMultiLvlLbl val="0"/>
      </c:catAx>
      <c:valAx>
        <c:axId val="236851416"/>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236851024"/>
        <c:crosses val="autoZero"/>
        <c:crossBetween val="between"/>
      </c:valAx>
      <c:spPr>
        <a:noFill/>
        <a:ln w="25400">
          <a:noFill/>
        </a:ln>
      </c:spPr>
    </c:plotArea>
    <c:legend>
      <c:legendPos val="l"/>
      <c:legendEntry>
        <c:idx val="7"/>
        <c:delete val="1"/>
      </c:legendEntry>
      <c:layout>
        <c:manualLayout>
          <c:xMode val="edge"/>
          <c:yMode val="edge"/>
          <c:x val="0"/>
          <c:y val="4.3109660859278996E-2"/>
          <c:w val="0.11520537604902496"/>
          <c:h val="0.90298920637472768"/>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0166415367952"/>
          <c:y val="2.9125911969615392E-2"/>
          <c:w val="0.80139833584631659"/>
          <c:h val="0.9523528212657848"/>
        </c:manualLayout>
      </c:layout>
      <c:barChart>
        <c:barDir val="col"/>
        <c:grouping val="stacked"/>
        <c:varyColors val="0"/>
        <c:ser>
          <c:idx val="0"/>
          <c:order val="0"/>
          <c:tx>
            <c:strRef>
              <c:f>Berechnungen!$A$101</c:f>
              <c:strCache>
                <c:ptCount val="1"/>
                <c:pt idx="0">
                  <c:v>Erstellung</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solidFill>
                      <a:sysClr val="windowText" lastClr="000000"/>
                    </a:solidFill>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Berechnungen!$D$101:$G$101</c:f>
              <c:numCache>
                <c:formatCode>#,##0</c:formatCode>
                <c:ptCount val="4"/>
                <c:pt idx="0">
                  <c:v>0</c:v>
                </c:pt>
                <c:pt idx="1">
                  <c:v>0</c:v>
                </c:pt>
                <c:pt idx="2">
                  <c:v>0</c:v>
                </c:pt>
                <c:pt idx="3">
                  <c:v>0</c:v>
                </c:pt>
              </c:numCache>
            </c:numRef>
          </c:val>
        </c:ser>
        <c:ser>
          <c:idx val="1"/>
          <c:order val="1"/>
          <c:tx>
            <c:strRef>
              <c:f>Berechnungen!$A$102</c:f>
              <c:strCache>
                <c:ptCount val="1"/>
                <c:pt idx="0">
                  <c:v>Betrieb</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Berechnungen!$D$102:$G$102</c:f>
              <c:numCache>
                <c:formatCode>#,##0</c:formatCode>
                <c:ptCount val="4"/>
                <c:pt idx="0">
                  <c:v>0</c:v>
                </c:pt>
                <c:pt idx="1">
                  <c:v>0</c:v>
                </c:pt>
                <c:pt idx="2">
                  <c:v>0</c:v>
                </c:pt>
                <c:pt idx="3">
                  <c:v>0</c:v>
                </c:pt>
              </c:numCache>
            </c:numRef>
          </c:val>
        </c:ser>
        <c:dLbls>
          <c:showLegendKey val="0"/>
          <c:showVal val="0"/>
          <c:showCatName val="0"/>
          <c:showSerName val="0"/>
          <c:showPercent val="0"/>
          <c:showBubbleSize val="0"/>
        </c:dLbls>
        <c:gapWidth val="150"/>
        <c:overlap val="100"/>
        <c:axId val="236852200"/>
        <c:axId val="236852592"/>
      </c:barChart>
      <c:catAx>
        <c:axId val="236852200"/>
        <c:scaling>
          <c:orientation val="minMax"/>
        </c:scaling>
        <c:delete val="0"/>
        <c:axPos val="b"/>
        <c:majorTickMark val="none"/>
        <c:minorTickMark val="none"/>
        <c:tickLblPos val="none"/>
        <c:spPr>
          <a:ln w="12700"/>
        </c:spPr>
        <c:crossAx val="236852592"/>
        <c:crosses val="autoZero"/>
        <c:auto val="1"/>
        <c:lblAlgn val="ctr"/>
        <c:lblOffset val="100"/>
        <c:noMultiLvlLbl val="0"/>
      </c:catAx>
      <c:valAx>
        <c:axId val="236852592"/>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236852200"/>
        <c:crosses val="autoZero"/>
        <c:crossBetween val="between"/>
      </c:valAx>
      <c:spPr>
        <a:noFill/>
        <a:ln w="25400">
          <a:noFill/>
        </a:ln>
      </c:spPr>
    </c:plotArea>
    <c:legend>
      <c:legendPos val="l"/>
      <c:layout>
        <c:manualLayout>
          <c:xMode val="edge"/>
          <c:yMode val="edge"/>
          <c:x val="0"/>
          <c:y val="0.24383650657986491"/>
          <c:w val="9.3997128564061644E-2"/>
          <c:h val="0.32743345880841107"/>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clustered"/>
        <c:varyColors val="0"/>
        <c:ser>
          <c:idx val="0"/>
          <c:order val="0"/>
          <c:tx>
            <c:strRef>
              <c:f>Berechnungen!$A$22</c:f>
              <c:strCache>
                <c:ptCount val="1"/>
                <c:pt idx="0">
                  <c:v>Wärme</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0;#,##0.0;&quot;&quot;" sourceLinked="0"/>
            <c:spPr>
              <a:noFill/>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Berechnungen!$D$22:$G$22</c:f>
              <c:numCache>
                <c:formatCode>#,##0.0</c:formatCode>
                <c:ptCount val="4"/>
                <c:pt idx="0">
                  <c:v>0</c:v>
                </c:pt>
                <c:pt idx="1">
                  <c:v>0</c:v>
                </c:pt>
                <c:pt idx="2">
                  <c:v>0</c:v>
                </c:pt>
                <c:pt idx="3">
                  <c:v>0</c:v>
                </c:pt>
              </c:numCache>
            </c:numRef>
          </c:val>
        </c:ser>
        <c:ser>
          <c:idx val="1"/>
          <c:order val="1"/>
          <c:tx>
            <c:strRef>
              <c:f>Berechnungen!$A$23</c:f>
              <c:strCache>
                <c:ptCount val="1"/>
                <c:pt idx="0">
                  <c:v>Kälte</c:v>
                </c:pt>
              </c:strCache>
            </c:strRef>
          </c:tx>
          <c:spPr>
            <a:solidFill>
              <a:schemeClr val="accent5">
                <a:lumMod val="60000"/>
                <a:lumOff val="40000"/>
              </a:schemeClr>
            </a:solidFill>
            <a:effectLst>
              <a:outerShdw blurRad="50800" dist="38100" dir="2700000" algn="tl" rotWithShape="0">
                <a:prstClr val="black">
                  <a:alpha val="40000"/>
                </a:prstClr>
              </a:outerShdw>
            </a:effectLst>
          </c:spPr>
          <c:invertIfNegative val="0"/>
          <c:dLbls>
            <c:numFmt formatCode="#,##0.0;#,##0.0;&quot;&quot;" sourceLinked="0"/>
            <c:spPr>
              <a:noFill/>
              <a:ln>
                <a:noFill/>
              </a:ln>
              <a:effectLst/>
            </c:spPr>
            <c:txPr>
              <a:bodyPr/>
              <a:lstStyle/>
              <a:p>
                <a:pPr>
                  <a:defRPr>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Berechnungen!$D$23:$G$23</c:f>
              <c:numCache>
                <c:formatCode>#,##0.0</c:formatCode>
                <c:ptCount val="4"/>
                <c:pt idx="0">
                  <c:v>0</c:v>
                </c:pt>
                <c:pt idx="1">
                  <c:v>0</c:v>
                </c:pt>
                <c:pt idx="2">
                  <c:v>0</c:v>
                </c:pt>
                <c:pt idx="3">
                  <c:v>0</c:v>
                </c:pt>
              </c:numCache>
            </c:numRef>
          </c:val>
        </c:ser>
        <c:ser>
          <c:idx val="2"/>
          <c:order val="2"/>
          <c:tx>
            <c:strRef>
              <c:f>Berechnungen!$A$24</c:f>
              <c:strCache>
                <c:ptCount val="1"/>
                <c:pt idx="0">
                  <c:v>Elektrizität</c:v>
                </c:pt>
              </c:strCache>
            </c:strRef>
          </c:tx>
          <c:spPr>
            <a:effectLst>
              <a:outerShdw blurRad="50800" dist="38100" dir="2700000" algn="tl" rotWithShape="0">
                <a:prstClr val="black">
                  <a:alpha val="40000"/>
                </a:prstClr>
              </a:outerShdw>
            </a:effectLst>
          </c:spPr>
          <c:invertIfNegative val="0"/>
          <c:dLbls>
            <c:numFmt formatCode="#,##0.0;#,##0.0;&quot;&quot;" sourceLinked="0"/>
            <c:spPr>
              <a:noFill/>
              <a:ln>
                <a:noFill/>
              </a:ln>
              <a:effectLst/>
            </c:spPr>
            <c:txPr>
              <a:bodyPr/>
              <a:lstStyle/>
              <a:p>
                <a:pPr>
                  <a:defRPr>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Berechnungen!$D$24:$G$24</c:f>
              <c:numCache>
                <c:formatCode>#,##0.0</c:formatCode>
                <c:ptCount val="4"/>
                <c:pt idx="0">
                  <c:v>0</c:v>
                </c:pt>
                <c:pt idx="1">
                  <c:v>0</c:v>
                </c:pt>
                <c:pt idx="2">
                  <c:v>0</c:v>
                </c:pt>
                <c:pt idx="3">
                  <c:v>0</c:v>
                </c:pt>
              </c:numCache>
            </c:numRef>
          </c:val>
        </c:ser>
        <c:dLbls>
          <c:showLegendKey val="0"/>
          <c:showVal val="0"/>
          <c:showCatName val="0"/>
          <c:showSerName val="0"/>
          <c:showPercent val="0"/>
          <c:showBubbleSize val="0"/>
        </c:dLbls>
        <c:gapWidth val="150"/>
        <c:axId val="244712216"/>
        <c:axId val="244712608"/>
      </c:barChart>
      <c:catAx>
        <c:axId val="244712216"/>
        <c:scaling>
          <c:orientation val="minMax"/>
        </c:scaling>
        <c:delete val="0"/>
        <c:axPos val="b"/>
        <c:majorTickMark val="none"/>
        <c:minorTickMark val="none"/>
        <c:tickLblPos val="none"/>
        <c:spPr>
          <a:ln w="12700"/>
          <a:effectLst/>
        </c:spPr>
        <c:crossAx val="244712608"/>
        <c:crosses val="autoZero"/>
        <c:auto val="1"/>
        <c:lblAlgn val="ctr"/>
        <c:lblOffset val="100"/>
        <c:noMultiLvlLbl val="0"/>
      </c:catAx>
      <c:valAx>
        <c:axId val="244712608"/>
        <c:scaling>
          <c:orientation val="minMax"/>
        </c:scaling>
        <c:delete val="0"/>
        <c:axPos val="l"/>
        <c:majorGridlines>
          <c:spPr>
            <a:ln w="6350"/>
          </c:spPr>
        </c:majorGridlines>
        <c:numFmt formatCode="#,##0.0" sourceLinked="1"/>
        <c:majorTickMark val="out"/>
        <c:minorTickMark val="none"/>
        <c:tickLblPos val="nextTo"/>
        <c:txPr>
          <a:bodyPr/>
          <a:lstStyle/>
          <a:p>
            <a:pPr>
              <a:defRPr sz="1100">
                <a:latin typeface="Arial" pitchFamily="34" charset="0"/>
                <a:cs typeface="Arial" pitchFamily="34" charset="0"/>
              </a:defRPr>
            </a:pPr>
            <a:endParaRPr lang="de-DE"/>
          </a:p>
        </c:txPr>
        <c:crossAx val="244712216"/>
        <c:crosses val="autoZero"/>
        <c:crossBetween val="between"/>
      </c:valAx>
      <c:spPr>
        <a:noFill/>
        <a:ln w="25400">
          <a:noFill/>
        </a:ln>
      </c:spPr>
    </c:plotArea>
    <c:legend>
      <c:legendPos val="l"/>
      <c:layout>
        <c:manualLayout>
          <c:xMode val="edge"/>
          <c:yMode val="edge"/>
          <c:x val="5.7065361287794462E-3"/>
          <c:y val="0.21873203208464972"/>
          <c:w val="9.6413337322395459E-2"/>
          <c:h val="0.40476515435570554"/>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trlProps/ctrlProp1.xml><?xml version="1.0" encoding="utf-8"?>
<formControlPr xmlns="http://schemas.microsoft.com/office/spreadsheetml/2009/9/main" objectType="CheckBox" checked="Checked" fmlaLink="$T$22"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wmf"/></Relationships>
</file>

<file path=xl/drawings/_rels/vmlDrawing12.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wmf"/></Relationships>
</file>

<file path=xl/drawings/_rels/vmlDrawing14.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wmf"/></Relationships>
</file>

<file path=xl/drawings/_rels/vmlDrawing16.v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1.w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oneCellAnchor>
    <xdr:from>
      <xdr:col>7</xdr:col>
      <xdr:colOff>447675</xdr:colOff>
      <xdr:row>0</xdr:row>
      <xdr:rowOff>0</xdr:rowOff>
    </xdr:from>
    <xdr:ext cx="1476375" cy="1002839"/>
    <xdr:sp macro="" textlink="">
      <xdr:nvSpPr>
        <xdr:cNvPr id="2" name="Textfeld 1"/>
        <xdr:cNvSpPr txBox="1"/>
      </xdr:nvSpPr>
      <xdr:spPr>
        <a:xfrm>
          <a:off x="4781550"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2</xdr:col>
      <xdr:colOff>418893</xdr:colOff>
      <xdr:row>0</xdr:row>
      <xdr:rowOff>285714</xdr:rowOff>
    </xdr:to>
    <xdr:pic>
      <xdr:nvPicPr>
        <xdr:cNvPr id="3" name="Grafik 2" descr="AHB Logo.png"/>
        <xdr:cNvPicPr>
          <a:picLocks noChangeAspect="1"/>
        </xdr:cNvPicPr>
      </xdr:nvPicPr>
      <xdr:blipFill>
        <a:blip xmlns:r="http://schemas.openxmlformats.org/officeDocument/2006/relationships" r:embed="rId1" cstate="print"/>
        <a:stretch>
          <a:fillRect/>
        </a:stretch>
      </xdr:blipFill>
      <xdr:spPr>
        <a:xfrm>
          <a:off x="0" y="0"/>
          <a:ext cx="1657143" cy="285714"/>
        </a:xfrm>
        <a:prstGeom prst="rect">
          <a:avLst/>
        </a:prstGeom>
      </xdr:spPr>
    </xdr:pic>
    <xdr:clientData/>
  </xdr:twoCellAnchor>
  <xdr:twoCellAnchor>
    <xdr:from>
      <xdr:col>2</xdr:col>
      <xdr:colOff>26194</xdr:colOff>
      <xdr:row>14</xdr:row>
      <xdr:rowOff>52388</xdr:rowOff>
    </xdr:from>
    <xdr:to>
      <xdr:col>2</xdr:col>
      <xdr:colOff>76200</xdr:colOff>
      <xdr:row>14</xdr:row>
      <xdr:rowOff>102394</xdr:rowOff>
    </xdr:to>
    <xdr:sp macro="" textlink="">
      <xdr:nvSpPr>
        <xdr:cNvPr id="23" name="Ellipse 22"/>
        <xdr:cNvSpPr/>
      </xdr:nvSpPr>
      <xdr:spPr>
        <a:xfrm>
          <a:off x="1264444" y="83772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15</xdr:row>
      <xdr:rowOff>58738</xdr:rowOff>
    </xdr:from>
    <xdr:to>
      <xdr:col>2</xdr:col>
      <xdr:colOff>76200</xdr:colOff>
      <xdr:row>15</xdr:row>
      <xdr:rowOff>108744</xdr:rowOff>
    </xdr:to>
    <xdr:sp macro="" textlink="">
      <xdr:nvSpPr>
        <xdr:cNvPr id="25" name="Ellipse 24"/>
        <xdr:cNvSpPr/>
      </xdr:nvSpPr>
      <xdr:spPr>
        <a:xfrm>
          <a:off x="1264444" y="8764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16</xdr:row>
      <xdr:rowOff>58738</xdr:rowOff>
    </xdr:from>
    <xdr:to>
      <xdr:col>2</xdr:col>
      <xdr:colOff>76200</xdr:colOff>
      <xdr:row>16</xdr:row>
      <xdr:rowOff>108744</xdr:rowOff>
    </xdr:to>
    <xdr:sp macro="" textlink="">
      <xdr:nvSpPr>
        <xdr:cNvPr id="26" name="Ellipse 25"/>
        <xdr:cNvSpPr/>
      </xdr:nvSpPr>
      <xdr:spPr>
        <a:xfrm>
          <a:off x="1264444" y="8764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17</xdr:row>
      <xdr:rowOff>58738</xdr:rowOff>
    </xdr:from>
    <xdr:to>
      <xdr:col>2</xdr:col>
      <xdr:colOff>76200</xdr:colOff>
      <xdr:row>17</xdr:row>
      <xdr:rowOff>108744</xdr:rowOff>
    </xdr:to>
    <xdr:sp macro="" textlink="">
      <xdr:nvSpPr>
        <xdr:cNvPr id="27" name="Ellipse 26"/>
        <xdr:cNvSpPr/>
      </xdr:nvSpPr>
      <xdr:spPr>
        <a:xfrm>
          <a:off x="1264444" y="914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19</xdr:row>
      <xdr:rowOff>58738</xdr:rowOff>
    </xdr:from>
    <xdr:to>
      <xdr:col>2</xdr:col>
      <xdr:colOff>76200</xdr:colOff>
      <xdr:row>19</xdr:row>
      <xdr:rowOff>108744</xdr:rowOff>
    </xdr:to>
    <xdr:sp macro="" textlink="">
      <xdr:nvSpPr>
        <xdr:cNvPr id="28" name="Ellipse 27"/>
        <xdr:cNvSpPr/>
      </xdr:nvSpPr>
      <xdr:spPr>
        <a:xfrm>
          <a:off x="1264444" y="914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18</xdr:row>
      <xdr:rowOff>58738</xdr:rowOff>
    </xdr:from>
    <xdr:to>
      <xdr:col>2</xdr:col>
      <xdr:colOff>76200</xdr:colOff>
      <xdr:row>18</xdr:row>
      <xdr:rowOff>108744</xdr:rowOff>
    </xdr:to>
    <xdr:sp macro="" textlink="">
      <xdr:nvSpPr>
        <xdr:cNvPr id="29" name="Ellipse 28"/>
        <xdr:cNvSpPr/>
      </xdr:nvSpPr>
      <xdr:spPr>
        <a:xfrm>
          <a:off x="1264444" y="9698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24</xdr:row>
      <xdr:rowOff>52388</xdr:rowOff>
    </xdr:from>
    <xdr:to>
      <xdr:col>7</xdr:col>
      <xdr:colOff>76200</xdr:colOff>
      <xdr:row>24</xdr:row>
      <xdr:rowOff>102394</xdr:rowOff>
    </xdr:to>
    <xdr:sp macro="" textlink="">
      <xdr:nvSpPr>
        <xdr:cNvPr id="86" name="Ellipse 85"/>
        <xdr:cNvSpPr/>
      </xdr:nvSpPr>
      <xdr:spPr>
        <a:xfrm>
          <a:off x="1264444" y="78533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25</xdr:row>
      <xdr:rowOff>52388</xdr:rowOff>
    </xdr:from>
    <xdr:to>
      <xdr:col>7</xdr:col>
      <xdr:colOff>76200</xdr:colOff>
      <xdr:row>25</xdr:row>
      <xdr:rowOff>102394</xdr:rowOff>
    </xdr:to>
    <xdr:sp macro="" textlink="">
      <xdr:nvSpPr>
        <xdr:cNvPr id="87" name="Ellipse 86"/>
        <xdr:cNvSpPr/>
      </xdr:nvSpPr>
      <xdr:spPr>
        <a:xfrm>
          <a:off x="4360069" y="1041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29</xdr:row>
      <xdr:rowOff>52388</xdr:rowOff>
    </xdr:from>
    <xdr:to>
      <xdr:col>7</xdr:col>
      <xdr:colOff>76200</xdr:colOff>
      <xdr:row>29</xdr:row>
      <xdr:rowOff>102394</xdr:rowOff>
    </xdr:to>
    <xdr:sp macro="" textlink="">
      <xdr:nvSpPr>
        <xdr:cNvPr id="88" name="Ellipse 87"/>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30</xdr:row>
      <xdr:rowOff>52388</xdr:rowOff>
    </xdr:from>
    <xdr:to>
      <xdr:col>7</xdr:col>
      <xdr:colOff>76200</xdr:colOff>
      <xdr:row>30</xdr:row>
      <xdr:rowOff>102394</xdr:rowOff>
    </xdr:to>
    <xdr:sp macro="" textlink="">
      <xdr:nvSpPr>
        <xdr:cNvPr id="90" name="Ellipse 89"/>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34</xdr:row>
      <xdr:rowOff>52388</xdr:rowOff>
    </xdr:from>
    <xdr:to>
      <xdr:col>7</xdr:col>
      <xdr:colOff>76200</xdr:colOff>
      <xdr:row>34</xdr:row>
      <xdr:rowOff>102394</xdr:rowOff>
    </xdr:to>
    <xdr:sp macro="" textlink="">
      <xdr:nvSpPr>
        <xdr:cNvPr id="91" name="Ellipse 90"/>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36</xdr:row>
      <xdr:rowOff>52388</xdr:rowOff>
    </xdr:from>
    <xdr:to>
      <xdr:col>7</xdr:col>
      <xdr:colOff>76200</xdr:colOff>
      <xdr:row>36</xdr:row>
      <xdr:rowOff>102394</xdr:rowOff>
    </xdr:to>
    <xdr:sp macro="" textlink="">
      <xdr:nvSpPr>
        <xdr:cNvPr id="92" name="Ellipse 91"/>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38</xdr:row>
      <xdr:rowOff>52388</xdr:rowOff>
    </xdr:from>
    <xdr:to>
      <xdr:col>7</xdr:col>
      <xdr:colOff>76200</xdr:colOff>
      <xdr:row>38</xdr:row>
      <xdr:rowOff>102394</xdr:rowOff>
    </xdr:to>
    <xdr:sp macro="" textlink="">
      <xdr:nvSpPr>
        <xdr:cNvPr id="93" name="Ellipse 92"/>
        <xdr:cNvSpPr/>
      </xdr:nvSpPr>
      <xdr:spPr>
        <a:xfrm>
          <a:off x="4360069" y="10968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39</xdr:row>
      <xdr:rowOff>52388</xdr:rowOff>
    </xdr:from>
    <xdr:to>
      <xdr:col>7</xdr:col>
      <xdr:colOff>76200</xdr:colOff>
      <xdr:row>39</xdr:row>
      <xdr:rowOff>102394</xdr:rowOff>
    </xdr:to>
    <xdr:sp macro="" textlink="">
      <xdr:nvSpPr>
        <xdr:cNvPr id="98" name="Ellipse 97"/>
        <xdr:cNvSpPr/>
      </xdr:nvSpPr>
      <xdr:spPr>
        <a:xfrm>
          <a:off x="4360069" y="116728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41</xdr:row>
      <xdr:rowOff>52388</xdr:rowOff>
    </xdr:from>
    <xdr:to>
      <xdr:col>7</xdr:col>
      <xdr:colOff>76200</xdr:colOff>
      <xdr:row>41</xdr:row>
      <xdr:rowOff>102394</xdr:rowOff>
    </xdr:to>
    <xdr:sp macro="" textlink="">
      <xdr:nvSpPr>
        <xdr:cNvPr id="99" name="Ellipse 98"/>
        <xdr:cNvSpPr/>
      </xdr:nvSpPr>
      <xdr:spPr>
        <a:xfrm>
          <a:off x="4360069" y="11863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42</xdr:row>
      <xdr:rowOff>52388</xdr:rowOff>
    </xdr:from>
    <xdr:to>
      <xdr:col>7</xdr:col>
      <xdr:colOff>76200</xdr:colOff>
      <xdr:row>42</xdr:row>
      <xdr:rowOff>102394</xdr:rowOff>
    </xdr:to>
    <xdr:sp macro="" textlink="">
      <xdr:nvSpPr>
        <xdr:cNvPr id="100" name="Ellipse 99"/>
        <xdr:cNvSpPr/>
      </xdr:nvSpPr>
      <xdr:spPr>
        <a:xfrm>
          <a:off x="4360069" y="12215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31</xdr:row>
      <xdr:rowOff>52388</xdr:rowOff>
    </xdr:from>
    <xdr:to>
      <xdr:col>7</xdr:col>
      <xdr:colOff>76200</xdr:colOff>
      <xdr:row>31</xdr:row>
      <xdr:rowOff>102394</xdr:rowOff>
    </xdr:to>
    <xdr:sp macro="" textlink="">
      <xdr:nvSpPr>
        <xdr:cNvPr id="102" name="Ellipse 101"/>
        <xdr:cNvSpPr/>
      </xdr:nvSpPr>
      <xdr:spPr>
        <a:xfrm>
          <a:off x="4360069" y="127301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48</xdr:row>
      <xdr:rowOff>52388</xdr:rowOff>
    </xdr:from>
    <xdr:to>
      <xdr:col>7</xdr:col>
      <xdr:colOff>76200</xdr:colOff>
      <xdr:row>48</xdr:row>
      <xdr:rowOff>102394</xdr:rowOff>
    </xdr:to>
    <xdr:sp macro="" textlink="">
      <xdr:nvSpPr>
        <xdr:cNvPr id="39" name="Ellipse 38"/>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50</xdr:row>
      <xdr:rowOff>52388</xdr:rowOff>
    </xdr:from>
    <xdr:to>
      <xdr:col>7</xdr:col>
      <xdr:colOff>76200</xdr:colOff>
      <xdr:row>50</xdr:row>
      <xdr:rowOff>102394</xdr:rowOff>
    </xdr:to>
    <xdr:sp macro="" textlink="">
      <xdr:nvSpPr>
        <xdr:cNvPr id="40" name="Ellipse 39"/>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51</xdr:row>
      <xdr:rowOff>55911</xdr:rowOff>
    </xdr:from>
    <xdr:to>
      <xdr:col>7</xdr:col>
      <xdr:colOff>76200</xdr:colOff>
      <xdr:row>51</xdr:row>
      <xdr:rowOff>105917</xdr:rowOff>
    </xdr:to>
    <xdr:sp macro="" textlink="">
      <xdr:nvSpPr>
        <xdr:cNvPr id="42" name="Ellipse 41"/>
        <xdr:cNvSpPr/>
      </xdr:nvSpPr>
      <xdr:spPr>
        <a:xfrm>
          <a:off x="4364636" y="16085312"/>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52</xdr:row>
      <xdr:rowOff>52388</xdr:rowOff>
    </xdr:from>
    <xdr:to>
      <xdr:col>7</xdr:col>
      <xdr:colOff>76200</xdr:colOff>
      <xdr:row>52</xdr:row>
      <xdr:rowOff>102394</xdr:rowOff>
    </xdr:to>
    <xdr:sp macro="" textlink="">
      <xdr:nvSpPr>
        <xdr:cNvPr id="43" name="Ellipse 42"/>
        <xdr:cNvSpPr/>
      </xdr:nvSpPr>
      <xdr:spPr>
        <a:xfrm>
          <a:off x="4360069" y="14482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26</xdr:row>
      <xdr:rowOff>52388</xdr:rowOff>
    </xdr:from>
    <xdr:to>
      <xdr:col>7</xdr:col>
      <xdr:colOff>76200</xdr:colOff>
      <xdr:row>26</xdr:row>
      <xdr:rowOff>102394</xdr:rowOff>
    </xdr:to>
    <xdr:sp macro="" textlink="">
      <xdr:nvSpPr>
        <xdr:cNvPr id="44" name="Ellipse 43"/>
        <xdr:cNvSpPr/>
      </xdr:nvSpPr>
      <xdr:spPr>
        <a:xfrm>
          <a:off x="4360069" y="105298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20</xdr:row>
      <xdr:rowOff>58738</xdr:rowOff>
    </xdr:from>
    <xdr:to>
      <xdr:col>2</xdr:col>
      <xdr:colOff>76200</xdr:colOff>
      <xdr:row>20</xdr:row>
      <xdr:rowOff>108744</xdr:rowOff>
    </xdr:to>
    <xdr:sp macro="" textlink="">
      <xdr:nvSpPr>
        <xdr:cNvPr id="45" name="Ellipse 44"/>
        <xdr:cNvSpPr/>
      </xdr:nvSpPr>
      <xdr:spPr>
        <a:xfrm>
          <a:off x="1264444" y="7878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43</xdr:row>
      <xdr:rowOff>52388</xdr:rowOff>
    </xdr:from>
    <xdr:to>
      <xdr:col>7</xdr:col>
      <xdr:colOff>76200</xdr:colOff>
      <xdr:row>43</xdr:row>
      <xdr:rowOff>102394</xdr:rowOff>
    </xdr:to>
    <xdr:sp macro="" textlink="">
      <xdr:nvSpPr>
        <xdr:cNvPr id="64" name="Ellipse 63"/>
        <xdr:cNvSpPr/>
      </xdr:nvSpPr>
      <xdr:spPr>
        <a:xfrm>
          <a:off x="4360069" y="142922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45</xdr:row>
      <xdr:rowOff>52388</xdr:rowOff>
    </xdr:from>
    <xdr:to>
      <xdr:col>7</xdr:col>
      <xdr:colOff>76200</xdr:colOff>
      <xdr:row>45</xdr:row>
      <xdr:rowOff>102394</xdr:rowOff>
    </xdr:to>
    <xdr:sp macro="" textlink="">
      <xdr:nvSpPr>
        <xdr:cNvPr id="65" name="Ellipse 64"/>
        <xdr:cNvSpPr/>
      </xdr:nvSpPr>
      <xdr:spPr>
        <a:xfrm>
          <a:off x="4360069" y="147970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28</xdr:row>
      <xdr:rowOff>52388</xdr:rowOff>
    </xdr:from>
    <xdr:to>
      <xdr:col>7</xdr:col>
      <xdr:colOff>76200</xdr:colOff>
      <xdr:row>28</xdr:row>
      <xdr:rowOff>102394</xdr:rowOff>
    </xdr:to>
    <xdr:sp macro="" textlink="">
      <xdr:nvSpPr>
        <xdr:cNvPr id="48" name="Ellipse 47"/>
        <xdr:cNvSpPr/>
      </xdr:nvSpPr>
      <xdr:spPr>
        <a:xfrm>
          <a:off x="4360069" y="11834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27</xdr:row>
      <xdr:rowOff>52388</xdr:rowOff>
    </xdr:from>
    <xdr:to>
      <xdr:col>7</xdr:col>
      <xdr:colOff>76200</xdr:colOff>
      <xdr:row>27</xdr:row>
      <xdr:rowOff>102394</xdr:rowOff>
    </xdr:to>
    <xdr:sp macro="" textlink="">
      <xdr:nvSpPr>
        <xdr:cNvPr id="49" name="Ellipse 48"/>
        <xdr:cNvSpPr/>
      </xdr:nvSpPr>
      <xdr:spPr>
        <a:xfrm>
          <a:off x="4360069" y="11834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37</xdr:row>
      <xdr:rowOff>52388</xdr:rowOff>
    </xdr:from>
    <xdr:to>
      <xdr:col>7</xdr:col>
      <xdr:colOff>76200</xdr:colOff>
      <xdr:row>37</xdr:row>
      <xdr:rowOff>102394</xdr:rowOff>
    </xdr:to>
    <xdr:sp macro="" textlink="">
      <xdr:nvSpPr>
        <xdr:cNvPr id="50" name="Ellipse 49"/>
        <xdr:cNvSpPr/>
      </xdr:nvSpPr>
      <xdr:spPr>
        <a:xfrm>
          <a:off x="4360069" y="139112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46</xdr:row>
      <xdr:rowOff>52388</xdr:rowOff>
    </xdr:from>
    <xdr:to>
      <xdr:col>7</xdr:col>
      <xdr:colOff>76200</xdr:colOff>
      <xdr:row>46</xdr:row>
      <xdr:rowOff>102394</xdr:rowOff>
    </xdr:to>
    <xdr:sp macro="" textlink="">
      <xdr:nvSpPr>
        <xdr:cNvPr id="51" name="Ellipse 50"/>
        <xdr:cNvSpPr/>
      </xdr:nvSpPr>
      <xdr:spPr>
        <a:xfrm>
          <a:off x="4360069" y="186261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360314</xdr:colOff>
      <xdr:row>11</xdr:row>
      <xdr:rowOff>28575</xdr:rowOff>
    </xdr:from>
    <xdr:to>
      <xdr:col>9</xdr:col>
      <xdr:colOff>417464</xdr:colOff>
      <xdr:row>11</xdr:row>
      <xdr:rowOff>2200275</xdr:rowOff>
    </xdr:to>
    <xdr:sp macro="" textlink="">
      <xdr:nvSpPr>
        <xdr:cNvPr id="137" name="Rechteck 136"/>
        <xdr:cNvSpPr/>
      </xdr:nvSpPr>
      <xdr:spPr>
        <a:xfrm>
          <a:off x="1598564" y="4800600"/>
          <a:ext cx="4391025" cy="21717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b" anchorCtr="0"/>
        <a:lstStyle/>
        <a:p>
          <a:pPr algn="r"/>
          <a:r>
            <a:rPr lang="de-CH" sz="1400" b="1">
              <a:solidFill>
                <a:schemeClr val="accent3">
                  <a:lumMod val="50000"/>
                </a:schemeClr>
              </a:solidFill>
            </a:rPr>
            <a:t>Areal / Grundstück</a:t>
          </a:r>
        </a:p>
      </xdr:txBody>
    </xdr:sp>
    <xdr:clientData/>
  </xdr:twoCellAnchor>
  <xdr:twoCellAnchor>
    <xdr:from>
      <xdr:col>3</xdr:col>
      <xdr:colOff>74564</xdr:colOff>
      <xdr:row>11</xdr:row>
      <xdr:rowOff>774517</xdr:rowOff>
    </xdr:from>
    <xdr:to>
      <xdr:col>5</xdr:col>
      <xdr:colOff>169814</xdr:colOff>
      <xdr:row>11</xdr:row>
      <xdr:rowOff>1420643</xdr:rowOff>
    </xdr:to>
    <xdr:sp macro="" textlink="">
      <xdr:nvSpPr>
        <xdr:cNvPr id="138" name="Abgerundetes Rechteck 137"/>
        <xdr:cNvSpPr/>
      </xdr:nvSpPr>
      <xdr:spPr>
        <a:xfrm>
          <a:off x="1931939" y="5546542"/>
          <a:ext cx="1333500" cy="646126"/>
        </a:xfrm>
        <a:prstGeom prst="roundRect">
          <a:avLst>
            <a:gd name="adj" fmla="val 26389"/>
          </a:avLst>
        </a:prstGeom>
        <a:effectLst>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de-CH" sz="1400" b="1"/>
            <a:t>Energie-umwandlung</a:t>
          </a:r>
        </a:p>
      </xdr:txBody>
    </xdr:sp>
    <xdr:clientData/>
  </xdr:twoCellAnchor>
  <xdr:twoCellAnchor>
    <xdr:from>
      <xdr:col>4</xdr:col>
      <xdr:colOff>26939</xdr:colOff>
      <xdr:row>11</xdr:row>
      <xdr:rowOff>379662</xdr:rowOff>
    </xdr:from>
    <xdr:to>
      <xdr:col>4</xdr:col>
      <xdr:colOff>226964</xdr:colOff>
      <xdr:row>11</xdr:row>
      <xdr:rowOff>702725</xdr:rowOff>
    </xdr:to>
    <xdr:sp macro="" textlink="">
      <xdr:nvSpPr>
        <xdr:cNvPr id="139" name="Pfeil nach unten 138"/>
        <xdr:cNvSpPr/>
      </xdr:nvSpPr>
      <xdr:spPr>
        <a:xfrm>
          <a:off x="2503439" y="5151687"/>
          <a:ext cx="200025" cy="323063"/>
        </a:xfrm>
        <a:prstGeom prst="downArrow">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3</xdr:col>
      <xdr:colOff>198389</xdr:colOff>
      <xdr:row>11</xdr:row>
      <xdr:rowOff>101469</xdr:rowOff>
    </xdr:from>
    <xdr:to>
      <xdr:col>5</xdr:col>
      <xdr:colOff>83332</xdr:colOff>
      <xdr:row>11</xdr:row>
      <xdr:rowOff>394945</xdr:rowOff>
    </xdr:to>
    <xdr:sp macro="" textlink="">
      <xdr:nvSpPr>
        <xdr:cNvPr id="140" name="Textfeld 139"/>
        <xdr:cNvSpPr txBox="1"/>
      </xdr:nvSpPr>
      <xdr:spPr>
        <a:xfrm>
          <a:off x="2055764" y="4873494"/>
          <a:ext cx="1123193" cy="2934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Solarenergie</a:t>
          </a:r>
        </a:p>
      </xdr:txBody>
    </xdr:sp>
    <xdr:clientData/>
  </xdr:twoCellAnchor>
  <xdr:twoCellAnchor>
    <xdr:from>
      <xdr:col>3</xdr:col>
      <xdr:colOff>74564</xdr:colOff>
      <xdr:row>11</xdr:row>
      <xdr:rowOff>1806523</xdr:rowOff>
    </xdr:from>
    <xdr:to>
      <xdr:col>5</xdr:col>
      <xdr:colOff>175463</xdr:colOff>
      <xdr:row>11</xdr:row>
      <xdr:rowOff>2099999</xdr:rowOff>
    </xdr:to>
    <xdr:sp macro="" textlink="">
      <xdr:nvSpPr>
        <xdr:cNvPr id="141" name="Textfeld 140"/>
        <xdr:cNvSpPr txBox="1"/>
      </xdr:nvSpPr>
      <xdr:spPr>
        <a:xfrm>
          <a:off x="1931939" y="6578548"/>
          <a:ext cx="1339149" cy="2934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Umweltenergie</a:t>
          </a:r>
        </a:p>
      </xdr:txBody>
    </xdr:sp>
    <xdr:clientData/>
  </xdr:twoCellAnchor>
  <xdr:twoCellAnchor>
    <xdr:from>
      <xdr:col>4</xdr:col>
      <xdr:colOff>198389</xdr:colOff>
      <xdr:row>11</xdr:row>
      <xdr:rowOff>1492434</xdr:rowOff>
    </xdr:from>
    <xdr:to>
      <xdr:col>4</xdr:col>
      <xdr:colOff>398414</xdr:colOff>
      <xdr:row>11</xdr:row>
      <xdr:rowOff>1815497</xdr:rowOff>
    </xdr:to>
    <xdr:sp macro="" textlink="">
      <xdr:nvSpPr>
        <xdr:cNvPr id="142" name="Pfeil nach unten 141"/>
        <xdr:cNvSpPr/>
      </xdr:nvSpPr>
      <xdr:spPr>
        <a:xfrm>
          <a:off x="2674889" y="6264459"/>
          <a:ext cx="200025" cy="323063"/>
        </a:xfrm>
        <a:prstGeom prst="downArrow">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3</xdr:col>
      <xdr:colOff>446039</xdr:colOff>
      <xdr:row>11</xdr:row>
      <xdr:rowOff>1492434</xdr:rowOff>
    </xdr:from>
    <xdr:to>
      <xdr:col>4</xdr:col>
      <xdr:colOff>26939</xdr:colOff>
      <xdr:row>11</xdr:row>
      <xdr:rowOff>1815497</xdr:rowOff>
    </xdr:to>
    <xdr:sp macro="" textlink="">
      <xdr:nvSpPr>
        <xdr:cNvPr id="143" name="Pfeil nach unten 142"/>
        <xdr:cNvSpPr/>
      </xdr:nvSpPr>
      <xdr:spPr>
        <a:xfrm flipV="1">
          <a:off x="2303414" y="6264459"/>
          <a:ext cx="200025" cy="323063"/>
        </a:xfrm>
        <a:prstGeom prst="downArrow">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2</xdr:col>
      <xdr:colOff>0</xdr:colOff>
      <xdr:row>11</xdr:row>
      <xdr:rowOff>602829</xdr:rowOff>
    </xdr:from>
    <xdr:to>
      <xdr:col>2</xdr:col>
      <xdr:colOff>311496</xdr:colOff>
      <xdr:row>11</xdr:row>
      <xdr:rowOff>1569158</xdr:rowOff>
    </xdr:to>
    <xdr:sp macro="" textlink="">
      <xdr:nvSpPr>
        <xdr:cNvPr id="145" name="Textfeld 144"/>
        <xdr:cNvSpPr txBox="1"/>
      </xdr:nvSpPr>
      <xdr:spPr>
        <a:xfrm rot="16200000">
          <a:off x="910833" y="5702271"/>
          <a:ext cx="966329"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Endenergie</a:t>
          </a:r>
        </a:p>
      </xdr:txBody>
    </xdr:sp>
    <xdr:clientData/>
  </xdr:twoCellAnchor>
  <xdr:twoCellAnchor>
    <xdr:from>
      <xdr:col>5</xdr:col>
      <xdr:colOff>250778</xdr:colOff>
      <xdr:row>11</xdr:row>
      <xdr:rowOff>877718</xdr:rowOff>
    </xdr:from>
    <xdr:to>
      <xdr:col>5</xdr:col>
      <xdr:colOff>593678</xdr:colOff>
      <xdr:row>11</xdr:row>
      <xdr:rowOff>1066171</xdr:rowOff>
    </xdr:to>
    <xdr:sp macro="" textlink="">
      <xdr:nvSpPr>
        <xdr:cNvPr id="146" name="Pfeil nach unten 145"/>
        <xdr:cNvSpPr/>
      </xdr:nvSpPr>
      <xdr:spPr>
        <a:xfrm rot="16200000">
          <a:off x="3423626" y="5572520"/>
          <a:ext cx="188453" cy="342900"/>
        </a:xfrm>
        <a:prstGeom prst="downArrow">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5</xdr:col>
      <xdr:colOff>250779</xdr:colOff>
      <xdr:row>11</xdr:row>
      <xdr:rowOff>1128989</xdr:rowOff>
    </xdr:from>
    <xdr:to>
      <xdr:col>5</xdr:col>
      <xdr:colOff>593679</xdr:colOff>
      <xdr:row>11</xdr:row>
      <xdr:rowOff>1317442</xdr:rowOff>
    </xdr:to>
    <xdr:sp macro="" textlink="">
      <xdr:nvSpPr>
        <xdr:cNvPr id="147" name="Pfeil nach unten 146"/>
        <xdr:cNvSpPr/>
      </xdr:nvSpPr>
      <xdr:spPr>
        <a:xfrm rot="5400000" flipH="1">
          <a:off x="3423627" y="5823791"/>
          <a:ext cx="188453" cy="342900"/>
        </a:xfrm>
        <a:prstGeom prst="downArrow">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5</xdr:col>
      <xdr:colOff>571501</xdr:colOff>
      <xdr:row>11</xdr:row>
      <xdr:rowOff>588790</xdr:rowOff>
    </xdr:from>
    <xdr:to>
      <xdr:col>6</xdr:col>
      <xdr:colOff>263872</xdr:colOff>
      <xdr:row>11</xdr:row>
      <xdr:rowOff>1619095</xdr:rowOff>
    </xdr:to>
    <xdr:sp macro="" textlink="">
      <xdr:nvSpPr>
        <xdr:cNvPr id="148" name="Textfeld 147"/>
        <xdr:cNvSpPr txBox="1"/>
      </xdr:nvSpPr>
      <xdr:spPr>
        <a:xfrm rot="16200000">
          <a:off x="3307721" y="5720220"/>
          <a:ext cx="1030305"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Nutzenergie</a:t>
          </a:r>
        </a:p>
      </xdr:txBody>
    </xdr:sp>
    <xdr:clientData/>
  </xdr:twoCellAnchor>
  <xdr:twoCellAnchor>
    <xdr:from>
      <xdr:col>6</xdr:col>
      <xdr:colOff>269828</xdr:colOff>
      <xdr:row>11</xdr:row>
      <xdr:rowOff>877718</xdr:rowOff>
    </xdr:from>
    <xdr:to>
      <xdr:col>6</xdr:col>
      <xdr:colOff>612728</xdr:colOff>
      <xdr:row>11</xdr:row>
      <xdr:rowOff>1066171</xdr:rowOff>
    </xdr:to>
    <xdr:sp macro="" textlink="">
      <xdr:nvSpPr>
        <xdr:cNvPr id="149" name="Pfeil nach unten 148"/>
        <xdr:cNvSpPr/>
      </xdr:nvSpPr>
      <xdr:spPr>
        <a:xfrm rot="16200000">
          <a:off x="4061801" y="5572520"/>
          <a:ext cx="188453" cy="342900"/>
        </a:xfrm>
        <a:prstGeom prst="downArrow">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6</xdr:col>
      <xdr:colOff>269829</xdr:colOff>
      <xdr:row>11</xdr:row>
      <xdr:rowOff>1128990</xdr:rowOff>
    </xdr:from>
    <xdr:to>
      <xdr:col>6</xdr:col>
      <xdr:colOff>612729</xdr:colOff>
      <xdr:row>11</xdr:row>
      <xdr:rowOff>1317443</xdr:rowOff>
    </xdr:to>
    <xdr:sp macro="" textlink="">
      <xdr:nvSpPr>
        <xdr:cNvPr id="150" name="Pfeil nach unten 149"/>
        <xdr:cNvSpPr/>
      </xdr:nvSpPr>
      <xdr:spPr>
        <a:xfrm rot="5400000" flipH="1">
          <a:off x="4061802" y="5823792"/>
          <a:ext cx="188453" cy="342900"/>
        </a:xfrm>
        <a:prstGeom prst="downArrow">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7</xdr:col>
      <xdr:colOff>122189</xdr:colOff>
      <xdr:row>11</xdr:row>
      <xdr:rowOff>152399</xdr:rowOff>
    </xdr:from>
    <xdr:to>
      <xdr:col>9</xdr:col>
      <xdr:colOff>247650</xdr:colOff>
      <xdr:row>11</xdr:row>
      <xdr:rowOff>1492434</xdr:rowOff>
    </xdr:to>
    <xdr:sp macro="" textlink="">
      <xdr:nvSpPr>
        <xdr:cNvPr id="151" name="Ecken des Rechtecks auf der gleichen Seite schneiden 150"/>
        <xdr:cNvSpPr/>
      </xdr:nvSpPr>
      <xdr:spPr>
        <a:xfrm>
          <a:off x="4456064" y="4924424"/>
          <a:ext cx="1363711" cy="1340035"/>
        </a:xfrm>
        <a:prstGeom prst="snip2SameRect">
          <a:avLst>
            <a:gd name="adj1" fmla="val 50000"/>
            <a:gd name="adj2" fmla="val 1333"/>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lIns="0" tIns="0" rIns="0" bIns="0" rtlCol="0" anchor="ctr" anchorCtr="0"/>
        <a:lstStyle/>
        <a:p>
          <a:pPr algn="ctr"/>
          <a:r>
            <a:rPr lang="de-CH" sz="1400" b="1"/>
            <a:t>Gebäude</a:t>
          </a:r>
        </a:p>
      </xdr:txBody>
    </xdr:sp>
    <xdr:clientData/>
  </xdr:twoCellAnchor>
  <xdr:twoCellAnchor>
    <xdr:from>
      <xdr:col>2</xdr:col>
      <xdr:colOff>455563</xdr:colOff>
      <xdr:row>11</xdr:row>
      <xdr:rowOff>119417</xdr:rowOff>
    </xdr:from>
    <xdr:to>
      <xdr:col>6</xdr:col>
      <xdr:colOff>426988</xdr:colOff>
      <xdr:row>11</xdr:row>
      <xdr:rowOff>2093690</xdr:rowOff>
    </xdr:to>
    <xdr:sp macro="" textlink="">
      <xdr:nvSpPr>
        <xdr:cNvPr id="152" name="Abgerundetes Rechteck 151"/>
        <xdr:cNvSpPr/>
      </xdr:nvSpPr>
      <xdr:spPr>
        <a:xfrm>
          <a:off x="1693813" y="4891442"/>
          <a:ext cx="2447925" cy="1974273"/>
        </a:xfrm>
        <a:prstGeom prst="roundRect">
          <a:avLst>
            <a:gd name="adj" fmla="val 18707"/>
          </a:avLst>
        </a:prstGeom>
        <a:noFill/>
        <a:ln>
          <a:prstDash val="sysDash"/>
        </a:ln>
      </xdr:spPr>
      <xdr:style>
        <a:lnRef idx="2">
          <a:schemeClr val="dk1"/>
        </a:lnRef>
        <a:fillRef idx="1">
          <a:schemeClr val="lt1"/>
        </a:fillRef>
        <a:effectRef idx="0">
          <a:schemeClr val="dk1"/>
        </a:effectRef>
        <a:fontRef idx="minor">
          <a:schemeClr val="dk1"/>
        </a:fontRef>
      </xdr:style>
      <xdr:txBody>
        <a:bodyPr rtlCol="0" anchor="ctr"/>
        <a:lstStyle/>
        <a:p>
          <a:pPr algn="ctr"/>
          <a:endParaRPr lang="de-CH" sz="1100"/>
        </a:p>
      </xdr:txBody>
    </xdr:sp>
    <xdr:clientData/>
  </xdr:twoCellAnchor>
  <xdr:twoCellAnchor>
    <xdr:from>
      <xdr:col>7</xdr:col>
      <xdr:colOff>55514</xdr:colOff>
      <xdr:row>11</xdr:row>
      <xdr:rowOff>1609095</xdr:rowOff>
    </xdr:from>
    <xdr:to>
      <xdr:col>9</xdr:col>
      <xdr:colOff>369839</xdr:colOff>
      <xdr:row>11</xdr:row>
      <xdr:rowOff>1851392</xdr:rowOff>
    </xdr:to>
    <xdr:sp macro="" textlink="">
      <xdr:nvSpPr>
        <xdr:cNvPr id="153" name="Legende mit Linie 1 (ohne Rahmen) 152"/>
        <xdr:cNvSpPr/>
      </xdr:nvSpPr>
      <xdr:spPr>
        <a:xfrm>
          <a:off x="4389389" y="6381120"/>
          <a:ext cx="1552575" cy="242297"/>
        </a:xfrm>
        <a:prstGeom prst="callout1">
          <a:avLst>
            <a:gd name="adj1" fmla="val 33565"/>
            <a:gd name="adj2" fmla="val -2198"/>
            <a:gd name="adj3" fmla="val 8797"/>
            <a:gd name="adj4" fmla="val -16248"/>
          </a:avLst>
        </a:prstGeom>
        <a:noFill/>
        <a:ln w="12700"/>
      </xdr:spPr>
      <xdr:style>
        <a:lnRef idx="2">
          <a:schemeClr val="dk1"/>
        </a:lnRef>
        <a:fillRef idx="1">
          <a:schemeClr val="lt1"/>
        </a:fillRef>
        <a:effectRef idx="0">
          <a:schemeClr val="dk1"/>
        </a:effectRef>
        <a:fontRef idx="minor">
          <a:schemeClr val="dk1"/>
        </a:fontRef>
      </xdr:style>
      <xdr:txBody>
        <a:bodyPr lIns="0" tIns="0" rIns="0" bIns="0" rtlCol="0" anchor="ctr"/>
        <a:lstStyle/>
        <a:p>
          <a:pPr algn="l"/>
          <a:r>
            <a:rPr lang="de-CH" sz="1400" b="1"/>
            <a:t>Systemgrenze</a:t>
          </a:r>
        </a:p>
      </xdr:txBody>
    </xdr:sp>
    <xdr:clientData/>
  </xdr:twoCellAnchor>
  <xdr:twoCellAnchor>
    <xdr:from>
      <xdr:col>2</xdr:col>
      <xdr:colOff>288878</xdr:colOff>
      <xdr:row>11</xdr:row>
      <xdr:rowOff>877718</xdr:rowOff>
    </xdr:from>
    <xdr:to>
      <xdr:col>3</xdr:col>
      <xdr:colOff>12653</xdr:colOff>
      <xdr:row>11</xdr:row>
      <xdr:rowOff>1066171</xdr:rowOff>
    </xdr:to>
    <xdr:sp macro="" textlink="">
      <xdr:nvSpPr>
        <xdr:cNvPr id="154" name="Pfeil nach unten 153"/>
        <xdr:cNvSpPr/>
      </xdr:nvSpPr>
      <xdr:spPr>
        <a:xfrm rot="16200000">
          <a:off x="1604351" y="5572520"/>
          <a:ext cx="188453" cy="342900"/>
        </a:xfrm>
        <a:prstGeom prst="downArrow">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2</xdr:col>
      <xdr:colOff>288879</xdr:colOff>
      <xdr:row>11</xdr:row>
      <xdr:rowOff>1128989</xdr:rowOff>
    </xdr:from>
    <xdr:to>
      <xdr:col>3</xdr:col>
      <xdr:colOff>12654</xdr:colOff>
      <xdr:row>11</xdr:row>
      <xdr:rowOff>1317442</xdr:rowOff>
    </xdr:to>
    <xdr:sp macro="" textlink="">
      <xdr:nvSpPr>
        <xdr:cNvPr id="155" name="Pfeil nach unten 154"/>
        <xdr:cNvSpPr/>
      </xdr:nvSpPr>
      <xdr:spPr>
        <a:xfrm rot="5400000" flipH="1">
          <a:off x="1604352" y="5823791"/>
          <a:ext cx="188453" cy="342900"/>
        </a:xfrm>
        <a:prstGeom prst="downArrow">
          <a:avLst/>
        </a:prstGeom>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7</xdr:col>
      <xdr:colOff>26194</xdr:colOff>
      <xdr:row>33</xdr:row>
      <xdr:rowOff>52388</xdr:rowOff>
    </xdr:from>
    <xdr:to>
      <xdr:col>7</xdr:col>
      <xdr:colOff>76200</xdr:colOff>
      <xdr:row>33</xdr:row>
      <xdr:rowOff>102394</xdr:rowOff>
    </xdr:to>
    <xdr:sp macro="" textlink="">
      <xdr:nvSpPr>
        <xdr:cNvPr id="52" name="Ellipse 51"/>
        <xdr:cNvSpPr/>
      </xdr:nvSpPr>
      <xdr:spPr>
        <a:xfrm>
          <a:off x="4360069" y="12215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94</xdr:row>
      <xdr:rowOff>52388</xdr:rowOff>
    </xdr:from>
    <xdr:to>
      <xdr:col>4</xdr:col>
      <xdr:colOff>76200</xdr:colOff>
      <xdr:row>94</xdr:row>
      <xdr:rowOff>102394</xdr:rowOff>
    </xdr:to>
    <xdr:sp macro="" textlink="">
      <xdr:nvSpPr>
        <xdr:cNvPr id="54" name="Ellipse 53"/>
        <xdr:cNvSpPr/>
      </xdr:nvSpPr>
      <xdr:spPr>
        <a:xfrm>
          <a:off x="4360069" y="10234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96</xdr:row>
      <xdr:rowOff>52388</xdr:rowOff>
    </xdr:from>
    <xdr:to>
      <xdr:col>4</xdr:col>
      <xdr:colOff>76200</xdr:colOff>
      <xdr:row>96</xdr:row>
      <xdr:rowOff>102394</xdr:rowOff>
    </xdr:to>
    <xdr:sp macro="" textlink="">
      <xdr:nvSpPr>
        <xdr:cNvPr id="55" name="Ellipse 54"/>
        <xdr:cNvSpPr/>
      </xdr:nvSpPr>
      <xdr:spPr>
        <a:xfrm>
          <a:off x="2502694" y="24512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99</xdr:row>
      <xdr:rowOff>52388</xdr:rowOff>
    </xdr:from>
    <xdr:to>
      <xdr:col>4</xdr:col>
      <xdr:colOff>76200</xdr:colOff>
      <xdr:row>99</xdr:row>
      <xdr:rowOff>102394</xdr:rowOff>
    </xdr:to>
    <xdr:sp macro="" textlink="">
      <xdr:nvSpPr>
        <xdr:cNvPr id="56" name="Ellipse 55"/>
        <xdr:cNvSpPr/>
      </xdr:nvSpPr>
      <xdr:spPr>
        <a:xfrm>
          <a:off x="2502694" y="24512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104</xdr:row>
      <xdr:rowOff>52388</xdr:rowOff>
    </xdr:from>
    <xdr:to>
      <xdr:col>4</xdr:col>
      <xdr:colOff>76200</xdr:colOff>
      <xdr:row>104</xdr:row>
      <xdr:rowOff>102394</xdr:rowOff>
    </xdr:to>
    <xdr:sp macro="" textlink="">
      <xdr:nvSpPr>
        <xdr:cNvPr id="57" name="Ellipse 56"/>
        <xdr:cNvSpPr/>
      </xdr:nvSpPr>
      <xdr:spPr>
        <a:xfrm>
          <a:off x="2502694" y="248554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103</xdr:row>
      <xdr:rowOff>52388</xdr:rowOff>
    </xdr:from>
    <xdr:to>
      <xdr:col>4</xdr:col>
      <xdr:colOff>76200</xdr:colOff>
      <xdr:row>103</xdr:row>
      <xdr:rowOff>102394</xdr:rowOff>
    </xdr:to>
    <xdr:sp macro="" textlink="">
      <xdr:nvSpPr>
        <xdr:cNvPr id="58" name="Ellipse 57"/>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105</xdr:row>
      <xdr:rowOff>52388</xdr:rowOff>
    </xdr:from>
    <xdr:to>
      <xdr:col>4</xdr:col>
      <xdr:colOff>76200</xdr:colOff>
      <xdr:row>105</xdr:row>
      <xdr:rowOff>102394</xdr:rowOff>
    </xdr:to>
    <xdr:sp macro="" textlink="">
      <xdr:nvSpPr>
        <xdr:cNvPr id="59" name="Ellipse 58"/>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106</xdr:row>
      <xdr:rowOff>52388</xdr:rowOff>
    </xdr:from>
    <xdr:to>
      <xdr:col>4</xdr:col>
      <xdr:colOff>76200</xdr:colOff>
      <xdr:row>106</xdr:row>
      <xdr:rowOff>102394</xdr:rowOff>
    </xdr:to>
    <xdr:sp macro="" textlink="">
      <xdr:nvSpPr>
        <xdr:cNvPr id="60" name="Ellipse 59"/>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101</xdr:row>
      <xdr:rowOff>52388</xdr:rowOff>
    </xdr:from>
    <xdr:to>
      <xdr:col>4</xdr:col>
      <xdr:colOff>76200</xdr:colOff>
      <xdr:row>101</xdr:row>
      <xdr:rowOff>102394</xdr:rowOff>
    </xdr:to>
    <xdr:sp macro="" textlink="">
      <xdr:nvSpPr>
        <xdr:cNvPr id="61" name="Ellipse 60"/>
        <xdr:cNvSpPr/>
      </xdr:nvSpPr>
      <xdr:spPr>
        <a:xfrm>
          <a:off x="2502694" y="26179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100</xdr:row>
      <xdr:rowOff>52388</xdr:rowOff>
    </xdr:from>
    <xdr:to>
      <xdr:col>4</xdr:col>
      <xdr:colOff>76200</xdr:colOff>
      <xdr:row>100</xdr:row>
      <xdr:rowOff>102394</xdr:rowOff>
    </xdr:to>
    <xdr:sp macro="" textlink="">
      <xdr:nvSpPr>
        <xdr:cNvPr id="62" name="Ellipse 61"/>
        <xdr:cNvSpPr/>
      </xdr:nvSpPr>
      <xdr:spPr>
        <a:xfrm>
          <a:off x="2502694" y="260175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102</xdr:row>
      <xdr:rowOff>52388</xdr:rowOff>
    </xdr:from>
    <xdr:to>
      <xdr:col>4</xdr:col>
      <xdr:colOff>76200</xdr:colOff>
      <xdr:row>102</xdr:row>
      <xdr:rowOff>102394</xdr:rowOff>
    </xdr:to>
    <xdr:sp macro="" textlink="">
      <xdr:nvSpPr>
        <xdr:cNvPr id="63" name="Ellipse 62"/>
        <xdr:cNvSpPr/>
      </xdr:nvSpPr>
      <xdr:spPr>
        <a:xfrm>
          <a:off x="2502694" y="26341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107</xdr:row>
      <xdr:rowOff>52388</xdr:rowOff>
    </xdr:from>
    <xdr:to>
      <xdr:col>4</xdr:col>
      <xdr:colOff>76200</xdr:colOff>
      <xdr:row>107</xdr:row>
      <xdr:rowOff>102394</xdr:rowOff>
    </xdr:to>
    <xdr:sp macro="" textlink="">
      <xdr:nvSpPr>
        <xdr:cNvPr id="66" name="Ellipse 65"/>
        <xdr:cNvSpPr/>
      </xdr:nvSpPr>
      <xdr:spPr>
        <a:xfrm>
          <a:off x="2502694" y="25369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113</xdr:row>
      <xdr:rowOff>52388</xdr:rowOff>
    </xdr:from>
    <xdr:to>
      <xdr:col>4</xdr:col>
      <xdr:colOff>76200</xdr:colOff>
      <xdr:row>113</xdr:row>
      <xdr:rowOff>102394</xdr:rowOff>
    </xdr:to>
    <xdr:sp macro="" textlink="">
      <xdr:nvSpPr>
        <xdr:cNvPr id="67" name="Ellipse 66"/>
        <xdr:cNvSpPr/>
      </xdr:nvSpPr>
      <xdr:spPr>
        <a:xfrm>
          <a:off x="2502694" y="26179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111</xdr:row>
      <xdr:rowOff>52388</xdr:rowOff>
    </xdr:from>
    <xdr:to>
      <xdr:col>4</xdr:col>
      <xdr:colOff>76200</xdr:colOff>
      <xdr:row>111</xdr:row>
      <xdr:rowOff>102394</xdr:rowOff>
    </xdr:to>
    <xdr:sp macro="" textlink="">
      <xdr:nvSpPr>
        <xdr:cNvPr id="68" name="Ellipse 67"/>
        <xdr:cNvSpPr/>
      </xdr:nvSpPr>
      <xdr:spPr>
        <a:xfrm>
          <a:off x="2502694" y="260175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114</xdr:row>
      <xdr:rowOff>52388</xdr:rowOff>
    </xdr:from>
    <xdr:to>
      <xdr:col>4</xdr:col>
      <xdr:colOff>76200</xdr:colOff>
      <xdr:row>114</xdr:row>
      <xdr:rowOff>102394</xdr:rowOff>
    </xdr:to>
    <xdr:sp macro="" textlink="">
      <xdr:nvSpPr>
        <xdr:cNvPr id="70" name="Ellipse 69"/>
        <xdr:cNvSpPr/>
      </xdr:nvSpPr>
      <xdr:spPr>
        <a:xfrm>
          <a:off x="2502694" y="265033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110</xdr:row>
      <xdr:rowOff>52388</xdr:rowOff>
    </xdr:from>
    <xdr:to>
      <xdr:col>4</xdr:col>
      <xdr:colOff>76200</xdr:colOff>
      <xdr:row>110</xdr:row>
      <xdr:rowOff>102394</xdr:rowOff>
    </xdr:to>
    <xdr:sp macro="" textlink="">
      <xdr:nvSpPr>
        <xdr:cNvPr id="71" name="Ellipse 70"/>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109</xdr:row>
      <xdr:rowOff>52388</xdr:rowOff>
    </xdr:from>
    <xdr:to>
      <xdr:col>4</xdr:col>
      <xdr:colOff>76200</xdr:colOff>
      <xdr:row>109</xdr:row>
      <xdr:rowOff>102394</xdr:rowOff>
    </xdr:to>
    <xdr:sp macro="" textlink="">
      <xdr:nvSpPr>
        <xdr:cNvPr id="72" name="Ellipse 71"/>
        <xdr:cNvSpPr/>
      </xdr:nvSpPr>
      <xdr:spPr>
        <a:xfrm>
          <a:off x="2502694" y="25531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112</xdr:row>
      <xdr:rowOff>52388</xdr:rowOff>
    </xdr:from>
    <xdr:to>
      <xdr:col>4</xdr:col>
      <xdr:colOff>76200</xdr:colOff>
      <xdr:row>112</xdr:row>
      <xdr:rowOff>102394</xdr:rowOff>
    </xdr:to>
    <xdr:sp macro="" textlink="">
      <xdr:nvSpPr>
        <xdr:cNvPr id="73" name="Ellipse 72"/>
        <xdr:cNvSpPr/>
      </xdr:nvSpPr>
      <xdr:spPr>
        <a:xfrm>
          <a:off x="2502694" y="2585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115</xdr:row>
      <xdr:rowOff>52388</xdr:rowOff>
    </xdr:from>
    <xdr:to>
      <xdr:col>4</xdr:col>
      <xdr:colOff>76200</xdr:colOff>
      <xdr:row>115</xdr:row>
      <xdr:rowOff>102394</xdr:rowOff>
    </xdr:to>
    <xdr:sp macro="" textlink="">
      <xdr:nvSpPr>
        <xdr:cNvPr id="74" name="Ellipse 73"/>
        <xdr:cNvSpPr/>
      </xdr:nvSpPr>
      <xdr:spPr>
        <a:xfrm>
          <a:off x="2502694" y="266652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119</xdr:row>
      <xdr:rowOff>52388</xdr:rowOff>
    </xdr:from>
    <xdr:to>
      <xdr:col>4</xdr:col>
      <xdr:colOff>76200</xdr:colOff>
      <xdr:row>119</xdr:row>
      <xdr:rowOff>102394</xdr:rowOff>
    </xdr:to>
    <xdr:sp macro="" textlink="">
      <xdr:nvSpPr>
        <xdr:cNvPr id="76" name="Ellipse 75"/>
        <xdr:cNvSpPr/>
      </xdr:nvSpPr>
      <xdr:spPr>
        <a:xfrm>
          <a:off x="2502694" y="273129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121</xdr:row>
      <xdr:rowOff>52388</xdr:rowOff>
    </xdr:from>
    <xdr:to>
      <xdr:col>4</xdr:col>
      <xdr:colOff>76200</xdr:colOff>
      <xdr:row>121</xdr:row>
      <xdr:rowOff>102394</xdr:rowOff>
    </xdr:to>
    <xdr:sp macro="" textlink="">
      <xdr:nvSpPr>
        <xdr:cNvPr id="78" name="Ellipse 77"/>
        <xdr:cNvSpPr/>
      </xdr:nvSpPr>
      <xdr:spPr>
        <a:xfrm>
          <a:off x="2502694" y="277987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117</xdr:row>
      <xdr:rowOff>52388</xdr:rowOff>
    </xdr:from>
    <xdr:to>
      <xdr:col>4</xdr:col>
      <xdr:colOff>76200</xdr:colOff>
      <xdr:row>117</xdr:row>
      <xdr:rowOff>102394</xdr:rowOff>
    </xdr:to>
    <xdr:sp macro="" textlink="">
      <xdr:nvSpPr>
        <xdr:cNvPr id="79" name="Ellipse 78"/>
        <xdr:cNvSpPr/>
      </xdr:nvSpPr>
      <xdr:spPr>
        <a:xfrm>
          <a:off x="2502694" y="269890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118</xdr:row>
      <xdr:rowOff>52388</xdr:rowOff>
    </xdr:from>
    <xdr:to>
      <xdr:col>4</xdr:col>
      <xdr:colOff>76200</xdr:colOff>
      <xdr:row>118</xdr:row>
      <xdr:rowOff>102394</xdr:rowOff>
    </xdr:to>
    <xdr:sp macro="" textlink="">
      <xdr:nvSpPr>
        <xdr:cNvPr id="81" name="Ellipse 80"/>
        <xdr:cNvSpPr/>
      </xdr:nvSpPr>
      <xdr:spPr>
        <a:xfrm>
          <a:off x="2502694" y="271510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127</xdr:row>
      <xdr:rowOff>52388</xdr:rowOff>
    </xdr:from>
    <xdr:to>
      <xdr:col>4</xdr:col>
      <xdr:colOff>76200</xdr:colOff>
      <xdr:row>127</xdr:row>
      <xdr:rowOff>102394</xdr:rowOff>
    </xdr:to>
    <xdr:sp macro="" textlink="">
      <xdr:nvSpPr>
        <xdr:cNvPr id="89" name="Ellipse 88"/>
        <xdr:cNvSpPr/>
      </xdr:nvSpPr>
      <xdr:spPr>
        <a:xfrm>
          <a:off x="2502694" y="29094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126</xdr:row>
      <xdr:rowOff>52388</xdr:rowOff>
    </xdr:from>
    <xdr:to>
      <xdr:col>4</xdr:col>
      <xdr:colOff>76200</xdr:colOff>
      <xdr:row>126</xdr:row>
      <xdr:rowOff>102394</xdr:rowOff>
    </xdr:to>
    <xdr:sp macro="" textlink="">
      <xdr:nvSpPr>
        <xdr:cNvPr id="94" name="Ellipse 93"/>
        <xdr:cNvSpPr/>
      </xdr:nvSpPr>
      <xdr:spPr>
        <a:xfrm>
          <a:off x="2502694" y="282844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125</xdr:row>
      <xdr:rowOff>52388</xdr:rowOff>
    </xdr:from>
    <xdr:to>
      <xdr:col>4</xdr:col>
      <xdr:colOff>76200</xdr:colOff>
      <xdr:row>125</xdr:row>
      <xdr:rowOff>102394</xdr:rowOff>
    </xdr:to>
    <xdr:sp macro="" textlink="">
      <xdr:nvSpPr>
        <xdr:cNvPr id="95" name="Ellipse 94"/>
        <xdr:cNvSpPr/>
      </xdr:nvSpPr>
      <xdr:spPr>
        <a:xfrm>
          <a:off x="2502694" y="281225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128</xdr:row>
      <xdr:rowOff>52388</xdr:rowOff>
    </xdr:from>
    <xdr:to>
      <xdr:col>4</xdr:col>
      <xdr:colOff>76200</xdr:colOff>
      <xdr:row>128</xdr:row>
      <xdr:rowOff>102394</xdr:rowOff>
    </xdr:to>
    <xdr:sp macro="" textlink="">
      <xdr:nvSpPr>
        <xdr:cNvPr id="97" name="Ellipse 96"/>
        <xdr:cNvSpPr/>
      </xdr:nvSpPr>
      <xdr:spPr>
        <a:xfrm>
          <a:off x="2502694" y="29256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130</xdr:row>
      <xdr:rowOff>52388</xdr:rowOff>
    </xdr:from>
    <xdr:to>
      <xdr:col>4</xdr:col>
      <xdr:colOff>76200</xdr:colOff>
      <xdr:row>130</xdr:row>
      <xdr:rowOff>102394</xdr:rowOff>
    </xdr:to>
    <xdr:sp macro="" textlink="">
      <xdr:nvSpPr>
        <xdr:cNvPr id="105" name="Ellipse 104"/>
        <xdr:cNvSpPr/>
      </xdr:nvSpPr>
      <xdr:spPr>
        <a:xfrm>
          <a:off x="2502694" y="303895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131</xdr:row>
      <xdr:rowOff>52388</xdr:rowOff>
    </xdr:from>
    <xdr:to>
      <xdr:col>4</xdr:col>
      <xdr:colOff>76200</xdr:colOff>
      <xdr:row>131</xdr:row>
      <xdr:rowOff>102394</xdr:rowOff>
    </xdr:to>
    <xdr:sp macro="" textlink="">
      <xdr:nvSpPr>
        <xdr:cNvPr id="109" name="Ellipse 108"/>
        <xdr:cNvSpPr/>
      </xdr:nvSpPr>
      <xdr:spPr>
        <a:xfrm>
          <a:off x="2502694" y="30551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134</xdr:row>
      <xdr:rowOff>52388</xdr:rowOff>
    </xdr:from>
    <xdr:to>
      <xdr:col>4</xdr:col>
      <xdr:colOff>76200</xdr:colOff>
      <xdr:row>134</xdr:row>
      <xdr:rowOff>102394</xdr:rowOff>
    </xdr:to>
    <xdr:sp macro="" textlink="">
      <xdr:nvSpPr>
        <xdr:cNvPr id="113" name="Ellipse 112"/>
        <xdr:cNvSpPr/>
      </xdr:nvSpPr>
      <xdr:spPr>
        <a:xfrm>
          <a:off x="2502694" y="316849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135</xdr:row>
      <xdr:rowOff>52388</xdr:rowOff>
    </xdr:from>
    <xdr:to>
      <xdr:col>4</xdr:col>
      <xdr:colOff>76200</xdr:colOff>
      <xdr:row>135</xdr:row>
      <xdr:rowOff>102394</xdr:rowOff>
    </xdr:to>
    <xdr:sp macro="" textlink="">
      <xdr:nvSpPr>
        <xdr:cNvPr id="117" name="Ellipse 116"/>
        <xdr:cNvSpPr/>
      </xdr:nvSpPr>
      <xdr:spPr>
        <a:xfrm>
          <a:off x="2502694" y="30551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109</xdr:row>
      <xdr:rowOff>52388</xdr:rowOff>
    </xdr:from>
    <xdr:to>
      <xdr:col>4</xdr:col>
      <xdr:colOff>76200</xdr:colOff>
      <xdr:row>109</xdr:row>
      <xdr:rowOff>102394</xdr:rowOff>
    </xdr:to>
    <xdr:sp macro="" textlink="">
      <xdr:nvSpPr>
        <xdr:cNvPr id="125" name="Ellipse 124"/>
        <xdr:cNvSpPr/>
      </xdr:nvSpPr>
      <xdr:spPr>
        <a:xfrm>
          <a:off x="2502694" y="26722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124</xdr:row>
      <xdr:rowOff>52388</xdr:rowOff>
    </xdr:from>
    <xdr:to>
      <xdr:col>4</xdr:col>
      <xdr:colOff>76200</xdr:colOff>
      <xdr:row>124</xdr:row>
      <xdr:rowOff>102394</xdr:rowOff>
    </xdr:to>
    <xdr:sp macro="" textlink="">
      <xdr:nvSpPr>
        <xdr:cNvPr id="126" name="Ellipse 125"/>
        <xdr:cNvSpPr/>
      </xdr:nvSpPr>
      <xdr:spPr>
        <a:xfrm>
          <a:off x="2502694" y="34180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120</xdr:row>
      <xdr:rowOff>52388</xdr:rowOff>
    </xdr:from>
    <xdr:to>
      <xdr:col>4</xdr:col>
      <xdr:colOff>76200</xdr:colOff>
      <xdr:row>120</xdr:row>
      <xdr:rowOff>102394</xdr:rowOff>
    </xdr:to>
    <xdr:sp macro="" textlink="">
      <xdr:nvSpPr>
        <xdr:cNvPr id="127" name="Ellipse 126"/>
        <xdr:cNvSpPr/>
      </xdr:nvSpPr>
      <xdr:spPr>
        <a:xfrm>
          <a:off x="2502694" y="31313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85</xdr:row>
      <xdr:rowOff>52388</xdr:rowOff>
    </xdr:from>
    <xdr:to>
      <xdr:col>4</xdr:col>
      <xdr:colOff>76200</xdr:colOff>
      <xdr:row>85</xdr:row>
      <xdr:rowOff>102394</xdr:rowOff>
    </xdr:to>
    <xdr:sp macro="" textlink="">
      <xdr:nvSpPr>
        <xdr:cNvPr id="101" name="Ellipse 100"/>
        <xdr:cNvSpPr/>
      </xdr:nvSpPr>
      <xdr:spPr>
        <a:xfrm>
          <a:off x="2502694" y="32818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88</xdr:row>
      <xdr:rowOff>52388</xdr:rowOff>
    </xdr:from>
    <xdr:to>
      <xdr:col>4</xdr:col>
      <xdr:colOff>76200</xdr:colOff>
      <xdr:row>88</xdr:row>
      <xdr:rowOff>102394</xdr:rowOff>
    </xdr:to>
    <xdr:sp macro="" textlink="">
      <xdr:nvSpPr>
        <xdr:cNvPr id="107" name="Ellipse 106"/>
        <xdr:cNvSpPr/>
      </xdr:nvSpPr>
      <xdr:spPr>
        <a:xfrm>
          <a:off x="2502694" y="346852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86</xdr:row>
      <xdr:rowOff>52388</xdr:rowOff>
    </xdr:from>
    <xdr:to>
      <xdr:col>4</xdr:col>
      <xdr:colOff>76200</xdr:colOff>
      <xdr:row>86</xdr:row>
      <xdr:rowOff>102394</xdr:rowOff>
    </xdr:to>
    <xdr:sp macro="" textlink="">
      <xdr:nvSpPr>
        <xdr:cNvPr id="110" name="Ellipse 109"/>
        <xdr:cNvSpPr/>
      </xdr:nvSpPr>
      <xdr:spPr>
        <a:xfrm>
          <a:off x="2502694" y="32989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89</xdr:row>
      <xdr:rowOff>52388</xdr:rowOff>
    </xdr:from>
    <xdr:to>
      <xdr:col>4</xdr:col>
      <xdr:colOff>76200</xdr:colOff>
      <xdr:row>89</xdr:row>
      <xdr:rowOff>102394</xdr:rowOff>
    </xdr:to>
    <xdr:sp macro="" textlink="">
      <xdr:nvSpPr>
        <xdr:cNvPr id="112" name="Ellipse 111"/>
        <xdr:cNvSpPr/>
      </xdr:nvSpPr>
      <xdr:spPr>
        <a:xfrm>
          <a:off x="2502694" y="29741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87</xdr:row>
      <xdr:rowOff>52388</xdr:rowOff>
    </xdr:from>
    <xdr:to>
      <xdr:col>4</xdr:col>
      <xdr:colOff>76200</xdr:colOff>
      <xdr:row>87</xdr:row>
      <xdr:rowOff>102394</xdr:rowOff>
    </xdr:to>
    <xdr:sp macro="" textlink="">
      <xdr:nvSpPr>
        <xdr:cNvPr id="96" name="Ellipse 95"/>
        <xdr:cNvSpPr/>
      </xdr:nvSpPr>
      <xdr:spPr>
        <a:xfrm>
          <a:off x="2502694" y="24712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91</xdr:row>
      <xdr:rowOff>52388</xdr:rowOff>
    </xdr:from>
    <xdr:to>
      <xdr:col>4</xdr:col>
      <xdr:colOff>76200</xdr:colOff>
      <xdr:row>91</xdr:row>
      <xdr:rowOff>102394</xdr:rowOff>
    </xdr:to>
    <xdr:sp macro="" textlink="">
      <xdr:nvSpPr>
        <xdr:cNvPr id="103" name="Ellipse 102"/>
        <xdr:cNvSpPr/>
      </xdr:nvSpPr>
      <xdr:spPr>
        <a:xfrm>
          <a:off x="2502694" y="328850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77</xdr:row>
      <xdr:rowOff>52388</xdr:rowOff>
    </xdr:from>
    <xdr:to>
      <xdr:col>4</xdr:col>
      <xdr:colOff>76200</xdr:colOff>
      <xdr:row>77</xdr:row>
      <xdr:rowOff>102394</xdr:rowOff>
    </xdr:to>
    <xdr:sp macro="" textlink="">
      <xdr:nvSpPr>
        <xdr:cNvPr id="104" name="Ellipse 103"/>
        <xdr:cNvSpPr/>
      </xdr:nvSpPr>
      <xdr:spPr>
        <a:xfrm>
          <a:off x="2502694" y="289988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79</xdr:row>
      <xdr:rowOff>52388</xdr:rowOff>
    </xdr:from>
    <xdr:to>
      <xdr:col>4</xdr:col>
      <xdr:colOff>76200</xdr:colOff>
      <xdr:row>79</xdr:row>
      <xdr:rowOff>102394</xdr:rowOff>
    </xdr:to>
    <xdr:sp macro="" textlink="">
      <xdr:nvSpPr>
        <xdr:cNvPr id="108" name="Ellipse 107"/>
        <xdr:cNvSpPr/>
      </xdr:nvSpPr>
      <xdr:spPr>
        <a:xfrm>
          <a:off x="2502694" y="291703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82</xdr:row>
      <xdr:rowOff>52388</xdr:rowOff>
    </xdr:from>
    <xdr:to>
      <xdr:col>4</xdr:col>
      <xdr:colOff>76200</xdr:colOff>
      <xdr:row>82</xdr:row>
      <xdr:rowOff>102394</xdr:rowOff>
    </xdr:to>
    <xdr:sp macro="" textlink="">
      <xdr:nvSpPr>
        <xdr:cNvPr id="116" name="Ellipse 115"/>
        <xdr:cNvSpPr/>
      </xdr:nvSpPr>
      <xdr:spPr>
        <a:xfrm>
          <a:off x="2502694" y="390667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80</xdr:row>
      <xdr:rowOff>52388</xdr:rowOff>
    </xdr:from>
    <xdr:to>
      <xdr:col>4</xdr:col>
      <xdr:colOff>76200</xdr:colOff>
      <xdr:row>80</xdr:row>
      <xdr:rowOff>102394</xdr:rowOff>
    </xdr:to>
    <xdr:sp macro="" textlink="">
      <xdr:nvSpPr>
        <xdr:cNvPr id="121" name="Ellipse 120"/>
        <xdr:cNvSpPr/>
      </xdr:nvSpPr>
      <xdr:spPr>
        <a:xfrm>
          <a:off x="2502694" y="245411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75</xdr:row>
      <xdr:rowOff>52388</xdr:rowOff>
    </xdr:from>
    <xdr:to>
      <xdr:col>4</xdr:col>
      <xdr:colOff>76200</xdr:colOff>
      <xdr:row>75</xdr:row>
      <xdr:rowOff>102394</xdr:rowOff>
    </xdr:to>
    <xdr:sp macro="" textlink="">
      <xdr:nvSpPr>
        <xdr:cNvPr id="106" name="Ellipse 105"/>
        <xdr:cNvSpPr/>
      </xdr:nvSpPr>
      <xdr:spPr>
        <a:xfrm>
          <a:off x="2502694" y="285511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78</xdr:row>
      <xdr:rowOff>52388</xdr:rowOff>
    </xdr:from>
    <xdr:to>
      <xdr:col>4</xdr:col>
      <xdr:colOff>76200</xdr:colOff>
      <xdr:row>78</xdr:row>
      <xdr:rowOff>102394</xdr:rowOff>
    </xdr:to>
    <xdr:sp macro="" textlink="">
      <xdr:nvSpPr>
        <xdr:cNvPr id="115" name="Ellipse 114"/>
        <xdr:cNvSpPr/>
      </xdr:nvSpPr>
      <xdr:spPr>
        <a:xfrm>
          <a:off x="2502694" y="25217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10</xdr:col>
      <xdr:colOff>292554</xdr:colOff>
      <xdr:row>0</xdr:row>
      <xdr:rowOff>0</xdr:rowOff>
    </xdr:from>
    <xdr:ext cx="1476375" cy="1002839"/>
    <xdr:sp macro="" textlink="">
      <xdr:nvSpPr>
        <xdr:cNvPr id="2" name="Textfeld 6"/>
        <xdr:cNvSpPr txBox="1"/>
      </xdr:nvSpPr>
      <xdr:spPr>
        <a:xfrm>
          <a:off x="5712279"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1</xdr:col>
      <xdr:colOff>598626</xdr:colOff>
      <xdr:row>0</xdr:row>
      <xdr:rowOff>285714</xdr:rowOff>
    </xdr:to>
    <xdr:pic>
      <xdr:nvPicPr>
        <xdr:cNvPr id="3" name="Grafik 14" descr="AHB Logo.png"/>
        <xdr:cNvPicPr>
          <a:picLocks noChangeAspect="1"/>
        </xdr:cNvPicPr>
      </xdr:nvPicPr>
      <xdr:blipFill>
        <a:blip xmlns:r="http://schemas.openxmlformats.org/officeDocument/2006/relationships" r:embed="rId1" cstate="print"/>
        <a:stretch>
          <a:fillRect/>
        </a:stretch>
      </xdr:blipFill>
      <xdr:spPr>
        <a:xfrm>
          <a:off x="0" y="0"/>
          <a:ext cx="1627326" cy="285714"/>
        </a:xfrm>
        <a:prstGeom prst="rect">
          <a:avLst/>
        </a:prstGeom>
      </xdr:spPr>
    </xdr:pic>
    <xdr:clientData/>
  </xdr:twoCellAnchor>
  <xdr:twoCellAnchor>
    <xdr:from>
      <xdr:col>15</xdr:col>
      <xdr:colOff>19050</xdr:colOff>
      <xdr:row>14</xdr:row>
      <xdr:rowOff>0</xdr:rowOff>
    </xdr:from>
    <xdr:to>
      <xdr:col>15</xdr:col>
      <xdr:colOff>190499</xdr:colOff>
      <xdr:row>37</xdr:row>
      <xdr:rowOff>123825</xdr:rowOff>
    </xdr:to>
    <xdr:sp macro="" textlink="">
      <xdr:nvSpPr>
        <xdr:cNvPr id="4" name="Geschweifte Klammer rechts 3"/>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9</xdr:col>
      <xdr:colOff>292554</xdr:colOff>
      <xdr:row>0</xdr:row>
      <xdr:rowOff>0</xdr:rowOff>
    </xdr:from>
    <xdr:ext cx="1476375" cy="1002839"/>
    <xdr:sp macro="" textlink="">
      <xdr:nvSpPr>
        <xdr:cNvPr id="2" name="Textfeld 6"/>
        <xdr:cNvSpPr txBox="1"/>
      </xdr:nvSpPr>
      <xdr:spPr>
        <a:xfrm>
          <a:off x="5712279"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0</xdr:col>
      <xdr:colOff>1627326</xdr:colOff>
      <xdr:row>0</xdr:row>
      <xdr:rowOff>285714</xdr:rowOff>
    </xdr:to>
    <xdr:pic>
      <xdr:nvPicPr>
        <xdr:cNvPr id="3" name="Grafik 14" descr="AHB Logo.png"/>
        <xdr:cNvPicPr>
          <a:picLocks noChangeAspect="1"/>
        </xdr:cNvPicPr>
      </xdr:nvPicPr>
      <xdr:blipFill>
        <a:blip xmlns:r="http://schemas.openxmlformats.org/officeDocument/2006/relationships" r:embed="rId1" cstate="print"/>
        <a:stretch>
          <a:fillRect/>
        </a:stretch>
      </xdr:blipFill>
      <xdr:spPr>
        <a:xfrm>
          <a:off x="0" y="0"/>
          <a:ext cx="1627326" cy="28571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10</xdr:col>
      <xdr:colOff>292554</xdr:colOff>
      <xdr:row>0</xdr:row>
      <xdr:rowOff>0</xdr:rowOff>
    </xdr:from>
    <xdr:ext cx="1476375" cy="1002839"/>
    <xdr:sp macro="" textlink="">
      <xdr:nvSpPr>
        <xdr:cNvPr id="2" name="Textfeld 6"/>
        <xdr:cNvSpPr txBox="1"/>
      </xdr:nvSpPr>
      <xdr:spPr>
        <a:xfrm>
          <a:off x="5712279"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1</xdr:col>
      <xdr:colOff>598626</xdr:colOff>
      <xdr:row>0</xdr:row>
      <xdr:rowOff>285714</xdr:rowOff>
    </xdr:to>
    <xdr:pic>
      <xdr:nvPicPr>
        <xdr:cNvPr id="3" name="Grafik 14" descr="AHB Logo.png"/>
        <xdr:cNvPicPr>
          <a:picLocks noChangeAspect="1"/>
        </xdr:cNvPicPr>
      </xdr:nvPicPr>
      <xdr:blipFill>
        <a:blip xmlns:r="http://schemas.openxmlformats.org/officeDocument/2006/relationships" r:embed="rId1" cstate="print"/>
        <a:stretch>
          <a:fillRect/>
        </a:stretch>
      </xdr:blipFill>
      <xdr:spPr>
        <a:xfrm>
          <a:off x="0" y="0"/>
          <a:ext cx="1627326" cy="285714"/>
        </a:xfrm>
        <a:prstGeom prst="rect">
          <a:avLst/>
        </a:prstGeom>
      </xdr:spPr>
    </xdr:pic>
    <xdr:clientData/>
  </xdr:twoCellAnchor>
  <xdr:twoCellAnchor>
    <xdr:from>
      <xdr:col>15</xdr:col>
      <xdr:colOff>19050</xdr:colOff>
      <xdr:row>14</xdr:row>
      <xdr:rowOff>0</xdr:rowOff>
    </xdr:from>
    <xdr:to>
      <xdr:col>15</xdr:col>
      <xdr:colOff>190499</xdr:colOff>
      <xdr:row>37</xdr:row>
      <xdr:rowOff>123825</xdr:rowOff>
    </xdr:to>
    <xdr:sp macro="" textlink="">
      <xdr:nvSpPr>
        <xdr:cNvPr id="4" name="Geschweifte Klammer rechts 3"/>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9</xdr:col>
      <xdr:colOff>292554</xdr:colOff>
      <xdr:row>0</xdr:row>
      <xdr:rowOff>0</xdr:rowOff>
    </xdr:from>
    <xdr:ext cx="1476375" cy="1002839"/>
    <xdr:sp macro="" textlink="">
      <xdr:nvSpPr>
        <xdr:cNvPr id="2" name="Textfeld 6"/>
        <xdr:cNvSpPr txBox="1"/>
      </xdr:nvSpPr>
      <xdr:spPr>
        <a:xfrm>
          <a:off x="5712279"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0</xdr:col>
      <xdr:colOff>1627326</xdr:colOff>
      <xdr:row>0</xdr:row>
      <xdr:rowOff>285714</xdr:rowOff>
    </xdr:to>
    <xdr:pic>
      <xdr:nvPicPr>
        <xdr:cNvPr id="3" name="Grafik 14" descr="AHB Logo.png"/>
        <xdr:cNvPicPr>
          <a:picLocks noChangeAspect="1"/>
        </xdr:cNvPicPr>
      </xdr:nvPicPr>
      <xdr:blipFill>
        <a:blip xmlns:r="http://schemas.openxmlformats.org/officeDocument/2006/relationships" r:embed="rId1" cstate="print"/>
        <a:stretch>
          <a:fillRect/>
        </a:stretch>
      </xdr:blipFill>
      <xdr:spPr>
        <a:xfrm>
          <a:off x="0" y="0"/>
          <a:ext cx="1627326" cy="28571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10</xdr:col>
      <xdr:colOff>292554</xdr:colOff>
      <xdr:row>0</xdr:row>
      <xdr:rowOff>0</xdr:rowOff>
    </xdr:from>
    <xdr:ext cx="1476375" cy="1002839"/>
    <xdr:sp macro="" textlink="">
      <xdr:nvSpPr>
        <xdr:cNvPr id="2" name="Textfeld 6"/>
        <xdr:cNvSpPr txBox="1"/>
      </xdr:nvSpPr>
      <xdr:spPr>
        <a:xfrm>
          <a:off x="5712279"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1</xdr:col>
      <xdr:colOff>598626</xdr:colOff>
      <xdr:row>0</xdr:row>
      <xdr:rowOff>285714</xdr:rowOff>
    </xdr:to>
    <xdr:pic>
      <xdr:nvPicPr>
        <xdr:cNvPr id="3" name="Grafik 14" descr="AHB Logo.png"/>
        <xdr:cNvPicPr>
          <a:picLocks noChangeAspect="1"/>
        </xdr:cNvPicPr>
      </xdr:nvPicPr>
      <xdr:blipFill>
        <a:blip xmlns:r="http://schemas.openxmlformats.org/officeDocument/2006/relationships" r:embed="rId1" cstate="print"/>
        <a:stretch>
          <a:fillRect/>
        </a:stretch>
      </xdr:blipFill>
      <xdr:spPr>
        <a:xfrm>
          <a:off x="0" y="0"/>
          <a:ext cx="1627326" cy="285714"/>
        </a:xfrm>
        <a:prstGeom prst="rect">
          <a:avLst/>
        </a:prstGeom>
      </xdr:spPr>
    </xdr:pic>
    <xdr:clientData/>
  </xdr:twoCellAnchor>
  <xdr:twoCellAnchor>
    <xdr:from>
      <xdr:col>15</xdr:col>
      <xdr:colOff>19050</xdr:colOff>
      <xdr:row>14</xdr:row>
      <xdr:rowOff>0</xdr:rowOff>
    </xdr:from>
    <xdr:to>
      <xdr:col>15</xdr:col>
      <xdr:colOff>190499</xdr:colOff>
      <xdr:row>37</xdr:row>
      <xdr:rowOff>123825</xdr:rowOff>
    </xdr:to>
    <xdr:sp macro="" textlink="">
      <xdr:nvSpPr>
        <xdr:cNvPr id="4" name="Geschweifte Klammer rechts 3"/>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9</xdr:col>
      <xdr:colOff>292554</xdr:colOff>
      <xdr:row>0</xdr:row>
      <xdr:rowOff>0</xdr:rowOff>
    </xdr:from>
    <xdr:ext cx="1476375" cy="1002839"/>
    <xdr:sp macro="" textlink="">
      <xdr:nvSpPr>
        <xdr:cNvPr id="2" name="Textfeld 6"/>
        <xdr:cNvSpPr txBox="1"/>
      </xdr:nvSpPr>
      <xdr:spPr>
        <a:xfrm>
          <a:off x="5712279"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0</xdr:col>
      <xdr:colOff>1627326</xdr:colOff>
      <xdr:row>0</xdr:row>
      <xdr:rowOff>285714</xdr:rowOff>
    </xdr:to>
    <xdr:pic>
      <xdr:nvPicPr>
        <xdr:cNvPr id="3" name="Grafik 14" descr="AHB Logo.png"/>
        <xdr:cNvPicPr>
          <a:picLocks noChangeAspect="1"/>
        </xdr:cNvPicPr>
      </xdr:nvPicPr>
      <xdr:blipFill>
        <a:blip xmlns:r="http://schemas.openxmlformats.org/officeDocument/2006/relationships" r:embed="rId1" cstate="print"/>
        <a:stretch>
          <a:fillRect/>
        </a:stretch>
      </xdr:blipFill>
      <xdr:spPr>
        <a:xfrm>
          <a:off x="0" y="0"/>
          <a:ext cx="1627326" cy="28571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oneCellAnchor>
    <xdr:from>
      <xdr:col>4</xdr:col>
      <xdr:colOff>885825</xdr:colOff>
      <xdr:row>0</xdr:row>
      <xdr:rowOff>0</xdr:rowOff>
    </xdr:from>
    <xdr:ext cx="1476375" cy="1002839"/>
    <xdr:sp macro="" textlink="">
      <xdr:nvSpPr>
        <xdr:cNvPr id="5" name="Textfeld 4"/>
        <xdr:cNvSpPr txBox="1"/>
      </xdr:nvSpPr>
      <xdr:spPr>
        <a:xfrm>
          <a:off x="4552950"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2</xdr:col>
      <xdr:colOff>287275</xdr:colOff>
      <xdr:row>0</xdr:row>
      <xdr:rowOff>285714</xdr:rowOff>
    </xdr:to>
    <xdr:pic>
      <xdr:nvPicPr>
        <xdr:cNvPr id="7" name="Grafik 6" descr="AHB Logo.png"/>
        <xdr:cNvPicPr>
          <a:picLocks noChangeAspect="1"/>
        </xdr:cNvPicPr>
      </xdr:nvPicPr>
      <xdr:blipFill>
        <a:blip xmlns:r="http://schemas.openxmlformats.org/officeDocument/2006/relationships" r:embed="rId1" cstate="print"/>
        <a:stretch>
          <a:fillRect/>
        </a:stretch>
      </xdr:blipFill>
      <xdr:spPr>
        <a:xfrm>
          <a:off x="0" y="0"/>
          <a:ext cx="1657143" cy="28571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43</xdr:row>
      <xdr:rowOff>0</xdr:rowOff>
    </xdr:from>
    <xdr:to>
      <xdr:col>25</xdr:col>
      <xdr:colOff>0</xdr:colOff>
      <xdr:row>69</xdr:row>
      <xdr:rowOff>0</xdr:rowOff>
    </xdr:to>
    <xdr:graphicFrame macro="">
      <xdr:nvGraphicFramePr>
        <xdr:cNvPr id="1277"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0</xdr:rowOff>
    </xdr:from>
    <xdr:to>
      <xdr:col>25</xdr:col>
      <xdr:colOff>0</xdr:colOff>
      <xdr:row>97</xdr:row>
      <xdr:rowOff>0</xdr:rowOff>
    </xdr:to>
    <xdr:graphicFrame macro="">
      <xdr:nvGraphicFramePr>
        <xdr:cNvPr id="4"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99</xdr:row>
      <xdr:rowOff>0</xdr:rowOff>
    </xdr:from>
    <xdr:to>
      <xdr:col>25</xdr:col>
      <xdr:colOff>0</xdr:colOff>
      <xdr:row>125</xdr:row>
      <xdr:rowOff>0</xdr:rowOff>
    </xdr:to>
    <xdr:graphicFrame macro="">
      <xdr:nvGraphicFramePr>
        <xdr:cNvPr id="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127</xdr:row>
      <xdr:rowOff>0</xdr:rowOff>
    </xdr:from>
    <xdr:to>
      <xdr:col>25</xdr:col>
      <xdr:colOff>0</xdr:colOff>
      <xdr:row>153</xdr:row>
      <xdr:rowOff>0</xdr:rowOff>
    </xdr:to>
    <xdr:graphicFrame macro="">
      <xdr:nvGraphicFramePr>
        <xdr:cNvPr id="6"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183</xdr:row>
      <xdr:rowOff>0</xdr:rowOff>
    </xdr:from>
    <xdr:to>
      <xdr:col>25</xdr:col>
      <xdr:colOff>0</xdr:colOff>
      <xdr:row>209</xdr:row>
      <xdr:rowOff>0</xdr:rowOff>
    </xdr:to>
    <xdr:graphicFrame macro="">
      <xdr:nvGraphicFramePr>
        <xdr:cNvPr id="7"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155</xdr:row>
      <xdr:rowOff>0</xdr:rowOff>
    </xdr:from>
    <xdr:to>
      <xdr:col>25</xdr:col>
      <xdr:colOff>0</xdr:colOff>
      <xdr:row>181</xdr:row>
      <xdr:rowOff>0</xdr:rowOff>
    </xdr:to>
    <xdr:graphicFrame macro="">
      <xdr:nvGraphicFramePr>
        <xdr:cNvPr id="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1</xdr:col>
      <xdr:colOff>474729</xdr:colOff>
      <xdr:row>0</xdr:row>
      <xdr:rowOff>285714</xdr:rowOff>
    </xdr:to>
    <xdr:pic>
      <xdr:nvPicPr>
        <xdr:cNvPr id="9" name="Grafik 8" descr="AHB Logo.png"/>
        <xdr:cNvPicPr>
          <a:picLocks noChangeAspect="1"/>
        </xdr:cNvPicPr>
      </xdr:nvPicPr>
      <xdr:blipFill>
        <a:blip xmlns:r="http://schemas.openxmlformats.org/officeDocument/2006/relationships" r:embed="rId7" cstate="print"/>
        <a:stretch>
          <a:fillRect/>
        </a:stretch>
      </xdr:blipFill>
      <xdr:spPr>
        <a:xfrm>
          <a:off x="0" y="0"/>
          <a:ext cx="1657143" cy="285714"/>
        </a:xfrm>
        <a:prstGeom prst="rect">
          <a:avLst/>
        </a:prstGeom>
      </xdr:spPr>
    </xdr:pic>
    <xdr:clientData/>
  </xdr:twoCellAnchor>
  <xdr:oneCellAnchor>
    <xdr:from>
      <xdr:col>22</xdr:col>
      <xdr:colOff>95250</xdr:colOff>
      <xdr:row>0</xdr:row>
      <xdr:rowOff>0</xdr:rowOff>
    </xdr:from>
    <xdr:ext cx="1476375" cy="1002839"/>
    <xdr:sp macro="" textlink="">
      <xdr:nvSpPr>
        <xdr:cNvPr id="11" name="Textfeld 10"/>
        <xdr:cNvSpPr txBox="1"/>
      </xdr:nvSpPr>
      <xdr:spPr>
        <a:xfrm>
          <a:off x="7439025"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xdr:from>
      <xdr:col>25</xdr:col>
      <xdr:colOff>95250</xdr:colOff>
      <xdr:row>30</xdr:row>
      <xdr:rowOff>0</xdr:rowOff>
    </xdr:from>
    <xdr:to>
      <xdr:col>25</xdr:col>
      <xdr:colOff>295275</xdr:colOff>
      <xdr:row>35</xdr:row>
      <xdr:rowOff>0</xdr:rowOff>
    </xdr:to>
    <xdr:sp macro="" textlink="">
      <xdr:nvSpPr>
        <xdr:cNvPr id="10" name="Geschweifte Klammer rechts 9"/>
        <xdr:cNvSpPr/>
      </xdr:nvSpPr>
      <xdr:spPr>
        <a:xfrm>
          <a:off x="9010650" y="4724400"/>
          <a:ext cx="200025" cy="933450"/>
        </a:xfrm>
        <a:prstGeom prst="rightBrace">
          <a:avLst>
            <a:gd name="adj1" fmla="val 52777"/>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twoCellAnchor>
    <xdr:from>
      <xdr:col>0</xdr:col>
      <xdr:colOff>0</xdr:colOff>
      <xdr:row>211</xdr:row>
      <xdr:rowOff>0</xdr:rowOff>
    </xdr:from>
    <xdr:to>
      <xdr:col>25</xdr:col>
      <xdr:colOff>0</xdr:colOff>
      <xdr:row>237</xdr:row>
      <xdr:rowOff>0</xdr:rowOff>
    </xdr:to>
    <xdr:graphicFrame macro="">
      <xdr:nvGraphicFramePr>
        <xdr:cNvPr id="1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5</xdr:col>
      <xdr:colOff>466725</xdr:colOff>
      <xdr:row>0</xdr:row>
      <xdr:rowOff>0</xdr:rowOff>
    </xdr:from>
    <xdr:ext cx="1476375" cy="1002839"/>
    <xdr:sp macro="" textlink="">
      <xdr:nvSpPr>
        <xdr:cNvPr id="2" name="Textfeld 1"/>
        <xdr:cNvSpPr txBox="1"/>
      </xdr:nvSpPr>
      <xdr:spPr>
        <a:xfrm>
          <a:off x="5010150"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1</xdr:col>
      <xdr:colOff>1018968</xdr:colOff>
      <xdr:row>0</xdr:row>
      <xdr:rowOff>285714</xdr:rowOff>
    </xdr:to>
    <xdr:pic>
      <xdr:nvPicPr>
        <xdr:cNvPr id="4" name="Grafik 3" descr="AHB Logo.png"/>
        <xdr:cNvPicPr>
          <a:picLocks noChangeAspect="1"/>
        </xdr:cNvPicPr>
      </xdr:nvPicPr>
      <xdr:blipFill>
        <a:blip xmlns:r="http://schemas.openxmlformats.org/officeDocument/2006/relationships" r:embed="rId1" cstate="print"/>
        <a:stretch>
          <a:fillRect/>
        </a:stretch>
      </xdr:blipFill>
      <xdr:spPr>
        <a:xfrm>
          <a:off x="0" y="0"/>
          <a:ext cx="1657143" cy="2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8</xdr:col>
      <xdr:colOff>495300</xdr:colOff>
      <xdr:row>0</xdr:row>
      <xdr:rowOff>0</xdr:rowOff>
    </xdr:from>
    <xdr:ext cx="1476375" cy="1002839"/>
    <xdr:sp macro="" textlink="">
      <xdr:nvSpPr>
        <xdr:cNvPr id="3" name="Textfeld 2"/>
        <xdr:cNvSpPr txBox="1"/>
      </xdr:nvSpPr>
      <xdr:spPr>
        <a:xfrm>
          <a:off x="4857750"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3</xdr:col>
      <xdr:colOff>495093</xdr:colOff>
      <xdr:row>0</xdr:row>
      <xdr:rowOff>285714</xdr:rowOff>
    </xdr:to>
    <xdr:pic>
      <xdr:nvPicPr>
        <xdr:cNvPr id="4" name="Grafik 3" descr="AHB Logo.png"/>
        <xdr:cNvPicPr>
          <a:picLocks noChangeAspect="1"/>
        </xdr:cNvPicPr>
      </xdr:nvPicPr>
      <xdr:blipFill>
        <a:blip xmlns:r="http://schemas.openxmlformats.org/officeDocument/2006/relationships" r:embed="rId1" cstate="print"/>
        <a:stretch>
          <a:fillRect/>
        </a:stretch>
      </xdr:blipFill>
      <xdr:spPr>
        <a:xfrm>
          <a:off x="0" y="0"/>
          <a:ext cx="1657143" cy="285714"/>
        </a:xfrm>
        <a:prstGeom prst="rect">
          <a:avLst/>
        </a:prstGeom>
      </xdr:spPr>
    </xdr:pic>
    <xdr:clientData/>
  </xdr:twoCellAnchor>
  <xdr:twoCellAnchor>
    <xdr:from>
      <xdr:col>13</xdr:col>
      <xdr:colOff>87406</xdr:colOff>
      <xdr:row>35</xdr:row>
      <xdr:rowOff>11206</xdr:rowOff>
    </xdr:from>
    <xdr:to>
      <xdr:col>13</xdr:col>
      <xdr:colOff>219075</xdr:colOff>
      <xdr:row>39</xdr:row>
      <xdr:rowOff>152400</xdr:rowOff>
    </xdr:to>
    <xdr:sp macro="" textlink="">
      <xdr:nvSpPr>
        <xdr:cNvPr id="5" name="Geschweifte Klammer rechts 4"/>
        <xdr:cNvSpPr/>
      </xdr:nvSpPr>
      <xdr:spPr>
        <a:xfrm>
          <a:off x="6278656" y="5669056"/>
          <a:ext cx="131669" cy="617444"/>
        </a:xfrm>
        <a:prstGeom prst="rightBrace">
          <a:avLst>
            <a:gd name="adj1" fmla="val 6348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twoCellAnchor>
    <xdr:from>
      <xdr:col>13</xdr:col>
      <xdr:colOff>85726</xdr:colOff>
      <xdr:row>45</xdr:row>
      <xdr:rowOff>11205</xdr:rowOff>
    </xdr:from>
    <xdr:to>
      <xdr:col>13</xdr:col>
      <xdr:colOff>219076</xdr:colOff>
      <xdr:row>52</xdr:row>
      <xdr:rowOff>152399</xdr:rowOff>
    </xdr:to>
    <xdr:sp macro="" textlink="">
      <xdr:nvSpPr>
        <xdr:cNvPr id="6" name="Geschweifte Klammer rechts 5"/>
        <xdr:cNvSpPr/>
      </xdr:nvSpPr>
      <xdr:spPr>
        <a:xfrm>
          <a:off x="6276976" y="7107330"/>
          <a:ext cx="133350" cy="855569"/>
        </a:xfrm>
        <a:prstGeom prst="rightBrace">
          <a:avLst>
            <a:gd name="adj1" fmla="val 6348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4</xdr:col>
          <xdr:colOff>207034</xdr:colOff>
          <xdr:row>20</xdr:row>
          <xdr:rowOff>60385</xdr:rowOff>
        </xdr:to>
        <xdr:sp macro="" textlink="">
          <xdr:nvSpPr>
            <xdr:cNvPr id="22555" name="Check Box 27" hidden="1">
              <a:extLst>
                <a:ext uri="{63B3BB69-23CF-44E3-9099-C40C66FF867C}">
                  <a14:compatExt spid="_x0000_s22555"/>
                </a:ext>
              </a:extLst>
            </xdr:cNvPr>
            <xdr:cNvSpPr/>
          </xdr:nvSpPr>
          <xdr:spPr bwMode="auto">
            <a:xfrm>
              <a:off x="0" y="0"/>
              <a:ext cx="0" cy="0"/>
            </a:xfrm>
            <a:prstGeom prst="rect">
              <a:avLst/>
            </a:prstGeom>
            <a:solidFill>
              <a:srgbClr val="FFFF99" mc:Ignorable="a14" a14:legacySpreadsheetColorIndex="43"/>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Stadt Zürich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27</xdr:col>
      <xdr:colOff>219075</xdr:colOff>
      <xdr:row>0</xdr:row>
      <xdr:rowOff>9525</xdr:rowOff>
    </xdr:from>
    <xdr:ext cx="1476375" cy="1002839"/>
    <xdr:sp macro="" textlink="">
      <xdr:nvSpPr>
        <xdr:cNvPr id="2" name="Textfeld 1"/>
        <xdr:cNvSpPr txBox="1"/>
      </xdr:nvSpPr>
      <xdr:spPr>
        <a:xfrm>
          <a:off x="9477375" y="9525"/>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4</xdr:col>
      <xdr:colOff>37893</xdr:colOff>
      <xdr:row>0</xdr:row>
      <xdr:rowOff>285714</xdr:rowOff>
    </xdr:to>
    <xdr:pic>
      <xdr:nvPicPr>
        <xdr:cNvPr id="4" name="Grafik 202" descr="AHB Logo.png"/>
        <xdr:cNvPicPr>
          <a:picLocks noChangeAspect="1"/>
        </xdr:cNvPicPr>
      </xdr:nvPicPr>
      <xdr:blipFill>
        <a:blip xmlns:r="http://schemas.openxmlformats.org/officeDocument/2006/relationships" r:embed="rId1" cstate="print"/>
        <a:stretch>
          <a:fillRect/>
        </a:stretch>
      </xdr:blipFill>
      <xdr:spPr>
        <a:xfrm>
          <a:off x="0" y="0"/>
          <a:ext cx="1657143" cy="2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17</xdr:col>
      <xdr:colOff>180975</xdr:colOff>
      <xdr:row>18</xdr:row>
      <xdr:rowOff>133350</xdr:rowOff>
    </xdr:from>
    <xdr:to>
      <xdr:col>17</xdr:col>
      <xdr:colOff>485775</xdr:colOff>
      <xdr:row>18</xdr:row>
      <xdr:rowOff>134938</xdr:rowOff>
    </xdr:to>
    <xdr:cxnSp macro="">
      <xdr:nvCxnSpPr>
        <xdr:cNvPr id="2" name="Gerade Verbindung 346"/>
        <xdr:cNvCxnSpPr/>
      </xdr:nvCxnSpPr>
      <xdr:spPr>
        <a:xfrm rot="10800000">
          <a:off x="6819900" y="371475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33</xdr:row>
      <xdr:rowOff>152400</xdr:rowOff>
    </xdr:from>
    <xdr:to>
      <xdr:col>17</xdr:col>
      <xdr:colOff>485775</xdr:colOff>
      <xdr:row>33</xdr:row>
      <xdr:rowOff>153988</xdr:rowOff>
    </xdr:to>
    <xdr:cxnSp macro="">
      <xdr:nvCxnSpPr>
        <xdr:cNvPr id="3" name="Gerade Verbindung 347"/>
        <xdr:cNvCxnSpPr/>
      </xdr:nvCxnSpPr>
      <xdr:spPr>
        <a:xfrm rot="10800000">
          <a:off x="6819900" y="6162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36</xdr:row>
      <xdr:rowOff>85725</xdr:rowOff>
    </xdr:from>
    <xdr:to>
      <xdr:col>17</xdr:col>
      <xdr:colOff>485775</xdr:colOff>
      <xdr:row>36</xdr:row>
      <xdr:rowOff>87313</xdr:rowOff>
    </xdr:to>
    <xdr:cxnSp macro="">
      <xdr:nvCxnSpPr>
        <xdr:cNvPr id="4" name="Gerade Verbindung 348"/>
        <xdr:cNvCxnSpPr/>
      </xdr:nvCxnSpPr>
      <xdr:spPr>
        <a:xfrm rot="10800000">
          <a:off x="6438900" y="65913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18</xdr:row>
      <xdr:rowOff>152400</xdr:rowOff>
    </xdr:from>
    <xdr:to>
      <xdr:col>17</xdr:col>
      <xdr:colOff>161926</xdr:colOff>
      <xdr:row>30</xdr:row>
      <xdr:rowOff>3</xdr:rowOff>
    </xdr:to>
    <xdr:cxnSp macro="">
      <xdr:nvCxnSpPr>
        <xdr:cNvPr id="5" name="Gerade Verbindung 349"/>
        <xdr:cNvCxnSpPr/>
      </xdr:nvCxnSpPr>
      <xdr:spPr>
        <a:xfrm>
          <a:off x="6800851" y="3733800"/>
          <a:ext cx="0" cy="179070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31</xdr:row>
      <xdr:rowOff>19846</xdr:rowOff>
    </xdr:from>
    <xdr:to>
      <xdr:col>17</xdr:col>
      <xdr:colOff>162719</xdr:colOff>
      <xdr:row>36</xdr:row>
      <xdr:rowOff>85725</xdr:rowOff>
    </xdr:to>
    <xdr:cxnSp macro="">
      <xdr:nvCxnSpPr>
        <xdr:cNvPr id="6" name="Gerade Verbindung 355"/>
        <xdr:cNvCxnSpPr/>
      </xdr:nvCxnSpPr>
      <xdr:spPr>
        <a:xfrm>
          <a:off x="6801644" y="6030121"/>
          <a:ext cx="0" cy="875504"/>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45</xdr:row>
      <xdr:rowOff>66675</xdr:rowOff>
    </xdr:from>
    <xdr:to>
      <xdr:col>17</xdr:col>
      <xdr:colOff>485775</xdr:colOff>
      <xdr:row>45</xdr:row>
      <xdr:rowOff>68263</xdr:rowOff>
    </xdr:to>
    <xdr:cxnSp macro="">
      <xdr:nvCxnSpPr>
        <xdr:cNvPr id="7" name="Gerade Verbindung 357"/>
        <xdr:cNvCxnSpPr/>
      </xdr:nvCxnSpPr>
      <xdr:spPr>
        <a:xfrm rot="10800000">
          <a:off x="6438900" y="90582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49</xdr:row>
      <xdr:rowOff>76200</xdr:rowOff>
    </xdr:from>
    <xdr:to>
      <xdr:col>17</xdr:col>
      <xdr:colOff>485775</xdr:colOff>
      <xdr:row>49</xdr:row>
      <xdr:rowOff>77788</xdr:rowOff>
    </xdr:to>
    <xdr:cxnSp macro="">
      <xdr:nvCxnSpPr>
        <xdr:cNvPr id="8" name="Gerade Verbindung 358"/>
        <xdr:cNvCxnSpPr/>
      </xdr:nvCxnSpPr>
      <xdr:spPr>
        <a:xfrm rot="10800000">
          <a:off x="6819900" y="8677275"/>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45</xdr:row>
      <xdr:rowOff>76200</xdr:rowOff>
    </xdr:from>
    <xdr:to>
      <xdr:col>17</xdr:col>
      <xdr:colOff>161925</xdr:colOff>
      <xdr:row>49</xdr:row>
      <xdr:rowOff>76200</xdr:rowOff>
    </xdr:to>
    <xdr:cxnSp macro="">
      <xdr:nvCxnSpPr>
        <xdr:cNvPr id="9" name="Gerade Verbindung 359"/>
        <xdr:cNvCxnSpPr/>
      </xdr:nvCxnSpPr>
      <xdr:spPr>
        <a:xfrm>
          <a:off x="6800850" y="8029575"/>
          <a:ext cx="0" cy="64770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142875</xdr:colOff>
      <xdr:row>0</xdr:row>
      <xdr:rowOff>0</xdr:rowOff>
    </xdr:from>
    <xdr:ext cx="1476375" cy="1002839"/>
    <xdr:sp macro="" textlink="">
      <xdr:nvSpPr>
        <xdr:cNvPr id="185" name="Textfeld 200"/>
        <xdr:cNvSpPr txBox="1">
          <a:spLocks noChangeAspect="1"/>
        </xdr:cNvSpPr>
      </xdr:nvSpPr>
      <xdr:spPr>
        <a:xfrm>
          <a:off x="6781800"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4</xdr:col>
      <xdr:colOff>285543</xdr:colOff>
      <xdr:row>0</xdr:row>
      <xdr:rowOff>285714</xdr:rowOff>
    </xdr:to>
    <xdr:pic>
      <xdr:nvPicPr>
        <xdr:cNvPr id="186" name="Grafik 202" descr="AHB Logo.png"/>
        <xdr:cNvPicPr>
          <a:picLocks noChangeAspect="1"/>
        </xdr:cNvPicPr>
      </xdr:nvPicPr>
      <xdr:blipFill>
        <a:blip xmlns:r="http://schemas.openxmlformats.org/officeDocument/2006/relationships" r:embed="rId1" cstate="print"/>
        <a:stretch>
          <a:fillRect/>
        </a:stretch>
      </xdr:blipFill>
      <xdr:spPr>
        <a:xfrm>
          <a:off x="0" y="0"/>
          <a:ext cx="1657143" cy="285714"/>
        </a:xfrm>
        <a:prstGeom prst="rect">
          <a:avLst/>
        </a:prstGeom>
      </xdr:spPr>
    </xdr:pic>
    <xdr:clientData/>
  </xdr:twoCellAnchor>
  <xdr:twoCellAnchor>
    <xdr:from>
      <xdr:col>13</xdr:col>
      <xdr:colOff>389829</xdr:colOff>
      <xdr:row>8</xdr:row>
      <xdr:rowOff>58268</xdr:rowOff>
    </xdr:from>
    <xdr:to>
      <xdr:col>14</xdr:col>
      <xdr:colOff>375</xdr:colOff>
      <xdr:row>10</xdr:row>
      <xdr:rowOff>21743</xdr:rowOff>
    </xdr:to>
    <xdr:grpSp>
      <xdr:nvGrpSpPr>
        <xdr:cNvPr id="263" name="Gruppieren 262"/>
        <xdr:cNvGrpSpPr/>
      </xdr:nvGrpSpPr>
      <xdr:grpSpPr>
        <a:xfrm>
          <a:off x="5914329" y="2182343"/>
          <a:ext cx="124896" cy="201600"/>
          <a:chOff x="6665123" y="2144244"/>
          <a:chExt cx="126016" cy="200859"/>
        </a:xfrm>
      </xdr:grpSpPr>
      <xdr:sp macro="" textlink="">
        <xdr:nvSpPr>
          <xdr:cNvPr id="26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5" name="Gerade Verbindung 134"/>
          <xdr:cNvCxnSpPr>
            <a:stCxn id="264" idx="4"/>
            <a:endCxn id="2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13</xdr:row>
      <xdr:rowOff>149285</xdr:rowOff>
    </xdr:from>
    <xdr:to>
      <xdr:col>14</xdr:col>
      <xdr:colOff>375</xdr:colOff>
      <xdr:row>15</xdr:row>
      <xdr:rowOff>25174</xdr:rowOff>
    </xdr:to>
    <xdr:grpSp>
      <xdr:nvGrpSpPr>
        <xdr:cNvPr id="268" name="Gruppieren 267"/>
        <xdr:cNvGrpSpPr/>
      </xdr:nvGrpSpPr>
      <xdr:grpSpPr>
        <a:xfrm>
          <a:off x="5914329" y="2997260"/>
          <a:ext cx="124896" cy="199739"/>
          <a:chOff x="6665123" y="2144244"/>
          <a:chExt cx="126016" cy="200859"/>
        </a:xfrm>
      </xdr:grpSpPr>
      <xdr:sp macro="" textlink="">
        <xdr:nvSpPr>
          <xdr:cNvPr id="27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0" name="Gerade Verbindung 134"/>
          <xdr:cNvCxnSpPr>
            <a:stCxn id="279" idx="4"/>
            <a:endCxn id="2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17</xdr:row>
      <xdr:rowOff>143994</xdr:rowOff>
    </xdr:from>
    <xdr:to>
      <xdr:col>14</xdr:col>
      <xdr:colOff>375</xdr:colOff>
      <xdr:row>19</xdr:row>
      <xdr:rowOff>19882</xdr:rowOff>
    </xdr:to>
    <xdr:grpSp>
      <xdr:nvGrpSpPr>
        <xdr:cNvPr id="283" name="Gruppieren 282"/>
        <xdr:cNvGrpSpPr/>
      </xdr:nvGrpSpPr>
      <xdr:grpSpPr>
        <a:xfrm>
          <a:off x="5914329" y="3639669"/>
          <a:ext cx="124896" cy="199738"/>
          <a:chOff x="6665123" y="2144244"/>
          <a:chExt cx="126016" cy="200859"/>
        </a:xfrm>
      </xdr:grpSpPr>
      <xdr:sp macro="" textlink="">
        <xdr:nvSpPr>
          <xdr:cNvPr id="28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5" name="Gerade Verbindung 134"/>
          <xdr:cNvCxnSpPr>
            <a:stCxn id="284" idx="4"/>
            <a:endCxn id="2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384226</xdr:colOff>
      <xdr:row>14</xdr:row>
      <xdr:rowOff>147419</xdr:rowOff>
    </xdr:from>
    <xdr:to>
      <xdr:col>17</xdr:col>
      <xdr:colOff>510242</xdr:colOff>
      <xdr:row>16</xdr:row>
      <xdr:rowOff>21751</xdr:rowOff>
    </xdr:to>
    <xdr:grpSp>
      <xdr:nvGrpSpPr>
        <xdr:cNvPr id="288" name="Gruppieren 287"/>
        <xdr:cNvGrpSpPr/>
      </xdr:nvGrpSpPr>
      <xdr:grpSpPr>
        <a:xfrm>
          <a:off x="7013626" y="3157319"/>
          <a:ext cx="126016" cy="198182"/>
          <a:chOff x="6665123" y="2144244"/>
          <a:chExt cx="126016" cy="200859"/>
        </a:xfrm>
      </xdr:grpSpPr>
      <xdr:sp macro="" textlink="">
        <xdr:nvSpPr>
          <xdr:cNvPr id="28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0" name="Gerade Verbindung 134"/>
          <xdr:cNvCxnSpPr>
            <a:stCxn id="289" idx="4"/>
            <a:endCxn id="28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21</xdr:row>
      <xdr:rowOff>143993</xdr:rowOff>
    </xdr:from>
    <xdr:to>
      <xdr:col>14</xdr:col>
      <xdr:colOff>375</xdr:colOff>
      <xdr:row>23</xdr:row>
      <xdr:rowOff>19882</xdr:rowOff>
    </xdr:to>
    <xdr:grpSp>
      <xdr:nvGrpSpPr>
        <xdr:cNvPr id="293" name="Gruppieren 292"/>
        <xdr:cNvGrpSpPr/>
      </xdr:nvGrpSpPr>
      <xdr:grpSpPr>
        <a:xfrm>
          <a:off x="5914329" y="4287368"/>
          <a:ext cx="124896" cy="199739"/>
          <a:chOff x="6665123" y="2144244"/>
          <a:chExt cx="126016" cy="200859"/>
        </a:xfrm>
      </xdr:grpSpPr>
      <xdr:sp macro="" textlink="">
        <xdr:nvSpPr>
          <xdr:cNvPr id="29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5" name="Gerade Verbindung 134"/>
          <xdr:cNvCxnSpPr>
            <a:stCxn id="294" idx="4"/>
            <a:endCxn id="29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13</xdr:row>
      <xdr:rowOff>147417</xdr:rowOff>
    </xdr:from>
    <xdr:to>
      <xdr:col>5</xdr:col>
      <xdr:colOff>506766</xdr:colOff>
      <xdr:row>15</xdr:row>
      <xdr:rowOff>21750</xdr:rowOff>
    </xdr:to>
    <xdr:grpSp>
      <xdr:nvGrpSpPr>
        <xdr:cNvPr id="298" name="Gruppieren 297"/>
        <xdr:cNvGrpSpPr/>
      </xdr:nvGrpSpPr>
      <xdr:grpSpPr>
        <a:xfrm>
          <a:off x="2400050" y="2995392"/>
          <a:ext cx="126016" cy="198183"/>
          <a:chOff x="6665123" y="2144244"/>
          <a:chExt cx="126016" cy="200859"/>
        </a:xfrm>
      </xdr:grpSpPr>
      <xdr:sp macro="" textlink="">
        <xdr:nvSpPr>
          <xdr:cNvPr id="29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0" name="Gerade Verbindung 134"/>
          <xdr:cNvCxnSpPr>
            <a:stCxn id="299" idx="4"/>
            <a:endCxn id="29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17</xdr:row>
      <xdr:rowOff>147418</xdr:rowOff>
    </xdr:from>
    <xdr:to>
      <xdr:col>5</xdr:col>
      <xdr:colOff>506766</xdr:colOff>
      <xdr:row>19</xdr:row>
      <xdr:rowOff>21750</xdr:rowOff>
    </xdr:to>
    <xdr:grpSp>
      <xdr:nvGrpSpPr>
        <xdr:cNvPr id="303" name="Gruppieren 302"/>
        <xdr:cNvGrpSpPr/>
      </xdr:nvGrpSpPr>
      <xdr:grpSpPr>
        <a:xfrm>
          <a:off x="2400050" y="3643093"/>
          <a:ext cx="126016" cy="198182"/>
          <a:chOff x="6665123" y="2144244"/>
          <a:chExt cx="126016" cy="200859"/>
        </a:xfrm>
      </xdr:grpSpPr>
      <xdr:sp macro="" textlink="">
        <xdr:nvSpPr>
          <xdr:cNvPr id="30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5" name="Gerade Verbindung 134"/>
          <xdr:cNvCxnSpPr>
            <a:stCxn id="304" idx="4"/>
            <a:endCxn id="30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21</xdr:row>
      <xdr:rowOff>147441</xdr:rowOff>
    </xdr:from>
    <xdr:to>
      <xdr:col>5</xdr:col>
      <xdr:colOff>506766</xdr:colOff>
      <xdr:row>23</xdr:row>
      <xdr:rowOff>21774</xdr:rowOff>
    </xdr:to>
    <xdr:grpSp>
      <xdr:nvGrpSpPr>
        <xdr:cNvPr id="308" name="Gruppieren 307"/>
        <xdr:cNvGrpSpPr/>
      </xdr:nvGrpSpPr>
      <xdr:grpSpPr>
        <a:xfrm>
          <a:off x="2400050" y="4290816"/>
          <a:ext cx="126016" cy="198183"/>
          <a:chOff x="6665123" y="2144244"/>
          <a:chExt cx="126016" cy="200859"/>
        </a:xfrm>
      </xdr:grpSpPr>
      <xdr:sp macro="" textlink="">
        <xdr:nvSpPr>
          <xdr:cNvPr id="30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0" name="Gerade Verbindung 134"/>
          <xdr:cNvCxnSpPr>
            <a:stCxn id="309" idx="4"/>
            <a:endCxn id="30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24</xdr:row>
      <xdr:rowOff>147441</xdr:rowOff>
    </xdr:from>
    <xdr:to>
      <xdr:col>5</xdr:col>
      <xdr:colOff>506766</xdr:colOff>
      <xdr:row>26</xdr:row>
      <xdr:rowOff>21774</xdr:rowOff>
    </xdr:to>
    <xdr:grpSp>
      <xdr:nvGrpSpPr>
        <xdr:cNvPr id="313" name="Gruppieren 312"/>
        <xdr:cNvGrpSpPr/>
      </xdr:nvGrpSpPr>
      <xdr:grpSpPr>
        <a:xfrm>
          <a:off x="2400050" y="4776591"/>
          <a:ext cx="126016" cy="198183"/>
          <a:chOff x="6665123" y="2144244"/>
          <a:chExt cx="126016" cy="200859"/>
        </a:xfrm>
      </xdr:grpSpPr>
      <xdr:sp macro="" textlink="">
        <xdr:nvSpPr>
          <xdr:cNvPr id="31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5" name="Gerade Verbindung 134"/>
          <xdr:cNvCxnSpPr>
            <a:stCxn id="314" idx="4"/>
            <a:endCxn id="31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26</xdr:row>
      <xdr:rowOff>147441</xdr:rowOff>
    </xdr:from>
    <xdr:to>
      <xdr:col>5</xdr:col>
      <xdr:colOff>506766</xdr:colOff>
      <xdr:row>28</xdr:row>
      <xdr:rowOff>21773</xdr:rowOff>
    </xdr:to>
    <xdr:grpSp>
      <xdr:nvGrpSpPr>
        <xdr:cNvPr id="318" name="Gruppieren 317"/>
        <xdr:cNvGrpSpPr/>
      </xdr:nvGrpSpPr>
      <xdr:grpSpPr>
        <a:xfrm>
          <a:off x="2400050" y="5100441"/>
          <a:ext cx="126016" cy="198182"/>
          <a:chOff x="6665123" y="2144244"/>
          <a:chExt cx="126016" cy="200859"/>
        </a:xfrm>
      </xdr:grpSpPr>
      <xdr:sp macro="" textlink="">
        <xdr:nvSpPr>
          <xdr:cNvPr id="31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0" name="Gerade Verbindung 134"/>
          <xdr:cNvCxnSpPr>
            <a:stCxn id="319" idx="4"/>
            <a:endCxn id="31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25</xdr:row>
      <xdr:rowOff>143993</xdr:rowOff>
    </xdr:from>
    <xdr:to>
      <xdr:col>14</xdr:col>
      <xdr:colOff>375</xdr:colOff>
      <xdr:row>27</xdr:row>
      <xdr:rowOff>19882</xdr:rowOff>
    </xdr:to>
    <xdr:grpSp>
      <xdr:nvGrpSpPr>
        <xdr:cNvPr id="323" name="Gruppieren 322"/>
        <xdr:cNvGrpSpPr/>
      </xdr:nvGrpSpPr>
      <xdr:grpSpPr>
        <a:xfrm>
          <a:off x="5914329" y="4935068"/>
          <a:ext cx="124896" cy="199739"/>
          <a:chOff x="6665123" y="2144244"/>
          <a:chExt cx="126016" cy="200859"/>
        </a:xfrm>
      </xdr:grpSpPr>
      <xdr:sp macro="" textlink="">
        <xdr:nvSpPr>
          <xdr:cNvPr id="32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5" name="Gerade Verbindung 134"/>
          <xdr:cNvCxnSpPr>
            <a:stCxn id="324" idx="4"/>
            <a:endCxn id="32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29</xdr:row>
      <xdr:rowOff>147441</xdr:rowOff>
    </xdr:from>
    <xdr:to>
      <xdr:col>5</xdr:col>
      <xdr:colOff>506766</xdr:colOff>
      <xdr:row>31</xdr:row>
      <xdr:rowOff>21773</xdr:rowOff>
    </xdr:to>
    <xdr:grpSp>
      <xdr:nvGrpSpPr>
        <xdr:cNvPr id="328" name="Gruppieren 327"/>
        <xdr:cNvGrpSpPr/>
      </xdr:nvGrpSpPr>
      <xdr:grpSpPr>
        <a:xfrm>
          <a:off x="2400050" y="5586216"/>
          <a:ext cx="126016" cy="198182"/>
          <a:chOff x="6665123" y="2144244"/>
          <a:chExt cx="126016" cy="200859"/>
        </a:xfrm>
      </xdr:grpSpPr>
      <xdr:sp macro="" textlink="">
        <xdr:nvSpPr>
          <xdr:cNvPr id="32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0" name="Gerade Verbindung 134"/>
          <xdr:cNvCxnSpPr>
            <a:stCxn id="329" idx="4"/>
            <a:endCxn id="32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31</xdr:row>
      <xdr:rowOff>147440</xdr:rowOff>
    </xdr:from>
    <xdr:to>
      <xdr:col>5</xdr:col>
      <xdr:colOff>506766</xdr:colOff>
      <xdr:row>33</xdr:row>
      <xdr:rowOff>21773</xdr:rowOff>
    </xdr:to>
    <xdr:grpSp>
      <xdr:nvGrpSpPr>
        <xdr:cNvPr id="333" name="Gruppieren 332"/>
        <xdr:cNvGrpSpPr/>
      </xdr:nvGrpSpPr>
      <xdr:grpSpPr>
        <a:xfrm>
          <a:off x="2400050" y="5910065"/>
          <a:ext cx="126016" cy="198183"/>
          <a:chOff x="6665123" y="2144244"/>
          <a:chExt cx="126016" cy="200859"/>
        </a:xfrm>
      </xdr:grpSpPr>
      <xdr:sp macro="" textlink="">
        <xdr:nvSpPr>
          <xdr:cNvPr id="33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5" name="Gerade Verbindung 134"/>
          <xdr:cNvCxnSpPr>
            <a:stCxn id="334" idx="4"/>
            <a:endCxn id="33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30</xdr:row>
      <xdr:rowOff>143993</xdr:rowOff>
    </xdr:from>
    <xdr:to>
      <xdr:col>14</xdr:col>
      <xdr:colOff>375</xdr:colOff>
      <xdr:row>32</xdr:row>
      <xdr:rowOff>19882</xdr:rowOff>
    </xdr:to>
    <xdr:grpSp>
      <xdr:nvGrpSpPr>
        <xdr:cNvPr id="338" name="Gruppieren 337"/>
        <xdr:cNvGrpSpPr/>
      </xdr:nvGrpSpPr>
      <xdr:grpSpPr>
        <a:xfrm>
          <a:off x="5914329" y="5744693"/>
          <a:ext cx="124896" cy="199739"/>
          <a:chOff x="6665123" y="2144244"/>
          <a:chExt cx="126016" cy="200859"/>
        </a:xfrm>
      </xdr:grpSpPr>
      <xdr:sp macro="" textlink="">
        <xdr:nvSpPr>
          <xdr:cNvPr id="33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0" name="Gerade Verbindung 134"/>
          <xdr:cNvCxnSpPr>
            <a:stCxn id="339" idx="4"/>
            <a:endCxn id="33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384537</xdr:colOff>
      <xdr:row>29</xdr:row>
      <xdr:rowOff>143993</xdr:rowOff>
    </xdr:from>
    <xdr:to>
      <xdr:col>17</xdr:col>
      <xdr:colOff>508375</xdr:colOff>
      <xdr:row>31</xdr:row>
      <xdr:rowOff>19881</xdr:rowOff>
    </xdr:to>
    <xdr:grpSp>
      <xdr:nvGrpSpPr>
        <xdr:cNvPr id="343" name="Gruppieren 342"/>
        <xdr:cNvGrpSpPr/>
      </xdr:nvGrpSpPr>
      <xdr:grpSpPr>
        <a:xfrm>
          <a:off x="7013937" y="5582768"/>
          <a:ext cx="123838" cy="199738"/>
          <a:chOff x="6665123" y="2144244"/>
          <a:chExt cx="126016" cy="200859"/>
        </a:xfrm>
      </xdr:grpSpPr>
      <xdr:sp macro="" textlink="">
        <xdr:nvSpPr>
          <xdr:cNvPr id="34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5" name="Gerade Verbindung 134"/>
          <xdr:cNvCxnSpPr>
            <a:stCxn id="344" idx="4"/>
            <a:endCxn id="34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33</xdr:row>
      <xdr:rowOff>147441</xdr:rowOff>
    </xdr:from>
    <xdr:to>
      <xdr:col>5</xdr:col>
      <xdr:colOff>506766</xdr:colOff>
      <xdr:row>35</xdr:row>
      <xdr:rowOff>21774</xdr:rowOff>
    </xdr:to>
    <xdr:grpSp>
      <xdr:nvGrpSpPr>
        <xdr:cNvPr id="348" name="Gruppieren 347"/>
        <xdr:cNvGrpSpPr/>
      </xdr:nvGrpSpPr>
      <xdr:grpSpPr>
        <a:xfrm>
          <a:off x="2400050" y="6233916"/>
          <a:ext cx="126016" cy="198183"/>
          <a:chOff x="6665123" y="2144244"/>
          <a:chExt cx="126016" cy="200859"/>
        </a:xfrm>
      </xdr:grpSpPr>
      <xdr:sp macro="" textlink="">
        <xdr:nvSpPr>
          <xdr:cNvPr id="34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0" name="Gerade Verbindung 134"/>
          <xdr:cNvCxnSpPr>
            <a:stCxn id="349" idx="4"/>
            <a:endCxn id="34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35</xdr:row>
      <xdr:rowOff>147441</xdr:rowOff>
    </xdr:from>
    <xdr:to>
      <xdr:col>5</xdr:col>
      <xdr:colOff>506766</xdr:colOff>
      <xdr:row>37</xdr:row>
      <xdr:rowOff>21773</xdr:rowOff>
    </xdr:to>
    <xdr:grpSp>
      <xdr:nvGrpSpPr>
        <xdr:cNvPr id="353" name="Gruppieren 352"/>
        <xdr:cNvGrpSpPr/>
      </xdr:nvGrpSpPr>
      <xdr:grpSpPr>
        <a:xfrm>
          <a:off x="2400050" y="6557766"/>
          <a:ext cx="126016" cy="198182"/>
          <a:chOff x="6665123" y="2144244"/>
          <a:chExt cx="126016" cy="200859"/>
        </a:xfrm>
      </xdr:grpSpPr>
      <xdr:sp macro="" textlink="">
        <xdr:nvSpPr>
          <xdr:cNvPr id="35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5" name="Gerade Verbindung 134"/>
          <xdr:cNvCxnSpPr>
            <a:stCxn id="354" idx="4"/>
            <a:endCxn id="35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34</xdr:row>
      <xdr:rowOff>143992</xdr:rowOff>
    </xdr:from>
    <xdr:to>
      <xdr:col>14</xdr:col>
      <xdr:colOff>375</xdr:colOff>
      <xdr:row>36</xdr:row>
      <xdr:rowOff>19881</xdr:rowOff>
    </xdr:to>
    <xdr:grpSp>
      <xdr:nvGrpSpPr>
        <xdr:cNvPr id="358" name="Gruppieren 357"/>
        <xdr:cNvGrpSpPr/>
      </xdr:nvGrpSpPr>
      <xdr:grpSpPr>
        <a:xfrm>
          <a:off x="5914329" y="6392392"/>
          <a:ext cx="124896" cy="199739"/>
          <a:chOff x="6665123" y="2144244"/>
          <a:chExt cx="126016" cy="200859"/>
        </a:xfrm>
      </xdr:grpSpPr>
      <xdr:sp macro="" textlink="">
        <xdr:nvSpPr>
          <xdr:cNvPr id="35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0" name="Gerade Verbindung 134"/>
          <xdr:cNvCxnSpPr>
            <a:stCxn id="359" idx="4"/>
            <a:endCxn id="35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37</xdr:row>
      <xdr:rowOff>143992</xdr:rowOff>
    </xdr:from>
    <xdr:to>
      <xdr:col>14</xdr:col>
      <xdr:colOff>375</xdr:colOff>
      <xdr:row>39</xdr:row>
      <xdr:rowOff>19881</xdr:rowOff>
    </xdr:to>
    <xdr:grpSp>
      <xdr:nvGrpSpPr>
        <xdr:cNvPr id="363" name="Gruppieren 362"/>
        <xdr:cNvGrpSpPr/>
      </xdr:nvGrpSpPr>
      <xdr:grpSpPr>
        <a:xfrm>
          <a:off x="5914329" y="6878167"/>
          <a:ext cx="124896" cy="199739"/>
          <a:chOff x="6665123" y="2144244"/>
          <a:chExt cx="126016" cy="200859"/>
        </a:xfrm>
      </xdr:grpSpPr>
      <xdr:sp macro="" textlink="">
        <xdr:nvSpPr>
          <xdr:cNvPr id="36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5" name="Gerade Verbindung 134"/>
          <xdr:cNvCxnSpPr>
            <a:stCxn id="364" idx="4"/>
            <a:endCxn id="3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39</xdr:row>
      <xdr:rowOff>147441</xdr:rowOff>
    </xdr:from>
    <xdr:to>
      <xdr:col>5</xdr:col>
      <xdr:colOff>506766</xdr:colOff>
      <xdr:row>41</xdr:row>
      <xdr:rowOff>21774</xdr:rowOff>
    </xdr:to>
    <xdr:grpSp>
      <xdr:nvGrpSpPr>
        <xdr:cNvPr id="368" name="Gruppieren 367"/>
        <xdr:cNvGrpSpPr/>
      </xdr:nvGrpSpPr>
      <xdr:grpSpPr>
        <a:xfrm>
          <a:off x="2400050" y="7205466"/>
          <a:ext cx="126016" cy="198183"/>
          <a:chOff x="6665123" y="2144244"/>
          <a:chExt cx="126016" cy="200859"/>
        </a:xfrm>
      </xdr:grpSpPr>
      <xdr:sp macro="" textlink="">
        <xdr:nvSpPr>
          <xdr:cNvPr id="36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0" name="Gerade Verbindung 134"/>
          <xdr:cNvCxnSpPr>
            <a:stCxn id="369" idx="4"/>
            <a:endCxn id="36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37</xdr:row>
      <xdr:rowOff>147438</xdr:rowOff>
    </xdr:from>
    <xdr:to>
      <xdr:col>0</xdr:col>
      <xdr:colOff>129239</xdr:colOff>
      <xdr:row>39</xdr:row>
      <xdr:rowOff>21771</xdr:rowOff>
    </xdr:to>
    <xdr:grpSp>
      <xdr:nvGrpSpPr>
        <xdr:cNvPr id="378" name="Gruppieren 377"/>
        <xdr:cNvGrpSpPr/>
      </xdr:nvGrpSpPr>
      <xdr:grpSpPr>
        <a:xfrm flipH="1">
          <a:off x="3223" y="6881613"/>
          <a:ext cx="126016" cy="198183"/>
          <a:chOff x="6665123" y="2144244"/>
          <a:chExt cx="126016" cy="200859"/>
        </a:xfrm>
      </xdr:grpSpPr>
      <xdr:sp macro="" textlink="">
        <xdr:nvSpPr>
          <xdr:cNvPr id="37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0" name="Gerade Verbindung 134"/>
          <xdr:cNvCxnSpPr>
            <a:stCxn id="379" idx="4"/>
            <a:endCxn id="3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39</xdr:row>
      <xdr:rowOff>147439</xdr:rowOff>
    </xdr:from>
    <xdr:to>
      <xdr:col>10</xdr:col>
      <xdr:colOff>138764</xdr:colOff>
      <xdr:row>41</xdr:row>
      <xdr:rowOff>21772</xdr:rowOff>
    </xdr:to>
    <xdr:grpSp>
      <xdr:nvGrpSpPr>
        <xdr:cNvPr id="383" name="Gruppieren 382"/>
        <xdr:cNvGrpSpPr/>
      </xdr:nvGrpSpPr>
      <xdr:grpSpPr>
        <a:xfrm flipH="1">
          <a:off x="4546648" y="7205464"/>
          <a:ext cx="126016" cy="198183"/>
          <a:chOff x="6665123" y="2144244"/>
          <a:chExt cx="126016" cy="200859"/>
        </a:xfrm>
      </xdr:grpSpPr>
      <xdr:sp macro="" textlink="">
        <xdr:nvSpPr>
          <xdr:cNvPr id="38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5" name="Gerade Verbindung 134"/>
          <xdr:cNvCxnSpPr>
            <a:stCxn id="384" idx="4"/>
            <a:endCxn id="3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41</xdr:row>
      <xdr:rowOff>147439</xdr:rowOff>
    </xdr:from>
    <xdr:to>
      <xdr:col>0</xdr:col>
      <xdr:colOff>129239</xdr:colOff>
      <xdr:row>43</xdr:row>
      <xdr:rowOff>21771</xdr:rowOff>
    </xdr:to>
    <xdr:grpSp>
      <xdr:nvGrpSpPr>
        <xdr:cNvPr id="388" name="Gruppieren 387"/>
        <xdr:cNvGrpSpPr/>
      </xdr:nvGrpSpPr>
      <xdr:grpSpPr>
        <a:xfrm flipH="1">
          <a:off x="3223" y="7529314"/>
          <a:ext cx="126016" cy="198182"/>
          <a:chOff x="6665123" y="2144244"/>
          <a:chExt cx="126016" cy="200859"/>
        </a:xfrm>
      </xdr:grpSpPr>
      <xdr:sp macro="" textlink="">
        <xdr:nvSpPr>
          <xdr:cNvPr id="38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0" name="Gerade Verbindung 134"/>
          <xdr:cNvCxnSpPr>
            <a:stCxn id="389" idx="4"/>
            <a:endCxn id="38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45</xdr:row>
      <xdr:rowOff>147438</xdr:rowOff>
    </xdr:from>
    <xdr:to>
      <xdr:col>0</xdr:col>
      <xdr:colOff>129239</xdr:colOff>
      <xdr:row>47</xdr:row>
      <xdr:rowOff>21771</xdr:rowOff>
    </xdr:to>
    <xdr:grpSp>
      <xdr:nvGrpSpPr>
        <xdr:cNvPr id="393" name="Gruppieren 392"/>
        <xdr:cNvGrpSpPr/>
      </xdr:nvGrpSpPr>
      <xdr:grpSpPr>
        <a:xfrm flipH="1">
          <a:off x="3223" y="8177013"/>
          <a:ext cx="126016" cy="198183"/>
          <a:chOff x="6665123" y="2144244"/>
          <a:chExt cx="126016" cy="200859"/>
        </a:xfrm>
      </xdr:grpSpPr>
      <xdr:sp macro="" textlink="">
        <xdr:nvSpPr>
          <xdr:cNvPr id="39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5" name="Gerade Verbindung 134"/>
          <xdr:cNvCxnSpPr>
            <a:stCxn id="394" idx="4"/>
            <a:endCxn id="39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43</xdr:row>
      <xdr:rowOff>147441</xdr:rowOff>
    </xdr:from>
    <xdr:to>
      <xdr:col>5</xdr:col>
      <xdr:colOff>506766</xdr:colOff>
      <xdr:row>45</xdr:row>
      <xdr:rowOff>21774</xdr:rowOff>
    </xdr:to>
    <xdr:grpSp>
      <xdr:nvGrpSpPr>
        <xdr:cNvPr id="398" name="Gruppieren 397"/>
        <xdr:cNvGrpSpPr/>
      </xdr:nvGrpSpPr>
      <xdr:grpSpPr>
        <a:xfrm>
          <a:off x="2400050" y="7853166"/>
          <a:ext cx="126016" cy="198183"/>
          <a:chOff x="6665123" y="2144244"/>
          <a:chExt cx="126016" cy="200859"/>
        </a:xfrm>
      </xdr:grpSpPr>
      <xdr:sp macro="" textlink="">
        <xdr:nvSpPr>
          <xdr:cNvPr id="39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0" name="Gerade Verbindung 134"/>
          <xdr:cNvCxnSpPr>
            <a:stCxn id="399" idx="4"/>
            <a:endCxn id="39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43</xdr:row>
      <xdr:rowOff>147439</xdr:rowOff>
    </xdr:from>
    <xdr:to>
      <xdr:col>10</xdr:col>
      <xdr:colOff>138764</xdr:colOff>
      <xdr:row>45</xdr:row>
      <xdr:rowOff>21772</xdr:rowOff>
    </xdr:to>
    <xdr:grpSp>
      <xdr:nvGrpSpPr>
        <xdr:cNvPr id="403" name="Gruppieren 402"/>
        <xdr:cNvGrpSpPr/>
      </xdr:nvGrpSpPr>
      <xdr:grpSpPr>
        <a:xfrm flipH="1">
          <a:off x="4546648" y="7853164"/>
          <a:ext cx="126016" cy="198183"/>
          <a:chOff x="6665123" y="2144244"/>
          <a:chExt cx="126016" cy="200859"/>
        </a:xfrm>
      </xdr:grpSpPr>
      <xdr:sp macro="" textlink="">
        <xdr:nvSpPr>
          <xdr:cNvPr id="40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5" name="Gerade Verbindung 134"/>
          <xdr:cNvCxnSpPr>
            <a:stCxn id="404" idx="4"/>
            <a:endCxn id="40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12751</xdr:colOff>
      <xdr:row>42</xdr:row>
      <xdr:rowOff>147418</xdr:rowOff>
    </xdr:from>
    <xdr:to>
      <xdr:col>17</xdr:col>
      <xdr:colOff>138767</xdr:colOff>
      <xdr:row>44</xdr:row>
      <xdr:rowOff>21751</xdr:rowOff>
    </xdr:to>
    <xdr:grpSp>
      <xdr:nvGrpSpPr>
        <xdr:cNvPr id="408" name="Gruppieren 407"/>
        <xdr:cNvGrpSpPr/>
      </xdr:nvGrpSpPr>
      <xdr:grpSpPr>
        <a:xfrm flipH="1">
          <a:off x="6642151" y="7691218"/>
          <a:ext cx="126016" cy="198183"/>
          <a:chOff x="6665123" y="2144244"/>
          <a:chExt cx="126016" cy="200859"/>
        </a:xfrm>
      </xdr:grpSpPr>
      <xdr:sp macro="" textlink="">
        <xdr:nvSpPr>
          <xdr:cNvPr id="40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0" name="Gerade Verbindung 134"/>
          <xdr:cNvCxnSpPr>
            <a:stCxn id="409" idx="4"/>
            <a:endCxn id="40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41</xdr:row>
      <xdr:rowOff>149284</xdr:rowOff>
    </xdr:from>
    <xdr:to>
      <xdr:col>14</xdr:col>
      <xdr:colOff>375</xdr:colOff>
      <xdr:row>43</xdr:row>
      <xdr:rowOff>25172</xdr:rowOff>
    </xdr:to>
    <xdr:grpSp>
      <xdr:nvGrpSpPr>
        <xdr:cNvPr id="413" name="Gruppieren 412"/>
        <xdr:cNvGrpSpPr/>
      </xdr:nvGrpSpPr>
      <xdr:grpSpPr>
        <a:xfrm>
          <a:off x="5914329" y="7531159"/>
          <a:ext cx="124896" cy="199738"/>
          <a:chOff x="6665123" y="2144244"/>
          <a:chExt cx="126016" cy="200859"/>
        </a:xfrm>
      </xdr:grpSpPr>
      <xdr:sp macro="" textlink="">
        <xdr:nvSpPr>
          <xdr:cNvPr id="41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5" name="Gerade Verbindung 134"/>
          <xdr:cNvCxnSpPr>
            <a:stCxn id="414" idx="4"/>
            <a:endCxn id="41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45</xdr:row>
      <xdr:rowOff>143991</xdr:rowOff>
    </xdr:from>
    <xdr:to>
      <xdr:col>14</xdr:col>
      <xdr:colOff>375</xdr:colOff>
      <xdr:row>47</xdr:row>
      <xdr:rowOff>19880</xdr:rowOff>
    </xdr:to>
    <xdr:grpSp>
      <xdr:nvGrpSpPr>
        <xdr:cNvPr id="418" name="Gruppieren 417"/>
        <xdr:cNvGrpSpPr/>
      </xdr:nvGrpSpPr>
      <xdr:grpSpPr>
        <a:xfrm>
          <a:off x="5914329" y="8173566"/>
          <a:ext cx="124896" cy="199739"/>
          <a:chOff x="6665123" y="2144244"/>
          <a:chExt cx="126016" cy="200859"/>
        </a:xfrm>
      </xdr:grpSpPr>
      <xdr:sp macro="" textlink="">
        <xdr:nvSpPr>
          <xdr:cNvPr id="41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0" name="Gerade Verbindung 134"/>
          <xdr:cNvCxnSpPr>
            <a:stCxn id="419" idx="4"/>
            <a:endCxn id="41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47</xdr:row>
      <xdr:rowOff>147440</xdr:rowOff>
    </xdr:from>
    <xdr:to>
      <xdr:col>10</xdr:col>
      <xdr:colOff>138764</xdr:colOff>
      <xdr:row>49</xdr:row>
      <xdr:rowOff>21772</xdr:rowOff>
    </xdr:to>
    <xdr:grpSp>
      <xdr:nvGrpSpPr>
        <xdr:cNvPr id="423" name="Gruppieren 422"/>
        <xdr:cNvGrpSpPr/>
      </xdr:nvGrpSpPr>
      <xdr:grpSpPr>
        <a:xfrm flipH="1">
          <a:off x="4546648" y="8500865"/>
          <a:ext cx="126016" cy="198182"/>
          <a:chOff x="6665123" y="2144244"/>
          <a:chExt cx="126016" cy="200859"/>
        </a:xfrm>
      </xdr:grpSpPr>
      <xdr:sp macro="" textlink="">
        <xdr:nvSpPr>
          <xdr:cNvPr id="42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5" name="Gerade Verbindung 134"/>
          <xdr:cNvCxnSpPr>
            <a:stCxn id="424" idx="4"/>
            <a:endCxn id="42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47</xdr:row>
      <xdr:rowOff>147442</xdr:rowOff>
    </xdr:from>
    <xdr:to>
      <xdr:col>5</xdr:col>
      <xdr:colOff>506766</xdr:colOff>
      <xdr:row>49</xdr:row>
      <xdr:rowOff>21774</xdr:rowOff>
    </xdr:to>
    <xdr:grpSp>
      <xdr:nvGrpSpPr>
        <xdr:cNvPr id="428" name="Gruppieren 427"/>
        <xdr:cNvGrpSpPr/>
      </xdr:nvGrpSpPr>
      <xdr:grpSpPr>
        <a:xfrm>
          <a:off x="2400050" y="8500867"/>
          <a:ext cx="126016" cy="198182"/>
          <a:chOff x="6665123" y="2144244"/>
          <a:chExt cx="126016" cy="200859"/>
        </a:xfrm>
      </xdr:grpSpPr>
      <xdr:sp macro="" textlink="">
        <xdr:nvSpPr>
          <xdr:cNvPr id="42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0" name="Gerade Verbindung 134"/>
          <xdr:cNvCxnSpPr>
            <a:stCxn id="429" idx="4"/>
            <a:endCxn id="42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49</xdr:row>
      <xdr:rowOff>151304</xdr:rowOff>
    </xdr:from>
    <xdr:to>
      <xdr:col>0</xdr:col>
      <xdr:colOff>129239</xdr:colOff>
      <xdr:row>51</xdr:row>
      <xdr:rowOff>17904</xdr:rowOff>
    </xdr:to>
    <xdr:grpSp>
      <xdr:nvGrpSpPr>
        <xdr:cNvPr id="433" name="Gruppieren 432"/>
        <xdr:cNvGrpSpPr/>
      </xdr:nvGrpSpPr>
      <xdr:grpSpPr>
        <a:xfrm flipH="1">
          <a:off x="3223" y="8828579"/>
          <a:ext cx="126016" cy="190450"/>
          <a:chOff x="6665123" y="2144244"/>
          <a:chExt cx="126016" cy="200859"/>
        </a:xfrm>
      </xdr:grpSpPr>
      <xdr:sp macro="" textlink="">
        <xdr:nvSpPr>
          <xdr:cNvPr id="43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5" name="Gerade Verbindung 134"/>
          <xdr:cNvCxnSpPr>
            <a:stCxn id="434" idx="4"/>
            <a:endCxn id="43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50</xdr:row>
      <xdr:rowOff>147440</xdr:rowOff>
    </xdr:from>
    <xdr:to>
      <xdr:col>10</xdr:col>
      <xdr:colOff>138764</xdr:colOff>
      <xdr:row>52</xdr:row>
      <xdr:rowOff>21772</xdr:rowOff>
    </xdr:to>
    <xdr:grpSp>
      <xdr:nvGrpSpPr>
        <xdr:cNvPr id="438" name="Gruppieren 437"/>
        <xdr:cNvGrpSpPr/>
      </xdr:nvGrpSpPr>
      <xdr:grpSpPr>
        <a:xfrm flipH="1">
          <a:off x="4546648" y="8986640"/>
          <a:ext cx="126016" cy="198182"/>
          <a:chOff x="6665123" y="2144244"/>
          <a:chExt cx="126016" cy="200859"/>
        </a:xfrm>
      </xdr:grpSpPr>
      <xdr:sp macro="" textlink="">
        <xdr:nvSpPr>
          <xdr:cNvPr id="43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0" name="Gerade Verbindung 134"/>
          <xdr:cNvCxnSpPr>
            <a:stCxn id="439" idx="4"/>
            <a:endCxn id="43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57</xdr:row>
      <xdr:rowOff>147442</xdr:rowOff>
    </xdr:from>
    <xdr:to>
      <xdr:col>5</xdr:col>
      <xdr:colOff>506766</xdr:colOff>
      <xdr:row>59</xdr:row>
      <xdr:rowOff>21775</xdr:rowOff>
    </xdr:to>
    <xdr:grpSp>
      <xdr:nvGrpSpPr>
        <xdr:cNvPr id="448" name="Gruppieren 447"/>
        <xdr:cNvGrpSpPr/>
      </xdr:nvGrpSpPr>
      <xdr:grpSpPr>
        <a:xfrm>
          <a:off x="2400050" y="10034392"/>
          <a:ext cx="126016" cy="198183"/>
          <a:chOff x="6665123" y="2144244"/>
          <a:chExt cx="126016" cy="200859"/>
        </a:xfrm>
      </xdr:grpSpPr>
      <xdr:sp macro="" textlink="">
        <xdr:nvSpPr>
          <xdr:cNvPr id="44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0" name="Gerade Verbindung 134"/>
          <xdr:cNvCxnSpPr>
            <a:stCxn id="449" idx="4"/>
            <a:endCxn id="44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56</xdr:row>
      <xdr:rowOff>143991</xdr:rowOff>
    </xdr:from>
    <xdr:to>
      <xdr:col>14</xdr:col>
      <xdr:colOff>375</xdr:colOff>
      <xdr:row>58</xdr:row>
      <xdr:rowOff>19879</xdr:rowOff>
    </xdr:to>
    <xdr:grpSp>
      <xdr:nvGrpSpPr>
        <xdr:cNvPr id="453" name="Gruppieren 452"/>
        <xdr:cNvGrpSpPr/>
      </xdr:nvGrpSpPr>
      <xdr:grpSpPr>
        <a:xfrm>
          <a:off x="5914329" y="9869016"/>
          <a:ext cx="124896" cy="199738"/>
          <a:chOff x="6665123" y="2144244"/>
          <a:chExt cx="126016" cy="200859"/>
        </a:xfrm>
      </xdr:grpSpPr>
      <xdr:sp macro="" textlink="">
        <xdr:nvSpPr>
          <xdr:cNvPr id="45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5" name="Gerade Verbindung 134"/>
          <xdr:cNvCxnSpPr>
            <a:stCxn id="454" idx="4"/>
            <a:endCxn id="45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58</xdr:row>
      <xdr:rowOff>143990</xdr:rowOff>
    </xdr:from>
    <xdr:to>
      <xdr:col>14</xdr:col>
      <xdr:colOff>375</xdr:colOff>
      <xdr:row>60</xdr:row>
      <xdr:rowOff>19879</xdr:rowOff>
    </xdr:to>
    <xdr:grpSp>
      <xdr:nvGrpSpPr>
        <xdr:cNvPr id="458" name="Gruppieren 457"/>
        <xdr:cNvGrpSpPr/>
      </xdr:nvGrpSpPr>
      <xdr:grpSpPr>
        <a:xfrm>
          <a:off x="5914329" y="10192865"/>
          <a:ext cx="124896" cy="199739"/>
          <a:chOff x="6665123" y="2144244"/>
          <a:chExt cx="126016" cy="200859"/>
        </a:xfrm>
      </xdr:grpSpPr>
      <xdr:sp macro="" textlink="">
        <xdr:nvSpPr>
          <xdr:cNvPr id="45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0" name="Gerade Verbindung 134"/>
          <xdr:cNvCxnSpPr>
            <a:stCxn id="459" idx="4"/>
            <a:endCxn id="45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12751</xdr:colOff>
      <xdr:row>56</xdr:row>
      <xdr:rowOff>147417</xdr:rowOff>
    </xdr:from>
    <xdr:to>
      <xdr:col>15</xdr:col>
      <xdr:colOff>138767</xdr:colOff>
      <xdr:row>58</xdr:row>
      <xdr:rowOff>21749</xdr:rowOff>
    </xdr:to>
    <xdr:grpSp>
      <xdr:nvGrpSpPr>
        <xdr:cNvPr id="463" name="Gruppieren 462"/>
        <xdr:cNvGrpSpPr/>
      </xdr:nvGrpSpPr>
      <xdr:grpSpPr>
        <a:xfrm flipH="1">
          <a:off x="6223051" y="9872442"/>
          <a:ext cx="126016" cy="198182"/>
          <a:chOff x="6665123" y="2144244"/>
          <a:chExt cx="126016" cy="200859"/>
        </a:xfrm>
      </xdr:grpSpPr>
      <xdr:sp macro="" textlink="">
        <xdr:nvSpPr>
          <xdr:cNvPr id="46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5" name="Gerade Verbindung 134"/>
          <xdr:cNvCxnSpPr>
            <a:stCxn id="464" idx="4"/>
            <a:endCxn id="4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17739</xdr:colOff>
      <xdr:row>63</xdr:row>
      <xdr:rowOff>147416</xdr:rowOff>
    </xdr:from>
    <xdr:to>
      <xdr:col>10</xdr:col>
      <xdr:colOff>143755</xdr:colOff>
      <xdr:row>65</xdr:row>
      <xdr:rowOff>21749</xdr:rowOff>
    </xdr:to>
    <xdr:grpSp>
      <xdr:nvGrpSpPr>
        <xdr:cNvPr id="468" name="Gruppieren 467"/>
        <xdr:cNvGrpSpPr/>
      </xdr:nvGrpSpPr>
      <xdr:grpSpPr>
        <a:xfrm flipH="1">
          <a:off x="4551639" y="11005916"/>
          <a:ext cx="126016" cy="198183"/>
          <a:chOff x="6665123" y="2144244"/>
          <a:chExt cx="126016" cy="200859"/>
        </a:xfrm>
      </xdr:grpSpPr>
      <xdr:sp macro="" textlink="">
        <xdr:nvSpPr>
          <xdr:cNvPr id="46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0" name="Gerade Verbindung 134"/>
          <xdr:cNvCxnSpPr>
            <a:stCxn id="469" idx="4"/>
            <a:endCxn id="46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65</xdr:row>
      <xdr:rowOff>159909</xdr:rowOff>
    </xdr:from>
    <xdr:to>
      <xdr:col>14</xdr:col>
      <xdr:colOff>375</xdr:colOff>
      <xdr:row>67</xdr:row>
      <xdr:rowOff>16403</xdr:rowOff>
    </xdr:to>
    <xdr:grpSp>
      <xdr:nvGrpSpPr>
        <xdr:cNvPr id="473" name="Gruppieren 472"/>
        <xdr:cNvGrpSpPr/>
      </xdr:nvGrpSpPr>
      <xdr:grpSpPr>
        <a:xfrm>
          <a:off x="5914329" y="11342259"/>
          <a:ext cx="124896" cy="180344"/>
          <a:chOff x="6665123" y="2144244"/>
          <a:chExt cx="126016" cy="200859"/>
        </a:xfrm>
      </xdr:grpSpPr>
      <xdr:sp macro="" textlink="">
        <xdr:nvSpPr>
          <xdr:cNvPr id="47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5" name="Gerade Verbindung 134"/>
          <xdr:cNvCxnSpPr>
            <a:stCxn id="474" idx="4"/>
            <a:endCxn id="47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383069</xdr:colOff>
      <xdr:row>68</xdr:row>
      <xdr:rowOff>147417</xdr:rowOff>
    </xdr:from>
    <xdr:to>
      <xdr:col>5</xdr:col>
      <xdr:colOff>509085</xdr:colOff>
      <xdr:row>70</xdr:row>
      <xdr:rowOff>21750</xdr:rowOff>
    </xdr:to>
    <xdr:grpSp>
      <xdr:nvGrpSpPr>
        <xdr:cNvPr id="478" name="Gruppieren 477"/>
        <xdr:cNvGrpSpPr/>
      </xdr:nvGrpSpPr>
      <xdr:grpSpPr>
        <a:xfrm>
          <a:off x="2402369" y="11815542"/>
          <a:ext cx="126016" cy="198183"/>
          <a:chOff x="6665123" y="2144244"/>
          <a:chExt cx="126016" cy="200859"/>
        </a:xfrm>
      </xdr:grpSpPr>
      <xdr:sp macro="" textlink="">
        <xdr:nvSpPr>
          <xdr:cNvPr id="47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0" name="Gerade Verbindung 134"/>
          <xdr:cNvCxnSpPr>
            <a:stCxn id="479" idx="4"/>
            <a:endCxn id="4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68</xdr:row>
      <xdr:rowOff>143990</xdr:rowOff>
    </xdr:from>
    <xdr:to>
      <xdr:col>14</xdr:col>
      <xdr:colOff>375</xdr:colOff>
      <xdr:row>70</xdr:row>
      <xdr:rowOff>19879</xdr:rowOff>
    </xdr:to>
    <xdr:grpSp>
      <xdr:nvGrpSpPr>
        <xdr:cNvPr id="483" name="Gruppieren 482"/>
        <xdr:cNvGrpSpPr/>
      </xdr:nvGrpSpPr>
      <xdr:grpSpPr>
        <a:xfrm>
          <a:off x="5914329" y="11812115"/>
          <a:ext cx="124896" cy="199739"/>
          <a:chOff x="6665123" y="2144244"/>
          <a:chExt cx="126016" cy="200859"/>
        </a:xfrm>
      </xdr:grpSpPr>
      <xdr:sp macro="" textlink="">
        <xdr:nvSpPr>
          <xdr:cNvPr id="48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5" name="Gerade Verbindung 134"/>
          <xdr:cNvCxnSpPr>
            <a:stCxn id="484" idx="4"/>
            <a:endCxn id="4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384537</xdr:colOff>
      <xdr:row>68</xdr:row>
      <xdr:rowOff>143990</xdr:rowOff>
    </xdr:from>
    <xdr:to>
      <xdr:col>17</xdr:col>
      <xdr:colOff>508375</xdr:colOff>
      <xdr:row>70</xdr:row>
      <xdr:rowOff>19879</xdr:rowOff>
    </xdr:to>
    <xdr:grpSp>
      <xdr:nvGrpSpPr>
        <xdr:cNvPr id="488" name="Gruppieren 487"/>
        <xdr:cNvGrpSpPr/>
      </xdr:nvGrpSpPr>
      <xdr:grpSpPr>
        <a:xfrm>
          <a:off x="7013937" y="11812115"/>
          <a:ext cx="123838" cy="199739"/>
          <a:chOff x="6665123" y="2144244"/>
          <a:chExt cx="126016" cy="200859"/>
        </a:xfrm>
      </xdr:grpSpPr>
      <xdr:sp macro="" textlink="">
        <xdr:nvSpPr>
          <xdr:cNvPr id="489"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0" name="Gerade Verbindung 134"/>
          <xdr:cNvCxnSpPr>
            <a:stCxn id="489" idx="4"/>
            <a:endCxn id="48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1"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2"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3224</xdr:colOff>
      <xdr:row>71</xdr:row>
      <xdr:rowOff>147418</xdr:rowOff>
    </xdr:from>
    <xdr:to>
      <xdr:col>0</xdr:col>
      <xdr:colOff>129240</xdr:colOff>
      <xdr:row>73</xdr:row>
      <xdr:rowOff>21751</xdr:rowOff>
    </xdr:to>
    <xdr:grpSp>
      <xdr:nvGrpSpPr>
        <xdr:cNvPr id="493" name="Gruppieren 492"/>
        <xdr:cNvGrpSpPr/>
      </xdr:nvGrpSpPr>
      <xdr:grpSpPr>
        <a:xfrm flipH="1">
          <a:off x="3224" y="12301318"/>
          <a:ext cx="126016" cy="198183"/>
          <a:chOff x="6665123" y="2144244"/>
          <a:chExt cx="126016" cy="200859"/>
        </a:xfrm>
      </xdr:grpSpPr>
      <xdr:sp macro="" textlink="">
        <xdr:nvSpPr>
          <xdr:cNvPr id="49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5" name="Gerade Verbindung 134"/>
          <xdr:cNvCxnSpPr>
            <a:stCxn id="494" idx="4"/>
            <a:endCxn id="49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10</xdr:row>
      <xdr:rowOff>143993</xdr:rowOff>
    </xdr:from>
    <xdr:to>
      <xdr:col>14</xdr:col>
      <xdr:colOff>375</xdr:colOff>
      <xdr:row>12</xdr:row>
      <xdr:rowOff>19882</xdr:rowOff>
    </xdr:to>
    <xdr:grpSp>
      <xdr:nvGrpSpPr>
        <xdr:cNvPr id="232" name="Gruppieren 231"/>
        <xdr:cNvGrpSpPr/>
      </xdr:nvGrpSpPr>
      <xdr:grpSpPr>
        <a:xfrm>
          <a:off x="5914329" y="2506193"/>
          <a:ext cx="124896" cy="199739"/>
          <a:chOff x="6665123" y="2144244"/>
          <a:chExt cx="126016" cy="200859"/>
        </a:xfrm>
      </xdr:grpSpPr>
      <xdr:sp macro="" textlink="">
        <xdr:nvSpPr>
          <xdr:cNvPr id="233"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51</xdr:row>
      <xdr:rowOff>147442</xdr:rowOff>
    </xdr:from>
    <xdr:to>
      <xdr:col>5</xdr:col>
      <xdr:colOff>506766</xdr:colOff>
      <xdr:row>53</xdr:row>
      <xdr:rowOff>21774</xdr:rowOff>
    </xdr:to>
    <xdr:grpSp>
      <xdr:nvGrpSpPr>
        <xdr:cNvPr id="252" name="Gruppieren 251"/>
        <xdr:cNvGrpSpPr/>
      </xdr:nvGrpSpPr>
      <xdr:grpSpPr>
        <a:xfrm>
          <a:off x="2400050" y="9148567"/>
          <a:ext cx="126016" cy="198182"/>
          <a:chOff x="6665123" y="2144244"/>
          <a:chExt cx="126016" cy="200859"/>
        </a:xfrm>
      </xdr:grpSpPr>
      <xdr:sp macro="" textlink="">
        <xdr:nvSpPr>
          <xdr:cNvPr id="253"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4" name="Gerade Verbindung 134"/>
          <xdr:cNvCxnSpPr>
            <a:stCxn id="253" idx="4"/>
            <a:endCxn id="25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5"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53</xdr:row>
      <xdr:rowOff>141779</xdr:rowOff>
    </xdr:from>
    <xdr:to>
      <xdr:col>0</xdr:col>
      <xdr:colOff>129239</xdr:colOff>
      <xdr:row>55</xdr:row>
      <xdr:rowOff>19529</xdr:rowOff>
    </xdr:to>
    <xdr:grpSp>
      <xdr:nvGrpSpPr>
        <xdr:cNvPr id="273" name="Gruppieren 272"/>
        <xdr:cNvGrpSpPr/>
      </xdr:nvGrpSpPr>
      <xdr:grpSpPr>
        <a:xfrm flipH="1">
          <a:off x="3223" y="9466754"/>
          <a:ext cx="126016" cy="201600"/>
          <a:chOff x="6665123" y="2144244"/>
          <a:chExt cx="126016" cy="200859"/>
        </a:xfrm>
      </xdr:grpSpPr>
      <xdr:sp macro="" textlink="">
        <xdr:nvSpPr>
          <xdr:cNvPr id="274"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5" name="Gerade Verbindung 134"/>
          <xdr:cNvCxnSpPr>
            <a:stCxn id="274" idx="4"/>
            <a:endCxn id="27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6"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7"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180975</xdr:colOff>
      <xdr:row>19</xdr:row>
      <xdr:rowOff>0</xdr:rowOff>
    </xdr:from>
    <xdr:to>
      <xdr:col>17</xdr:col>
      <xdr:colOff>485775</xdr:colOff>
      <xdr:row>19</xdr:row>
      <xdr:rowOff>1588</xdr:rowOff>
    </xdr:to>
    <xdr:cxnSp macro="">
      <xdr:nvCxnSpPr>
        <xdr:cNvPr id="2" name="Gerade Verbindung 346"/>
        <xdr:cNvCxnSpPr/>
      </xdr:nvCxnSpPr>
      <xdr:spPr>
        <a:xfrm rot="10800000">
          <a:off x="6819900" y="37433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34</xdr:row>
      <xdr:rowOff>9525</xdr:rowOff>
    </xdr:from>
    <xdr:to>
      <xdr:col>17</xdr:col>
      <xdr:colOff>485775</xdr:colOff>
      <xdr:row>34</xdr:row>
      <xdr:rowOff>11113</xdr:rowOff>
    </xdr:to>
    <xdr:cxnSp macro="">
      <xdr:nvCxnSpPr>
        <xdr:cNvPr id="3" name="Gerade Verbindung 347"/>
        <xdr:cNvCxnSpPr/>
      </xdr:nvCxnSpPr>
      <xdr:spPr>
        <a:xfrm rot="10800000">
          <a:off x="6819900" y="61817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36</xdr:row>
      <xdr:rowOff>63313</xdr:rowOff>
    </xdr:from>
    <xdr:to>
      <xdr:col>17</xdr:col>
      <xdr:colOff>485775</xdr:colOff>
      <xdr:row>36</xdr:row>
      <xdr:rowOff>64901</xdr:rowOff>
    </xdr:to>
    <xdr:cxnSp macro="">
      <xdr:nvCxnSpPr>
        <xdr:cNvPr id="4" name="Gerade Verbindung 348"/>
        <xdr:cNvCxnSpPr/>
      </xdr:nvCxnSpPr>
      <xdr:spPr>
        <a:xfrm rot="10800000">
          <a:off x="6803651" y="6405842"/>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19</xdr:row>
      <xdr:rowOff>9525</xdr:rowOff>
    </xdr:from>
    <xdr:to>
      <xdr:col>17</xdr:col>
      <xdr:colOff>161926</xdr:colOff>
      <xdr:row>30</xdr:row>
      <xdr:rowOff>3</xdr:rowOff>
    </xdr:to>
    <xdr:cxnSp macro="">
      <xdr:nvCxnSpPr>
        <xdr:cNvPr id="5" name="Gerade Verbindung 349"/>
        <xdr:cNvCxnSpPr/>
      </xdr:nvCxnSpPr>
      <xdr:spPr>
        <a:xfrm>
          <a:off x="6800851" y="3752850"/>
          <a:ext cx="0" cy="177165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31</xdr:row>
      <xdr:rowOff>19846</xdr:rowOff>
    </xdr:from>
    <xdr:to>
      <xdr:col>17</xdr:col>
      <xdr:colOff>162719</xdr:colOff>
      <xdr:row>36</xdr:row>
      <xdr:rowOff>67236</xdr:rowOff>
    </xdr:to>
    <xdr:cxnSp macro="">
      <xdr:nvCxnSpPr>
        <xdr:cNvPr id="6" name="Gerade Verbindung 355"/>
        <xdr:cNvCxnSpPr/>
      </xdr:nvCxnSpPr>
      <xdr:spPr>
        <a:xfrm>
          <a:off x="6785395" y="5577964"/>
          <a:ext cx="0" cy="831801"/>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45</xdr:row>
      <xdr:rowOff>66675</xdr:rowOff>
    </xdr:from>
    <xdr:to>
      <xdr:col>17</xdr:col>
      <xdr:colOff>485775</xdr:colOff>
      <xdr:row>45</xdr:row>
      <xdr:rowOff>68263</xdr:rowOff>
    </xdr:to>
    <xdr:cxnSp macro="">
      <xdr:nvCxnSpPr>
        <xdr:cNvPr id="7" name="Gerade Verbindung 357"/>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49</xdr:row>
      <xdr:rowOff>76200</xdr:rowOff>
    </xdr:from>
    <xdr:to>
      <xdr:col>17</xdr:col>
      <xdr:colOff>485775</xdr:colOff>
      <xdr:row>49</xdr:row>
      <xdr:rowOff>77788</xdr:rowOff>
    </xdr:to>
    <xdr:cxnSp macro="">
      <xdr:nvCxnSpPr>
        <xdr:cNvPr id="8" name="Gerade Verbindung 358"/>
        <xdr:cNvCxnSpPr/>
      </xdr:nvCxnSpPr>
      <xdr:spPr>
        <a:xfrm rot="10800000">
          <a:off x="6819900" y="8677275"/>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45</xdr:row>
      <xdr:rowOff>76200</xdr:rowOff>
    </xdr:from>
    <xdr:to>
      <xdr:col>17</xdr:col>
      <xdr:colOff>161925</xdr:colOff>
      <xdr:row>49</xdr:row>
      <xdr:rowOff>76200</xdr:rowOff>
    </xdr:to>
    <xdr:cxnSp macro="">
      <xdr:nvCxnSpPr>
        <xdr:cNvPr id="9" name="Gerade Verbindung 359"/>
        <xdr:cNvCxnSpPr/>
      </xdr:nvCxnSpPr>
      <xdr:spPr>
        <a:xfrm>
          <a:off x="6800850" y="8029575"/>
          <a:ext cx="0" cy="64770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142875</xdr:colOff>
      <xdr:row>0</xdr:row>
      <xdr:rowOff>0</xdr:rowOff>
    </xdr:from>
    <xdr:ext cx="1476375" cy="1002839"/>
    <xdr:sp macro="" textlink="">
      <xdr:nvSpPr>
        <xdr:cNvPr id="175" name="Textfeld 200"/>
        <xdr:cNvSpPr txBox="1">
          <a:spLocks noChangeAspect="1"/>
        </xdr:cNvSpPr>
      </xdr:nvSpPr>
      <xdr:spPr>
        <a:xfrm>
          <a:off x="6781800"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4</xdr:col>
      <xdr:colOff>285543</xdr:colOff>
      <xdr:row>0</xdr:row>
      <xdr:rowOff>285714</xdr:rowOff>
    </xdr:to>
    <xdr:pic>
      <xdr:nvPicPr>
        <xdr:cNvPr id="176" name="Grafik 202" descr="AHB Logo.png"/>
        <xdr:cNvPicPr>
          <a:picLocks noChangeAspect="1"/>
        </xdr:cNvPicPr>
      </xdr:nvPicPr>
      <xdr:blipFill>
        <a:blip xmlns:r="http://schemas.openxmlformats.org/officeDocument/2006/relationships" r:embed="rId1" cstate="print"/>
        <a:stretch>
          <a:fillRect/>
        </a:stretch>
      </xdr:blipFill>
      <xdr:spPr>
        <a:xfrm>
          <a:off x="0" y="0"/>
          <a:ext cx="1657143" cy="285714"/>
        </a:xfrm>
        <a:prstGeom prst="rect">
          <a:avLst/>
        </a:prstGeom>
      </xdr:spPr>
    </xdr:pic>
    <xdr:clientData/>
  </xdr:twoCellAnchor>
  <xdr:twoCellAnchor>
    <xdr:from>
      <xdr:col>13</xdr:col>
      <xdr:colOff>390044</xdr:colOff>
      <xdr:row>8</xdr:row>
      <xdr:rowOff>56091</xdr:rowOff>
    </xdr:from>
    <xdr:to>
      <xdr:col>14</xdr:col>
      <xdr:colOff>1540</xdr:colOff>
      <xdr:row>10</xdr:row>
      <xdr:rowOff>19566</xdr:rowOff>
    </xdr:to>
    <xdr:grpSp>
      <xdr:nvGrpSpPr>
        <xdr:cNvPr id="289" name="Gruppieren 288"/>
        <xdr:cNvGrpSpPr/>
      </xdr:nvGrpSpPr>
      <xdr:grpSpPr>
        <a:xfrm>
          <a:off x="5914544" y="2180166"/>
          <a:ext cx="125846" cy="201600"/>
          <a:chOff x="6665123" y="2144244"/>
          <a:chExt cx="126016" cy="200859"/>
        </a:xfrm>
      </xdr:grpSpPr>
      <xdr:sp macro="" textlink="">
        <xdr:nvSpPr>
          <xdr:cNvPr id="29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1" name="Gerade Verbindung 134"/>
          <xdr:cNvCxnSpPr>
            <a:stCxn id="290" idx="4"/>
            <a:endCxn id="2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13</xdr:row>
      <xdr:rowOff>141817</xdr:rowOff>
    </xdr:from>
    <xdr:to>
      <xdr:col>5</xdr:col>
      <xdr:colOff>509323</xdr:colOff>
      <xdr:row>15</xdr:row>
      <xdr:rowOff>21570</xdr:rowOff>
    </xdr:to>
    <xdr:grpSp>
      <xdr:nvGrpSpPr>
        <xdr:cNvPr id="294" name="Gruppieren 293"/>
        <xdr:cNvGrpSpPr/>
      </xdr:nvGrpSpPr>
      <xdr:grpSpPr>
        <a:xfrm>
          <a:off x="2400771" y="2989792"/>
          <a:ext cx="127852" cy="203603"/>
          <a:chOff x="6665123" y="2144244"/>
          <a:chExt cx="126016" cy="200859"/>
        </a:xfrm>
      </xdr:grpSpPr>
      <xdr:sp macro="" textlink="">
        <xdr:nvSpPr>
          <xdr:cNvPr id="29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6" name="Gerade Verbindung 134"/>
          <xdr:cNvCxnSpPr>
            <a:stCxn id="295" idx="4"/>
            <a:endCxn id="2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13</xdr:row>
      <xdr:rowOff>141817</xdr:rowOff>
    </xdr:from>
    <xdr:to>
      <xdr:col>14</xdr:col>
      <xdr:colOff>1540</xdr:colOff>
      <xdr:row>15</xdr:row>
      <xdr:rowOff>21570</xdr:rowOff>
    </xdr:to>
    <xdr:grpSp>
      <xdr:nvGrpSpPr>
        <xdr:cNvPr id="299" name="Gruppieren 298"/>
        <xdr:cNvGrpSpPr/>
      </xdr:nvGrpSpPr>
      <xdr:grpSpPr>
        <a:xfrm>
          <a:off x="5914544" y="2989792"/>
          <a:ext cx="125846" cy="203603"/>
          <a:chOff x="6665123" y="2144244"/>
          <a:chExt cx="126016" cy="200859"/>
        </a:xfrm>
      </xdr:grpSpPr>
      <xdr:sp macro="" textlink="">
        <xdr:nvSpPr>
          <xdr:cNvPr id="30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1" name="Gerade Verbindung 134"/>
          <xdr:cNvCxnSpPr>
            <a:stCxn id="300" idx="4"/>
            <a:endCxn id="3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381471</xdr:colOff>
      <xdr:row>14</xdr:row>
      <xdr:rowOff>141819</xdr:rowOff>
    </xdr:from>
    <xdr:to>
      <xdr:col>17</xdr:col>
      <xdr:colOff>509323</xdr:colOff>
      <xdr:row>16</xdr:row>
      <xdr:rowOff>21572</xdr:rowOff>
    </xdr:to>
    <xdr:grpSp>
      <xdr:nvGrpSpPr>
        <xdr:cNvPr id="304" name="Gruppieren 303"/>
        <xdr:cNvGrpSpPr/>
      </xdr:nvGrpSpPr>
      <xdr:grpSpPr>
        <a:xfrm>
          <a:off x="7010871" y="3151719"/>
          <a:ext cx="127852" cy="203603"/>
          <a:chOff x="6665123" y="2144244"/>
          <a:chExt cx="126016" cy="200859"/>
        </a:xfrm>
      </xdr:grpSpPr>
      <xdr:sp macro="" textlink="">
        <xdr:nvSpPr>
          <xdr:cNvPr id="30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6" name="Gerade Verbindung 134"/>
          <xdr:cNvCxnSpPr>
            <a:stCxn id="305" idx="4"/>
            <a:endCxn id="3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17</xdr:row>
      <xdr:rowOff>141817</xdr:rowOff>
    </xdr:from>
    <xdr:to>
      <xdr:col>5</xdr:col>
      <xdr:colOff>509323</xdr:colOff>
      <xdr:row>19</xdr:row>
      <xdr:rowOff>21570</xdr:rowOff>
    </xdr:to>
    <xdr:grpSp>
      <xdr:nvGrpSpPr>
        <xdr:cNvPr id="309" name="Gruppieren 308"/>
        <xdr:cNvGrpSpPr/>
      </xdr:nvGrpSpPr>
      <xdr:grpSpPr>
        <a:xfrm>
          <a:off x="2400771" y="3637492"/>
          <a:ext cx="127852" cy="203603"/>
          <a:chOff x="6665123" y="2144244"/>
          <a:chExt cx="126016" cy="200859"/>
        </a:xfrm>
      </xdr:grpSpPr>
      <xdr:sp macro="" textlink="">
        <xdr:nvSpPr>
          <xdr:cNvPr id="31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1" name="Gerade Verbindung 134"/>
          <xdr:cNvCxnSpPr>
            <a:stCxn id="310" idx="4"/>
            <a:endCxn id="3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21</xdr:row>
      <xdr:rowOff>141817</xdr:rowOff>
    </xdr:from>
    <xdr:to>
      <xdr:col>5</xdr:col>
      <xdr:colOff>509323</xdr:colOff>
      <xdr:row>23</xdr:row>
      <xdr:rowOff>21570</xdr:rowOff>
    </xdr:to>
    <xdr:grpSp>
      <xdr:nvGrpSpPr>
        <xdr:cNvPr id="314" name="Gruppieren 313"/>
        <xdr:cNvGrpSpPr/>
      </xdr:nvGrpSpPr>
      <xdr:grpSpPr>
        <a:xfrm>
          <a:off x="2400771" y="4285192"/>
          <a:ext cx="127852" cy="203603"/>
          <a:chOff x="6665123" y="2144244"/>
          <a:chExt cx="126016" cy="200859"/>
        </a:xfrm>
      </xdr:grpSpPr>
      <xdr:sp macro="" textlink="">
        <xdr:nvSpPr>
          <xdr:cNvPr id="31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6" name="Gerade Verbindung 134"/>
          <xdr:cNvCxnSpPr>
            <a:stCxn id="315" idx="4"/>
            <a:endCxn id="3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17</xdr:row>
      <xdr:rowOff>141817</xdr:rowOff>
    </xdr:from>
    <xdr:to>
      <xdr:col>14</xdr:col>
      <xdr:colOff>1540</xdr:colOff>
      <xdr:row>19</xdr:row>
      <xdr:rowOff>21570</xdr:rowOff>
    </xdr:to>
    <xdr:grpSp>
      <xdr:nvGrpSpPr>
        <xdr:cNvPr id="319" name="Gruppieren 318"/>
        <xdr:cNvGrpSpPr/>
      </xdr:nvGrpSpPr>
      <xdr:grpSpPr>
        <a:xfrm>
          <a:off x="5914544" y="3637492"/>
          <a:ext cx="125846" cy="203603"/>
          <a:chOff x="6665123" y="2144244"/>
          <a:chExt cx="126016" cy="200859"/>
        </a:xfrm>
      </xdr:grpSpPr>
      <xdr:sp macro="" textlink="">
        <xdr:nvSpPr>
          <xdr:cNvPr id="32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21</xdr:row>
      <xdr:rowOff>141818</xdr:rowOff>
    </xdr:from>
    <xdr:to>
      <xdr:col>14</xdr:col>
      <xdr:colOff>1540</xdr:colOff>
      <xdr:row>23</xdr:row>
      <xdr:rowOff>21571</xdr:rowOff>
    </xdr:to>
    <xdr:grpSp>
      <xdr:nvGrpSpPr>
        <xdr:cNvPr id="324" name="Gruppieren 323"/>
        <xdr:cNvGrpSpPr/>
      </xdr:nvGrpSpPr>
      <xdr:grpSpPr>
        <a:xfrm>
          <a:off x="5914544" y="4285193"/>
          <a:ext cx="125846" cy="203603"/>
          <a:chOff x="6665123" y="2144244"/>
          <a:chExt cx="126016" cy="200859"/>
        </a:xfrm>
      </xdr:grpSpPr>
      <xdr:sp macro="" textlink="">
        <xdr:nvSpPr>
          <xdr:cNvPr id="32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6" name="Gerade Verbindung 134"/>
          <xdr:cNvCxnSpPr>
            <a:stCxn id="325" idx="4"/>
            <a:endCxn id="3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24</xdr:row>
      <xdr:rowOff>141817</xdr:rowOff>
    </xdr:from>
    <xdr:to>
      <xdr:col>5</xdr:col>
      <xdr:colOff>509323</xdr:colOff>
      <xdr:row>26</xdr:row>
      <xdr:rowOff>21570</xdr:rowOff>
    </xdr:to>
    <xdr:grpSp>
      <xdr:nvGrpSpPr>
        <xdr:cNvPr id="329" name="Gruppieren 328"/>
        <xdr:cNvGrpSpPr/>
      </xdr:nvGrpSpPr>
      <xdr:grpSpPr>
        <a:xfrm>
          <a:off x="2400771" y="4770967"/>
          <a:ext cx="127852" cy="203603"/>
          <a:chOff x="6665123" y="2144244"/>
          <a:chExt cx="126016" cy="200859"/>
        </a:xfrm>
      </xdr:grpSpPr>
      <xdr:sp macro="" textlink="">
        <xdr:nvSpPr>
          <xdr:cNvPr id="33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1" name="Gerade Verbindung 134"/>
          <xdr:cNvCxnSpPr>
            <a:stCxn id="330" idx="4"/>
            <a:endCxn id="3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26</xdr:row>
      <xdr:rowOff>141818</xdr:rowOff>
    </xdr:from>
    <xdr:to>
      <xdr:col>5</xdr:col>
      <xdr:colOff>509323</xdr:colOff>
      <xdr:row>28</xdr:row>
      <xdr:rowOff>21571</xdr:rowOff>
    </xdr:to>
    <xdr:grpSp>
      <xdr:nvGrpSpPr>
        <xdr:cNvPr id="334" name="Gruppieren 333"/>
        <xdr:cNvGrpSpPr/>
      </xdr:nvGrpSpPr>
      <xdr:grpSpPr>
        <a:xfrm>
          <a:off x="2400771" y="5094818"/>
          <a:ext cx="127852" cy="203603"/>
          <a:chOff x="6665123" y="2144244"/>
          <a:chExt cx="126016" cy="200859"/>
        </a:xfrm>
      </xdr:grpSpPr>
      <xdr:sp macro="" textlink="">
        <xdr:nvSpPr>
          <xdr:cNvPr id="33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6" name="Gerade Verbindung 134"/>
          <xdr:cNvCxnSpPr>
            <a:stCxn id="335" idx="4"/>
            <a:endCxn id="3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25</xdr:row>
      <xdr:rowOff>141818</xdr:rowOff>
    </xdr:from>
    <xdr:to>
      <xdr:col>14</xdr:col>
      <xdr:colOff>1540</xdr:colOff>
      <xdr:row>27</xdr:row>
      <xdr:rowOff>21571</xdr:rowOff>
    </xdr:to>
    <xdr:grpSp>
      <xdr:nvGrpSpPr>
        <xdr:cNvPr id="339" name="Gruppieren 338"/>
        <xdr:cNvGrpSpPr/>
      </xdr:nvGrpSpPr>
      <xdr:grpSpPr>
        <a:xfrm>
          <a:off x="5914544" y="4932893"/>
          <a:ext cx="125846" cy="203603"/>
          <a:chOff x="6665123" y="2144244"/>
          <a:chExt cx="126016" cy="200859"/>
        </a:xfrm>
      </xdr:grpSpPr>
      <xdr:sp macro="" textlink="">
        <xdr:nvSpPr>
          <xdr:cNvPr id="34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1" name="Gerade Verbindung 134"/>
          <xdr:cNvCxnSpPr>
            <a:stCxn id="340" idx="4"/>
            <a:endCxn id="3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381470</xdr:colOff>
      <xdr:row>29</xdr:row>
      <xdr:rowOff>141816</xdr:rowOff>
    </xdr:from>
    <xdr:to>
      <xdr:col>17</xdr:col>
      <xdr:colOff>509322</xdr:colOff>
      <xdr:row>31</xdr:row>
      <xdr:rowOff>21569</xdr:rowOff>
    </xdr:to>
    <xdr:grpSp>
      <xdr:nvGrpSpPr>
        <xdr:cNvPr id="344" name="Gruppieren 343"/>
        <xdr:cNvGrpSpPr/>
      </xdr:nvGrpSpPr>
      <xdr:grpSpPr>
        <a:xfrm>
          <a:off x="7010870" y="5580591"/>
          <a:ext cx="127852" cy="203603"/>
          <a:chOff x="6665123" y="2144244"/>
          <a:chExt cx="126016" cy="200859"/>
        </a:xfrm>
      </xdr:grpSpPr>
      <xdr:sp macro="" textlink="">
        <xdr:nvSpPr>
          <xdr:cNvPr id="34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6" name="Gerade Verbindung 134"/>
          <xdr:cNvCxnSpPr>
            <a:stCxn id="345" idx="4"/>
            <a:endCxn id="3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29</xdr:row>
      <xdr:rowOff>141818</xdr:rowOff>
    </xdr:from>
    <xdr:to>
      <xdr:col>5</xdr:col>
      <xdr:colOff>509323</xdr:colOff>
      <xdr:row>31</xdr:row>
      <xdr:rowOff>21571</xdr:rowOff>
    </xdr:to>
    <xdr:grpSp>
      <xdr:nvGrpSpPr>
        <xdr:cNvPr id="349" name="Gruppieren 348"/>
        <xdr:cNvGrpSpPr/>
      </xdr:nvGrpSpPr>
      <xdr:grpSpPr>
        <a:xfrm>
          <a:off x="2400771" y="5580593"/>
          <a:ext cx="127852" cy="203603"/>
          <a:chOff x="6665123" y="2144244"/>
          <a:chExt cx="126016" cy="200859"/>
        </a:xfrm>
      </xdr:grpSpPr>
      <xdr:sp macro="" textlink="">
        <xdr:nvSpPr>
          <xdr:cNvPr id="35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1" name="Gerade Verbindung 134"/>
          <xdr:cNvCxnSpPr>
            <a:stCxn id="350" idx="4"/>
            <a:endCxn id="3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31</xdr:row>
      <xdr:rowOff>141819</xdr:rowOff>
    </xdr:from>
    <xdr:to>
      <xdr:col>5</xdr:col>
      <xdr:colOff>509323</xdr:colOff>
      <xdr:row>33</xdr:row>
      <xdr:rowOff>21572</xdr:rowOff>
    </xdr:to>
    <xdr:grpSp>
      <xdr:nvGrpSpPr>
        <xdr:cNvPr id="354" name="Gruppieren 353"/>
        <xdr:cNvGrpSpPr/>
      </xdr:nvGrpSpPr>
      <xdr:grpSpPr>
        <a:xfrm>
          <a:off x="2400771" y="5904444"/>
          <a:ext cx="127852" cy="203603"/>
          <a:chOff x="6665123" y="2144244"/>
          <a:chExt cx="126016" cy="200859"/>
        </a:xfrm>
      </xdr:grpSpPr>
      <xdr:sp macro="" textlink="">
        <xdr:nvSpPr>
          <xdr:cNvPr id="35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6" name="Gerade Verbindung 134"/>
          <xdr:cNvCxnSpPr>
            <a:stCxn id="355" idx="4"/>
            <a:endCxn id="3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30</xdr:row>
      <xdr:rowOff>141818</xdr:rowOff>
    </xdr:from>
    <xdr:to>
      <xdr:col>14</xdr:col>
      <xdr:colOff>1540</xdr:colOff>
      <xdr:row>32</xdr:row>
      <xdr:rowOff>21571</xdr:rowOff>
    </xdr:to>
    <xdr:grpSp>
      <xdr:nvGrpSpPr>
        <xdr:cNvPr id="359" name="Gruppieren 358"/>
        <xdr:cNvGrpSpPr/>
      </xdr:nvGrpSpPr>
      <xdr:grpSpPr>
        <a:xfrm>
          <a:off x="5914544" y="5742518"/>
          <a:ext cx="125846" cy="203603"/>
          <a:chOff x="6665123" y="2144244"/>
          <a:chExt cx="126016" cy="200859"/>
        </a:xfrm>
      </xdr:grpSpPr>
      <xdr:sp macro="" textlink="">
        <xdr:nvSpPr>
          <xdr:cNvPr id="36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33</xdr:row>
      <xdr:rowOff>141818</xdr:rowOff>
    </xdr:from>
    <xdr:to>
      <xdr:col>5</xdr:col>
      <xdr:colOff>509323</xdr:colOff>
      <xdr:row>35</xdr:row>
      <xdr:rowOff>21571</xdr:rowOff>
    </xdr:to>
    <xdr:grpSp>
      <xdr:nvGrpSpPr>
        <xdr:cNvPr id="364" name="Gruppieren 363"/>
        <xdr:cNvGrpSpPr/>
      </xdr:nvGrpSpPr>
      <xdr:grpSpPr>
        <a:xfrm>
          <a:off x="2400771" y="6228293"/>
          <a:ext cx="127852" cy="203603"/>
          <a:chOff x="6665123" y="2144244"/>
          <a:chExt cx="126016" cy="200859"/>
        </a:xfrm>
      </xdr:grpSpPr>
      <xdr:sp macro="" textlink="">
        <xdr:nvSpPr>
          <xdr:cNvPr id="36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35</xdr:row>
      <xdr:rowOff>141819</xdr:rowOff>
    </xdr:from>
    <xdr:to>
      <xdr:col>5</xdr:col>
      <xdr:colOff>509323</xdr:colOff>
      <xdr:row>37</xdr:row>
      <xdr:rowOff>21572</xdr:rowOff>
    </xdr:to>
    <xdr:grpSp>
      <xdr:nvGrpSpPr>
        <xdr:cNvPr id="369" name="Gruppieren 368"/>
        <xdr:cNvGrpSpPr/>
      </xdr:nvGrpSpPr>
      <xdr:grpSpPr>
        <a:xfrm>
          <a:off x="2400771" y="6552144"/>
          <a:ext cx="127852" cy="203603"/>
          <a:chOff x="6665123" y="2144244"/>
          <a:chExt cx="126016" cy="200859"/>
        </a:xfrm>
      </xdr:grpSpPr>
      <xdr:sp macro="" textlink="">
        <xdr:nvSpPr>
          <xdr:cNvPr id="37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34</xdr:row>
      <xdr:rowOff>141818</xdr:rowOff>
    </xdr:from>
    <xdr:to>
      <xdr:col>14</xdr:col>
      <xdr:colOff>1540</xdr:colOff>
      <xdr:row>36</xdr:row>
      <xdr:rowOff>21571</xdr:rowOff>
    </xdr:to>
    <xdr:grpSp>
      <xdr:nvGrpSpPr>
        <xdr:cNvPr id="374" name="Gruppieren 373"/>
        <xdr:cNvGrpSpPr/>
      </xdr:nvGrpSpPr>
      <xdr:grpSpPr>
        <a:xfrm>
          <a:off x="5914544" y="6390218"/>
          <a:ext cx="125846" cy="203603"/>
          <a:chOff x="6665123" y="2144244"/>
          <a:chExt cx="126016" cy="200859"/>
        </a:xfrm>
      </xdr:grpSpPr>
      <xdr:sp macro="" textlink="">
        <xdr:nvSpPr>
          <xdr:cNvPr id="37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37</xdr:row>
      <xdr:rowOff>142875</xdr:rowOff>
    </xdr:from>
    <xdr:to>
      <xdr:col>0</xdr:col>
      <xdr:colOff>131029</xdr:colOff>
      <xdr:row>39</xdr:row>
      <xdr:rowOff>22628</xdr:rowOff>
    </xdr:to>
    <xdr:grpSp>
      <xdr:nvGrpSpPr>
        <xdr:cNvPr id="379" name="Gruppieren 378"/>
        <xdr:cNvGrpSpPr/>
      </xdr:nvGrpSpPr>
      <xdr:grpSpPr>
        <a:xfrm flipH="1">
          <a:off x="5013" y="6877050"/>
          <a:ext cx="126016" cy="203603"/>
          <a:chOff x="6665123" y="2144244"/>
          <a:chExt cx="126016" cy="200859"/>
        </a:xfrm>
      </xdr:grpSpPr>
      <xdr:sp macro="" textlink="">
        <xdr:nvSpPr>
          <xdr:cNvPr id="38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41</xdr:row>
      <xdr:rowOff>142877</xdr:rowOff>
    </xdr:from>
    <xdr:to>
      <xdr:col>0</xdr:col>
      <xdr:colOff>131029</xdr:colOff>
      <xdr:row>43</xdr:row>
      <xdr:rowOff>22630</xdr:rowOff>
    </xdr:to>
    <xdr:grpSp>
      <xdr:nvGrpSpPr>
        <xdr:cNvPr id="384" name="Gruppieren 383"/>
        <xdr:cNvGrpSpPr/>
      </xdr:nvGrpSpPr>
      <xdr:grpSpPr>
        <a:xfrm flipH="1">
          <a:off x="5013" y="7524752"/>
          <a:ext cx="126016" cy="203603"/>
          <a:chOff x="6665123" y="2144244"/>
          <a:chExt cx="126016" cy="200859"/>
        </a:xfrm>
      </xdr:grpSpPr>
      <xdr:sp macro="" textlink="">
        <xdr:nvSpPr>
          <xdr:cNvPr id="38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39</xdr:row>
      <xdr:rowOff>141819</xdr:rowOff>
    </xdr:from>
    <xdr:to>
      <xdr:col>5</xdr:col>
      <xdr:colOff>509323</xdr:colOff>
      <xdr:row>41</xdr:row>
      <xdr:rowOff>21572</xdr:rowOff>
    </xdr:to>
    <xdr:grpSp>
      <xdr:nvGrpSpPr>
        <xdr:cNvPr id="389" name="Gruppieren 388"/>
        <xdr:cNvGrpSpPr/>
      </xdr:nvGrpSpPr>
      <xdr:grpSpPr>
        <a:xfrm>
          <a:off x="2400771" y="7199844"/>
          <a:ext cx="127852" cy="203603"/>
          <a:chOff x="6665123" y="2144244"/>
          <a:chExt cx="126016" cy="200859"/>
        </a:xfrm>
      </xdr:grpSpPr>
      <xdr:sp macro="" textlink="">
        <xdr:nvSpPr>
          <xdr:cNvPr id="39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37</xdr:row>
      <xdr:rowOff>141818</xdr:rowOff>
    </xdr:from>
    <xdr:to>
      <xdr:col>14</xdr:col>
      <xdr:colOff>1540</xdr:colOff>
      <xdr:row>39</xdr:row>
      <xdr:rowOff>21571</xdr:rowOff>
    </xdr:to>
    <xdr:grpSp>
      <xdr:nvGrpSpPr>
        <xdr:cNvPr id="394" name="Gruppieren 393"/>
        <xdr:cNvGrpSpPr/>
      </xdr:nvGrpSpPr>
      <xdr:grpSpPr>
        <a:xfrm>
          <a:off x="5914544" y="6875993"/>
          <a:ext cx="125846" cy="203603"/>
          <a:chOff x="6665123" y="2144244"/>
          <a:chExt cx="126016" cy="200859"/>
        </a:xfrm>
      </xdr:grpSpPr>
      <xdr:sp macro="" textlink="">
        <xdr:nvSpPr>
          <xdr:cNvPr id="39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39</xdr:row>
      <xdr:rowOff>142876</xdr:rowOff>
    </xdr:from>
    <xdr:to>
      <xdr:col>10</xdr:col>
      <xdr:colOff>140052</xdr:colOff>
      <xdr:row>41</xdr:row>
      <xdr:rowOff>22629</xdr:rowOff>
    </xdr:to>
    <xdr:grpSp>
      <xdr:nvGrpSpPr>
        <xdr:cNvPr id="399" name="Gruppieren 398"/>
        <xdr:cNvGrpSpPr/>
      </xdr:nvGrpSpPr>
      <xdr:grpSpPr>
        <a:xfrm flipH="1">
          <a:off x="4547936" y="7200901"/>
          <a:ext cx="126016" cy="203603"/>
          <a:chOff x="6665123" y="2144244"/>
          <a:chExt cx="126016" cy="200859"/>
        </a:xfrm>
      </xdr:grpSpPr>
      <xdr:sp macro="" textlink="">
        <xdr:nvSpPr>
          <xdr:cNvPr id="40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14131</xdr:colOff>
      <xdr:row>42</xdr:row>
      <xdr:rowOff>142876</xdr:rowOff>
    </xdr:from>
    <xdr:to>
      <xdr:col>17</xdr:col>
      <xdr:colOff>140147</xdr:colOff>
      <xdr:row>44</xdr:row>
      <xdr:rowOff>22629</xdr:rowOff>
    </xdr:to>
    <xdr:grpSp>
      <xdr:nvGrpSpPr>
        <xdr:cNvPr id="404" name="Gruppieren 403"/>
        <xdr:cNvGrpSpPr/>
      </xdr:nvGrpSpPr>
      <xdr:grpSpPr>
        <a:xfrm flipH="1">
          <a:off x="6643531" y="7686676"/>
          <a:ext cx="126016" cy="203603"/>
          <a:chOff x="6665123" y="2144244"/>
          <a:chExt cx="126016" cy="200859"/>
        </a:xfrm>
      </xdr:grpSpPr>
      <xdr:sp macro="" textlink="">
        <xdr:nvSpPr>
          <xdr:cNvPr id="40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43</xdr:row>
      <xdr:rowOff>146582</xdr:rowOff>
    </xdr:from>
    <xdr:to>
      <xdr:col>5</xdr:col>
      <xdr:colOff>509323</xdr:colOff>
      <xdr:row>45</xdr:row>
      <xdr:rowOff>26335</xdr:rowOff>
    </xdr:to>
    <xdr:grpSp>
      <xdr:nvGrpSpPr>
        <xdr:cNvPr id="409" name="Gruppieren 408"/>
        <xdr:cNvGrpSpPr/>
      </xdr:nvGrpSpPr>
      <xdr:grpSpPr>
        <a:xfrm>
          <a:off x="2400771" y="7852307"/>
          <a:ext cx="127852" cy="203603"/>
          <a:chOff x="6665123" y="2144244"/>
          <a:chExt cx="126016" cy="200859"/>
        </a:xfrm>
      </xdr:grpSpPr>
      <xdr:sp macro="" textlink="">
        <xdr:nvSpPr>
          <xdr:cNvPr id="41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41</xdr:row>
      <xdr:rowOff>141818</xdr:rowOff>
    </xdr:from>
    <xdr:to>
      <xdr:col>14</xdr:col>
      <xdr:colOff>1540</xdr:colOff>
      <xdr:row>43</xdr:row>
      <xdr:rowOff>21571</xdr:rowOff>
    </xdr:to>
    <xdr:grpSp>
      <xdr:nvGrpSpPr>
        <xdr:cNvPr id="414" name="Gruppieren 413"/>
        <xdr:cNvGrpSpPr/>
      </xdr:nvGrpSpPr>
      <xdr:grpSpPr>
        <a:xfrm>
          <a:off x="5914544" y="7523693"/>
          <a:ext cx="125846" cy="203603"/>
          <a:chOff x="6665123" y="2144244"/>
          <a:chExt cx="126016" cy="200859"/>
        </a:xfrm>
      </xdr:grpSpPr>
      <xdr:sp macro="" textlink="">
        <xdr:nvSpPr>
          <xdr:cNvPr id="41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43</xdr:row>
      <xdr:rowOff>142876</xdr:rowOff>
    </xdr:from>
    <xdr:to>
      <xdr:col>10</xdr:col>
      <xdr:colOff>140052</xdr:colOff>
      <xdr:row>45</xdr:row>
      <xdr:rowOff>22629</xdr:rowOff>
    </xdr:to>
    <xdr:grpSp>
      <xdr:nvGrpSpPr>
        <xdr:cNvPr id="419" name="Gruppieren 418"/>
        <xdr:cNvGrpSpPr/>
      </xdr:nvGrpSpPr>
      <xdr:grpSpPr>
        <a:xfrm flipH="1">
          <a:off x="4547936" y="7848601"/>
          <a:ext cx="126016" cy="203603"/>
          <a:chOff x="6665123" y="2144244"/>
          <a:chExt cx="126016" cy="200859"/>
        </a:xfrm>
      </xdr:grpSpPr>
      <xdr:sp macro="" textlink="">
        <xdr:nvSpPr>
          <xdr:cNvPr id="42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1" name="Gerade Verbindung 134"/>
          <xdr:cNvCxnSpPr>
            <a:stCxn id="420" idx="4"/>
            <a:endCxn id="4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45</xdr:row>
      <xdr:rowOff>142877</xdr:rowOff>
    </xdr:from>
    <xdr:to>
      <xdr:col>0</xdr:col>
      <xdr:colOff>131029</xdr:colOff>
      <xdr:row>47</xdr:row>
      <xdr:rowOff>22630</xdr:rowOff>
    </xdr:to>
    <xdr:grpSp>
      <xdr:nvGrpSpPr>
        <xdr:cNvPr id="424" name="Gruppieren 423"/>
        <xdr:cNvGrpSpPr/>
      </xdr:nvGrpSpPr>
      <xdr:grpSpPr>
        <a:xfrm flipH="1">
          <a:off x="5013" y="8172452"/>
          <a:ext cx="126016" cy="203603"/>
          <a:chOff x="6665123" y="2144244"/>
          <a:chExt cx="126016" cy="200859"/>
        </a:xfrm>
      </xdr:grpSpPr>
      <xdr:sp macro="" textlink="">
        <xdr:nvSpPr>
          <xdr:cNvPr id="42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47</xdr:row>
      <xdr:rowOff>141819</xdr:rowOff>
    </xdr:from>
    <xdr:to>
      <xdr:col>5</xdr:col>
      <xdr:colOff>509323</xdr:colOff>
      <xdr:row>49</xdr:row>
      <xdr:rowOff>21572</xdr:rowOff>
    </xdr:to>
    <xdr:grpSp>
      <xdr:nvGrpSpPr>
        <xdr:cNvPr id="429" name="Gruppieren 428"/>
        <xdr:cNvGrpSpPr/>
      </xdr:nvGrpSpPr>
      <xdr:grpSpPr>
        <a:xfrm>
          <a:off x="2400771" y="8495244"/>
          <a:ext cx="127852" cy="203603"/>
          <a:chOff x="6665123" y="2144244"/>
          <a:chExt cx="126016" cy="200859"/>
        </a:xfrm>
      </xdr:grpSpPr>
      <xdr:sp macro="" textlink="">
        <xdr:nvSpPr>
          <xdr:cNvPr id="43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385031</xdr:colOff>
      <xdr:row>45</xdr:row>
      <xdr:rowOff>141818</xdr:rowOff>
    </xdr:from>
    <xdr:to>
      <xdr:col>13</xdr:col>
      <xdr:colOff>512883</xdr:colOff>
      <xdr:row>47</xdr:row>
      <xdr:rowOff>21571</xdr:rowOff>
    </xdr:to>
    <xdr:grpSp>
      <xdr:nvGrpSpPr>
        <xdr:cNvPr id="434" name="Gruppieren 433"/>
        <xdr:cNvGrpSpPr/>
      </xdr:nvGrpSpPr>
      <xdr:grpSpPr>
        <a:xfrm>
          <a:off x="5909531" y="8171393"/>
          <a:ext cx="127852" cy="203603"/>
          <a:chOff x="6665123" y="2144244"/>
          <a:chExt cx="126016" cy="200859"/>
        </a:xfrm>
      </xdr:grpSpPr>
      <xdr:sp macro="" textlink="">
        <xdr:nvSpPr>
          <xdr:cNvPr id="43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47</xdr:row>
      <xdr:rowOff>142876</xdr:rowOff>
    </xdr:from>
    <xdr:to>
      <xdr:col>10</xdr:col>
      <xdr:colOff>140052</xdr:colOff>
      <xdr:row>49</xdr:row>
      <xdr:rowOff>22629</xdr:rowOff>
    </xdr:to>
    <xdr:grpSp>
      <xdr:nvGrpSpPr>
        <xdr:cNvPr id="439" name="Gruppieren 438"/>
        <xdr:cNvGrpSpPr/>
      </xdr:nvGrpSpPr>
      <xdr:grpSpPr>
        <a:xfrm flipH="1">
          <a:off x="4547936" y="8496301"/>
          <a:ext cx="126016" cy="203603"/>
          <a:chOff x="6665123" y="2144244"/>
          <a:chExt cx="126016" cy="200859"/>
        </a:xfrm>
      </xdr:grpSpPr>
      <xdr:sp macro="" textlink="">
        <xdr:nvSpPr>
          <xdr:cNvPr id="44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49</xdr:row>
      <xdr:rowOff>142878</xdr:rowOff>
    </xdr:from>
    <xdr:to>
      <xdr:col>0</xdr:col>
      <xdr:colOff>131029</xdr:colOff>
      <xdr:row>51</xdr:row>
      <xdr:rowOff>22631</xdr:rowOff>
    </xdr:to>
    <xdr:grpSp>
      <xdr:nvGrpSpPr>
        <xdr:cNvPr id="444" name="Gruppieren 443"/>
        <xdr:cNvGrpSpPr/>
      </xdr:nvGrpSpPr>
      <xdr:grpSpPr>
        <a:xfrm flipH="1">
          <a:off x="5013" y="8820153"/>
          <a:ext cx="126016" cy="203603"/>
          <a:chOff x="6665123" y="2144244"/>
          <a:chExt cx="126016" cy="200859"/>
        </a:xfrm>
      </xdr:grpSpPr>
      <xdr:sp macro="" textlink="">
        <xdr:nvSpPr>
          <xdr:cNvPr id="44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6" name="Gerade Verbindung 134"/>
          <xdr:cNvCxnSpPr>
            <a:stCxn id="445" idx="4"/>
            <a:endCxn id="4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50</xdr:row>
      <xdr:rowOff>142877</xdr:rowOff>
    </xdr:from>
    <xdr:to>
      <xdr:col>10</xdr:col>
      <xdr:colOff>140052</xdr:colOff>
      <xdr:row>52</xdr:row>
      <xdr:rowOff>22630</xdr:rowOff>
    </xdr:to>
    <xdr:grpSp>
      <xdr:nvGrpSpPr>
        <xdr:cNvPr id="454" name="Gruppieren 453"/>
        <xdr:cNvGrpSpPr/>
      </xdr:nvGrpSpPr>
      <xdr:grpSpPr>
        <a:xfrm flipH="1">
          <a:off x="4547936" y="8982077"/>
          <a:ext cx="126016" cy="203603"/>
          <a:chOff x="6665123" y="2144244"/>
          <a:chExt cx="126016" cy="200859"/>
        </a:xfrm>
      </xdr:grpSpPr>
      <xdr:sp macro="" textlink="">
        <xdr:nvSpPr>
          <xdr:cNvPr id="45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57</xdr:row>
      <xdr:rowOff>141819</xdr:rowOff>
    </xdr:from>
    <xdr:to>
      <xdr:col>5</xdr:col>
      <xdr:colOff>509323</xdr:colOff>
      <xdr:row>59</xdr:row>
      <xdr:rowOff>21572</xdr:rowOff>
    </xdr:to>
    <xdr:grpSp>
      <xdr:nvGrpSpPr>
        <xdr:cNvPr id="469" name="Gruppieren 468"/>
        <xdr:cNvGrpSpPr/>
      </xdr:nvGrpSpPr>
      <xdr:grpSpPr>
        <a:xfrm>
          <a:off x="2400771" y="10028769"/>
          <a:ext cx="127852" cy="203603"/>
          <a:chOff x="6665123" y="2144244"/>
          <a:chExt cx="126016" cy="200859"/>
        </a:xfrm>
      </xdr:grpSpPr>
      <xdr:sp macro="" textlink="">
        <xdr:nvSpPr>
          <xdr:cNvPr id="47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1" name="Gerade Verbindung 134"/>
          <xdr:cNvCxnSpPr>
            <a:stCxn id="470" idx="4"/>
            <a:endCxn id="4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58</xdr:row>
      <xdr:rowOff>141817</xdr:rowOff>
    </xdr:from>
    <xdr:to>
      <xdr:col>14</xdr:col>
      <xdr:colOff>1540</xdr:colOff>
      <xdr:row>60</xdr:row>
      <xdr:rowOff>21570</xdr:rowOff>
    </xdr:to>
    <xdr:grpSp>
      <xdr:nvGrpSpPr>
        <xdr:cNvPr id="474" name="Gruppieren 473"/>
        <xdr:cNvGrpSpPr/>
      </xdr:nvGrpSpPr>
      <xdr:grpSpPr>
        <a:xfrm>
          <a:off x="5914544" y="10190692"/>
          <a:ext cx="125846" cy="203603"/>
          <a:chOff x="6665123" y="2144244"/>
          <a:chExt cx="126016" cy="200859"/>
        </a:xfrm>
      </xdr:grpSpPr>
      <xdr:sp macro="" textlink="">
        <xdr:nvSpPr>
          <xdr:cNvPr id="47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23558</xdr:colOff>
      <xdr:row>63</xdr:row>
      <xdr:rowOff>142875</xdr:rowOff>
    </xdr:from>
    <xdr:to>
      <xdr:col>10</xdr:col>
      <xdr:colOff>149574</xdr:colOff>
      <xdr:row>65</xdr:row>
      <xdr:rowOff>22628</xdr:rowOff>
    </xdr:to>
    <xdr:grpSp>
      <xdr:nvGrpSpPr>
        <xdr:cNvPr id="479" name="Gruppieren 478"/>
        <xdr:cNvGrpSpPr/>
      </xdr:nvGrpSpPr>
      <xdr:grpSpPr>
        <a:xfrm flipH="1">
          <a:off x="4557458" y="11001375"/>
          <a:ext cx="126016" cy="203603"/>
          <a:chOff x="6665123" y="2144244"/>
          <a:chExt cx="126016" cy="200859"/>
        </a:xfrm>
      </xdr:grpSpPr>
      <xdr:sp macro="" textlink="">
        <xdr:nvSpPr>
          <xdr:cNvPr id="48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65</xdr:row>
      <xdr:rowOff>149396</xdr:rowOff>
    </xdr:from>
    <xdr:to>
      <xdr:col>14</xdr:col>
      <xdr:colOff>1540</xdr:colOff>
      <xdr:row>67</xdr:row>
      <xdr:rowOff>27146</xdr:rowOff>
    </xdr:to>
    <xdr:grpSp>
      <xdr:nvGrpSpPr>
        <xdr:cNvPr id="489" name="Gruppieren 488"/>
        <xdr:cNvGrpSpPr/>
      </xdr:nvGrpSpPr>
      <xdr:grpSpPr>
        <a:xfrm>
          <a:off x="5914544" y="11331746"/>
          <a:ext cx="125846" cy="201600"/>
          <a:chOff x="6665123" y="2144244"/>
          <a:chExt cx="126016" cy="200859"/>
        </a:xfrm>
      </xdr:grpSpPr>
      <xdr:sp macro="" textlink="">
        <xdr:nvSpPr>
          <xdr:cNvPr id="49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68</xdr:row>
      <xdr:rowOff>141818</xdr:rowOff>
    </xdr:from>
    <xdr:to>
      <xdr:col>5</xdr:col>
      <xdr:colOff>509323</xdr:colOff>
      <xdr:row>70</xdr:row>
      <xdr:rowOff>21571</xdr:rowOff>
    </xdr:to>
    <xdr:grpSp>
      <xdr:nvGrpSpPr>
        <xdr:cNvPr id="494" name="Gruppieren 493"/>
        <xdr:cNvGrpSpPr/>
      </xdr:nvGrpSpPr>
      <xdr:grpSpPr>
        <a:xfrm>
          <a:off x="2400771" y="11809943"/>
          <a:ext cx="127852" cy="203603"/>
          <a:chOff x="6665123" y="2144244"/>
          <a:chExt cx="126016" cy="200859"/>
        </a:xfrm>
      </xdr:grpSpPr>
      <xdr:sp macro="" textlink="">
        <xdr:nvSpPr>
          <xdr:cNvPr id="49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68</xdr:row>
      <xdr:rowOff>141818</xdr:rowOff>
    </xdr:from>
    <xdr:to>
      <xdr:col>14</xdr:col>
      <xdr:colOff>1540</xdr:colOff>
      <xdr:row>70</xdr:row>
      <xdr:rowOff>21571</xdr:rowOff>
    </xdr:to>
    <xdr:grpSp>
      <xdr:nvGrpSpPr>
        <xdr:cNvPr id="499" name="Gruppieren 498"/>
        <xdr:cNvGrpSpPr/>
      </xdr:nvGrpSpPr>
      <xdr:grpSpPr>
        <a:xfrm>
          <a:off x="5914544" y="11809943"/>
          <a:ext cx="125846" cy="203603"/>
          <a:chOff x="6665123" y="2144244"/>
          <a:chExt cx="126016" cy="200859"/>
        </a:xfrm>
      </xdr:grpSpPr>
      <xdr:sp macro="" textlink="">
        <xdr:nvSpPr>
          <xdr:cNvPr id="50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71</xdr:row>
      <xdr:rowOff>142871</xdr:rowOff>
    </xdr:from>
    <xdr:to>
      <xdr:col>0</xdr:col>
      <xdr:colOff>131029</xdr:colOff>
      <xdr:row>73</xdr:row>
      <xdr:rowOff>22624</xdr:rowOff>
    </xdr:to>
    <xdr:grpSp>
      <xdr:nvGrpSpPr>
        <xdr:cNvPr id="504" name="Gruppieren 503"/>
        <xdr:cNvGrpSpPr/>
      </xdr:nvGrpSpPr>
      <xdr:grpSpPr>
        <a:xfrm flipH="1">
          <a:off x="5013" y="12296771"/>
          <a:ext cx="126016" cy="203603"/>
          <a:chOff x="6665123" y="2144244"/>
          <a:chExt cx="126016" cy="200859"/>
        </a:xfrm>
      </xdr:grpSpPr>
      <xdr:sp macro="" textlink="">
        <xdr:nvSpPr>
          <xdr:cNvPr id="50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4"/>
          <xdr:cNvCxnSpPr>
            <a:stCxn id="505" idx="4"/>
            <a:endCxn id="5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381469</xdr:colOff>
      <xdr:row>68</xdr:row>
      <xdr:rowOff>141818</xdr:rowOff>
    </xdr:from>
    <xdr:to>
      <xdr:col>17</xdr:col>
      <xdr:colOff>509321</xdr:colOff>
      <xdr:row>70</xdr:row>
      <xdr:rowOff>21571</xdr:rowOff>
    </xdr:to>
    <xdr:grpSp>
      <xdr:nvGrpSpPr>
        <xdr:cNvPr id="509" name="Gruppieren 508"/>
        <xdr:cNvGrpSpPr/>
      </xdr:nvGrpSpPr>
      <xdr:grpSpPr>
        <a:xfrm>
          <a:off x="7010869" y="11809943"/>
          <a:ext cx="127852" cy="203603"/>
          <a:chOff x="6665123" y="2144244"/>
          <a:chExt cx="126016" cy="200859"/>
        </a:xfrm>
      </xdr:grpSpPr>
      <xdr:sp macro="" textlink="">
        <xdr:nvSpPr>
          <xdr:cNvPr id="51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10</xdr:row>
      <xdr:rowOff>141817</xdr:rowOff>
    </xdr:from>
    <xdr:to>
      <xdr:col>14</xdr:col>
      <xdr:colOff>1540</xdr:colOff>
      <xdr:row>12</xdr:row>
      <xdr:rowOff>21570</xdr:rowOff>
    </xdr:to>
    <xdr:grpSp>
      <xdr:nvGrpSpPr>
        <xdr:cNvPr id="237" name="Gruppieren 236"/>
        <xdr:cNvGrpSpPr/>
      </xdr:nvGrpSpPr>
      <xdr:grpSpPr>
        <a:xfrm>
          <a:off x="5914544" y="2504017"/>
          <a:ext cx="125846" cy="203603"/>
          <a:chOff x="6665123" y="2144244"/>
          <a:chExt cx="126016" cy="200859"/>
        </a:xfrm>
      </xdr:grpSpPr>
      <xdr:sp macro="" textlink="">
        <xdr:nvSpPr>
          <xdr:cNvPr id="238"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9" name="Gerade Verbindung 134"/>
          <xdr:cNvCxnSpPr>
            <a:stCxn id="238" idx="4"/>
            <a:endCxn id="23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1"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56</xdr:row>
      <xdr:rowOff>142874</xdr:rowOff>
    </xdr:from>
    <xdr:to>
      <xdr:col>14</xdr:col>
      <xdr:colOff>1540</xdr:colOff>
      <xdr:row>58</xdr:row>
      <xdr:rowOff>20624</xdr:rowOff>
    </xdr:to>
    <xdr:grpSp>
      <xdr:nvGrpSpPr>
        <xdr:cNvPr id="257" name="Gruppieren 256"/>
        <xdr:cNvGrpSpPr/>
      </xdr:nvGrpSpPr>
      <xdr:grpSpPr>
        <a:xfrm>
          <a:off x="5914544" y="9867899"/>
          <a:ext cx="125846" cy="201600"/>
          <a:chOff x="6665123" y="2144244"/>
          <a:chExt cx="126016" cy="200859"/>
        </a:xfrm>
      </xdr:grpSpPr>
      <xdr:sp macro="" textlink="">
        <xdr:nvSpPr>
          <xdr:cNvPr id="258"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9" name="Gerade Verbindung 134"/>
          <xdr:cNvCxnSpPr>
            <a:stCxn id="258" idx="4"/>
            <a:endCxn id="25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0"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14033</xdr:colOff>
      <xdr:row>56</xdr:row>
      <xdr:rowOff>142874</xdr:rowOff>
    </xdr:from>
    <xdr:to>
      <xdr:col>15</xdr:col>
      <xdr:colOff>140049</xdr:colOff>
      <xdr:row>58</xdr:row>
      <xdr:rowOff>20624</xdr:rowOff>
    </xdr:to>
    <xdr:grpSp>
      <xdr:nvGrpSpPr>
        <xdr:cNvPr id="262" name="Gruppieren 261"/>
        <xdr:cNvGrpSpPr/>
      </xdr:nvGrpSpPr>
      <xdr:grpSpPr>
        <a:xfrm flipH="1">
          <a:off x="6224333" y="9867899"/>
          <a:ext cx="126016" cy="201600"/>
          <a:chOff x="6665123" y="2144244"/>
          <a:chExt cx="126016" cy="200859"/>
        </a:xfrm>
      </xdr:grpSpPr>
      <xdr:sp macro="" textlink="">
        <xdr:nvSpPr>
          <xdr:cNvPr id="263"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4" name="Gerade Verbindung 134"/>
          <xdr:cNvCxnSpPr>
            <a:stCxn id="263" idx="4"/>
            <a:endCxn id="26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5"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53</xdr:row>
      <xdr:rowOff>141779</xdr:rowOff>
    </xdr:from>
    <xdr:to>
      <xdr:col>0</xdr:col>
      <xdr:colOff>129239</xdr:colOff>
      <xdr:row>55</xdr:row>
      <xdr:rowOff>19529</xdr:rowOff>
    </xdr:to>
    <xdr:grpSp>
      <xdr:nvGrpSpPr>
        <xdr:cNvPr id="272" name="Gruppieren 271"/>
        <xdr:cNvGrpSpPr/>
      </xdr:nvGrpSpPr>
      <xdr:grpSpPr>
        <a:xfrm flipH="1">
          <a:off x="3223" y="9466754"/>
          <a:ext cx="126016" cy="201600"/>
          <a:chOff x="6665123" y="2144244"/>
          <a:chExt cx="126016" cy="200859"/>
        </a:xfrm>
      </xdr:grpSpPr>
      <xdr:sp macro="" textlink="">
        <xdr:nvSpPr>
          <xdr:cNvPr id="273"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4" name="Gerade Verbindung 134"/>
          <xdr:cNvCxnSpPr>
            <a:stCxn id="273" idx="4"/>
            <a:endCxn id="27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5"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51</xdr:row>
      <xdr:rowOff>141819</xdr:rowOff>
    </xdr:from>
    <xdr:to>
      <xdr:col>5</xdr:col>
      <xdr:colOff>509323</xdr:colOff>
      <xdr:row>53</xdr:row>
      <xdr:rowOff>21572</xdr:rowOff>
    </xdr:to>
    <xdr:grpSp>
      <xdr:nvGrpSpPr>
        <xdr:cNvPr id="277" name="Gruppieren 276"/>
        <xdr:cNvGrpSpPr/>
      </xdr:nvGrpSpPr>
      <xdr:grpSpPr>
        <a:xfrm>
          <a:off x="2400771" y="9142944"/>
          <a:ext cx="127852" cy="203603"/>
          <a:chOff x="6665123" y="2144244"/>
          <a:chExt cx="126016" cy="200859"/>
        </a:xfrm>
      </xdr:grpSpPr>
      <xdr:sp macro="" textlink="">
        <xdr:nvSpPr>
          <xdr:cNvPr id="278"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9" name="Gerade Verbindung 134"/>
          <xdr:cNvCxnSpPr>
            <a:stCxn id="278" idx="4"/>
            <a:endCxn id="27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0"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1"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180975</xdr:colOff>
      <xdr:row>18</xdr:row>
      <xdr:rowOff>152400</xdr:rowOff>
    </xdr:from>
    <xdr:to>
      <xdr:col>17</xdr:col>
      <xdr:colOff>485775</xdr:colOff>
      <xdr:row>18</xdr:row>
      <xdr:rowOff>153988</xdr:rowOff>
    </xdr:to>
    <xdr:cxnSp macro="">
      <xdr:nvCxnSpPr>
        <xdr:cNvPr id="2" name="Gerade Verbindung 346"/>
        <xdr:cNvCxnSpPr/>
      </xdr:nvCxnSpPr>
      <xdr:spPr>
        <a:xfrm rot="10800000">
          <a:off x="6819900" y="373380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34</xdr:row>
      <xdr:rowOff>9525</xdr:rowOff>
    </xdr:from>
    <xdr:to>
      <xdr:col>17</xdr:col>
      <xdr:colOff>485775</xdr:colOff>
      <xdr:row>34</xdr:row>
      <xdr:rowOff>11113</xdr:rowOff>
    </xdr:to>
    <xdr:cxnSp macro="">
      <xdr:nvCxnSpPr>
        <xdr:cNvPr id="3" name="Gerade Verbindung 347"/>
        <xdr:cNvCxnSpPr/>
      </xdr:nvCxnSpPr>
      <xdr:spPr>
        <a:xfrm rot="10800000">
          <a:off x="6819900" y="61817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36</xdr:row>
      <xdr:rowOff>71158</xdr:rowOff>
    </xdr:from>
    <xdr:to>
      <xdr:col>17</xdr:col>
      <xdr:colOff>485775</xdr:colOff>
      <xdr:row>36</xdr:row>
      <xdr:rowOff>72746</xdr:rowOff>
    </xdr:to>
    <xdr:cxnSp macro="">
      <xdr:nvCxnSpPr>
        <xdr:cNvPr id="4" name="Gerade Verbindung 348"/>
        <xdr:cNvCxnSpPr/>
      </xdr:nvCxnSpPr>
      <xdr:spPr>
        <a:xfrm rot="10800000">
          <a:off x="6819900" y="6567208"/>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19</xdr:row>
      <xdr:rowOff>28575</xdr:rowOff>
    </xdr:from>
    <xdr:to>
      <xdr:col>17</xdr:col>
      <xdr:colOff>161926</xdr:colOff>
      <xdr:row>30</xdr:row>
      <xdr:rowOff>3</xdr:rowOff>
    </xdr:to>
    <xdr:cxnSp macro="">
      <xdr:nvCxnSpPr>
        <xdr:cNvPr id="5" name="Gerade Verbindung 349"/>
        <xdr:cNvCxnSpPr/>
      </xdr:nvCxnSpPr>
      <xdr:spPr>
        <a:xfrm>
          <a:off x="6800851" y="3771900"/>
          <a:ext cx="0" cy="175260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31</xdr:row>
      <xdr:rowOff>19846</xdr:rowOff>
    </xdr:from>
    <xdr:to>
      <xdr:col>17</xdr:col>
      <xdr:colOff>162719</xdr:colOff>
      <xdr:row>36</xdr:row>
      <xdr:rowOff>56030</xdr:rowOff>
    </xdr:to>
    <xdr:cxnSp macro="">
      <xdr:nvCxnSpPr>
        <xdr:cNvPr id="6" name="Gerade Verbindung 355"/>
        <xdr:cNvCxnSpPr/>
      </xdr:nvCxnSpPr>
      <xdr:spPr>
        <a:xfrm>
          <a:off x="6785395" y="5577964"/>
          <a:ext cx="0" cy="820595"/>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45</xdr:row>
      <xdr:rowOff>66675</xdr:rowOff>
    </xdr:from>
    <xdr:to>
      <xdr:col>17</xdr:col>
      <xdr:colOff>485775</xdr:colOff>
      <xdr:row>45</xdr:row>
      <xdr:rowOff>68263</xdr:rowOff>
    </xdr:to>
    <xdr:cxnSp macro="">
      <xdr:nvCxnSpPr>
        <xdr:cNvPr id="7" name="Gerade Verbindung 357"/>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49</xdr:row>
      <xdr:rowOff>85725</xdr:rowOff>
    </xdr:from>
    <xdr:to>
      <xdr:col>17</xdr:col>
      <xdr:colOff>485775</xdr:colOff>
      <xdr:row>49</xdr:row>
      <xdr:rowOff>87313</xdr:rowOff>
    </xdr:to>
    <xdr:cxnSp macro="">
      <xdr:nvCxnSpPr>
        <xdr:cNvPr id="8" name="Gerade Verbindung 358"/>
        <xdr:cNvCxnSpPr/>
      </xdr:nvCxnSpPr>
      <xdr:spPr>
        <a:xfrm rot="10800000">
          <a:off x="6819900" y="86868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45</xdr:row>
      <xdr:rowOff>76200</xdr:rowOff>
    </xdr:from>
    <xdr:to>
      <xdr:col>17</xdr:col>
      <xdr:colOff>161925</xdr:colOff>
      <xdr:row>49</xdr:row>
      <xdr:rowOff>95250</xdr:rowOff>
    </xdr:to>
    <xdr:cxnSp macro="">
      <xdr:nvCxnSpPr>
        <xdr:cNvPr id="9" name="Gerade Verbindung 359"/>
        <xdr:cNvCxnSpPr/>
      </xdr:nvCxnSpPr>
      <xdr:spPr>
        <a:xfrm>
          <a:off x="6800850" y="8029575"/>
          <a:ext cx="0" cy="66675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142875</xdr:colOff>
      <xdr:row>0</xdr:row>
      <xdr:rowOff>0</xdr:rowOff>
    </xdr:from>
    <xdr:ext cx="1476375" cy="1002839"/>
    <xdr:sp macro="" textlink="">
      <xdr:nvSpPr>
        <xdr:cNvPr id="175" name="Textfeld 200"/>
        <xdr:cNvSpPr txBox="1">
          <a:spLocks noChangeAspect="1"/>
        </xdr:cNvSpPr>
      </xdr:nvSpPr>
      <xdr:spPr>
        <a:xfrm>
          <a:off x="6781800"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4</xdr:col>
      <xdr:colOff>285543</xdr:colOff>
      <xdr:row>0</xdr:row>
      <xdr:rowOff>285714</xdr:rowOff>
    </xdr:to>
    <xdr:pic>
      <xdr:nvPicPr>
        <xdr:cNvPr id="176" name="Grafik 202" descr="AHB Logo.png"/>
        <xdr:cNvPicPr>
          <a:picLocks noChangeAspect="1"/>
        </xdr:cNvPicPr>
      </xdr:nvPicPr>
      <xdr:blipFill>
        <a:blip xmlns:r="http://schemas.openxmlformats.org/officeDocument/2006/relationships" r:embed="rId1" cstate="print"/>
        <a:stretch>
          <a:fillRect/>
        </a:stretch>
      </xdr:blipFill>
      <xdr:spPr>
        <a:xfrm>
          <a:off x="0" y="0"/>
          <a:ext cx="1657143" cy="285714"/>
        </a:xfrm>
        <a:prstGeom prst="rect">
          <a:avLst/>
        </a:prstGeom>
      </xdr:spPr>
    </xdr:pic>
    <xdr:clientData/>
  </xdr:twoCellAnchor>
  <xdr:twoCellAnchor>
    <xdr:from>
      <xdr:col>13</xdr:col>
      <xdr:colOff>388287</xdr:colOff>
      <xdr:row>8</xdr:row>
      <xdr:rowOff>54587</xdr:rowOff>
    </xdr:from>
    <xdr:to>
      <xdr:col>14</xdr:col>
      <xdr:colOff>786</xdr:colOff>
      <xdr:row>10</xdr:row>
      <xdr:rowOff>18062</xdr:rowOff>
    </xdr:to>
    <xdr:grpSp>
      <xdr:nvGrpSpPr>
        <xdr:cNvPr id="309" name="Gruppieren 308"/>
        <xdr:cNvGrpSpPr/>
      </xdr:nvGrpSpPr>
      <xdr:grpSpPr>
        <a:xfrm>
          <a:off x="5912787" y="2178662"/>
          <a:ext cx="126849" cy="201600"/>
          <a:chOff x="6665123" y="2144244"/>
          <a:chExt cx="126016" cy="200859"/>
        </a:xfrm>
      </xdr:grpSpPr>
      <xdr:sp macro="" textlink="">
        <xdr:nvSpPr>
          <xdr:cNvPr id="31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1" name="Gerade Verbindung 134"/>
          <xdr:cNvCxnSpPr>
            <a:stCxn id="310" idx="4"/>
            <a:endCxn id="3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13</xdr:row>
      <xdr:rowOff>140313</xdr:rowOff>
    </xdr:from>
    <xdr:to>
      <xdr:col>13</xdr:col>
      <xdr:colOff>515136</xdr:colOff>
      <xdr:row>15</xdr:row>
      <xdr:rowOff>21570</xdr:rowOff>
    </xdr:to>
    <xdr:grpSp>
      <xdr:nvGrpSpPr>
        <xdr:cNvPr id="314" name="Gruppieren 313"/>
        <xdr:cNvGrpSpPr/>
      </xdr:nvGrpSpPr>
      <xdr:grpSpPr>
        <a:xfrm>
          <a:off x="5912787" y="2988288"/>
          <a:ext cx="126849" cy="205107"/>
          <a:chOff x="6665123" y="2144244"/>
          <a:chExt cx="126016" cy="200859"/>
        </a:xfrm>
      </xdr:grpSpPr>
      <xdr:sp macro="" textlink="">
        <xdr:nvSpPr>
          <xdr:cNvPr id="31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6" name="Gerade Verbindung 134"/>
          <xdr:cNvCxnSpPr>
            <a:stCxn id="315" idx="4"/>
            <a:endCxn id="3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375653</xdr:colOff>
      <xdr:row>14</xdr:row>
      <xdr:rowOff>140313</xdr:rowOff>
    </xdr:from>
    <xdr:to>
      <xdr:col>17</xdr:col>
      <xdr:colOff>502502</xdr:colOff>
      <xdr:row>16</xdr:row>
      <xdr:rowOff>21570</xdr:rowOff>
    </xdr:to>
    <xdr:grpSp>
      <xdr:nvGrpSpPr>
        <xdr:cNvPr id="319" name="Gruppieren 318"/>
        <xdr:cNvGrpSpPr/>
      </xdr:nvGrpSpPr>
      <xdr:grpSpPr>
        <a:xfrm>
          <a:off x="7005053" y="3150213"/>
          <a:ext cx="126849" cy="205107"/>
          <a:chOff x="6665123" y="2144244"/>
          <a:chExt cx="126016" cy="200859"/>
        </a:xfrm>
      </xdr:grpSpPr>
      <xdr:sp macro="" textlink="">
        <xdr:nvSpPr>
          <xdr:cNvPr id="32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13</xdr:row>
      <xdr:rowOff>145327</xdr:rowOff>
    </xdr:from>
    <xdr:to>
      <xdr:col>5</xdr:col>
      <xdr:colOff>502502</xdr:colOff>
      <xdr:row>15</xdr:row>
      <xdr:rowOff>26584</xdr:rowOff>
    </xdr:to>
    <xdr:grpSp>
      <xdr:nvGrpSpPr>
        <xdr:cNvPr id="324" name="Gruppieren 323"/>
        <xdr:cNvGrpSpPr/>
      </xdr:nvGrpSpPr>
      <xdr:grpSpPr>
        <a:xfrm>
          <a:off x="2394953" y="2993302"/>
          <a:ext cx="126849" cy="205107"/>
          <a:chOff x="6665123" y="2144244"/>
          <a:chExt cx="126016" cy="200859"/>
        </a:xfrm>
      </xdr:grpSpPr>
      <xdr:sp macro="" textlink="">
        <xdr:nvSpPr>
          <xdr:cNvPr id="32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6" name="Gerade Verbindung 134"/>
          <xdr:cNvCxnSpPr>
            <a:stCxn id="325" idx="4"/>
            <a:endCxn id="3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17</xdr:row>
      <xdr:rowOff>140315</xdr:rowOff>
    </xdr:from>
    <xdr:to>
      <xdr:col>5</xdr:col>
      <xdr:colOff>502502</xdr:colOff>
      <xdr:row>19</xdr:row>
      <xdr:rowOff>21572</xdr:rowOff>
    </xdr:to>
    <xdr:grpSp>
      <xdr:nvGrpSpPr>
        <xdr:cNvPr id="329" name="Gruppieren 328"/>
        <xdr:cNvGrpSpPr/>
      </xdr:nvGrpSpPr>
      <xdr:grpSpPr>
        <a:xfrm>
          <a:off x="2394953" y="3635990"/>
          <a:ext cx="126849" cy="205107"/>
          <a:chOff x="6665123" y="2144244"/>
          <a:chExt cx="126016" cy="200859"/>
        </a:xfrm>
      </xdr:grpSpPr>
      <xdr:sp macro="" textlink="">
        <xdr:nvSpPr>
          <xdr:cNvPr id="33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1" name="Gerade Verbindung 134"/>
          <xdr:cNvCxnSpPr>
            <a:stCxn id="330" idx="4"/>
            <a:endCxn id="3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17</xdr:row>
      <xdr:rowOff>140313</xdr:rowOff>
    </xdr:from>
    <xdr:to>
      <xdr:col>13</xdr:col>
      <xdr:colOff>515136</xdr:colOff>
      <xdr:row>19</xdr:row>
      <xdr:rowOff>21570</xdr:rowOff>
    </xdr:to>
    <xdr:grpSp>
      <xdr:nvGrpSpPr>
        <xdr:cNvPr id="334" name="Gruppieren 333"/>
        <xdr:cNvGrpSpPr/>
      </xdr:nvGrpSpPr>
      <xdr:grpSpPr>
        <a:xfrm>
          <a:off x="5912787" y="3635988"/>
          <a:ext cx="126849" cy="205107"/>
          <a:chOff x="6665123" y="2144244"/>
          <a:chExt cx="126016" cy="200859"/>
        </a:xfrm>
      </xdr:grpSpPr>
      <xdr:sp macro="" textlink="">
        <xdr:nvSpPr>
          <xdr:cNvPr id="33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6" name="Gerade Verbindung 134"/>
          <xdr:cNvCxnSpPr>
            <a:stCxn id="335" idx="4"/>
            <a:endCxn id="3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21</xdr:row>
      <xdr:rowOff>140312</xdr:rowOff>
    </xdr:from>
    <xdr:to>
      <xdr:col>13</xdr:col>
      <xdr:colOff>515136</xdr:colOff>
      <xdr:row>23</xdr:row>
      <xdr:rowOff>21569</xdr:rowOff>
    </xdr:to>
    <xdr:grpSp>
      <xdr:nvGrpSpPr>
        <xdr:cNvPr id="339" name="Gruppieren 338"/>
        <xdr:cNvGrpSpPr/>
      </xdr:nvGrpSpPr>
      <xdr:grpSpPr>
        <a:xfrm>
          <a:off x="5912787" y="4283687"/>
          <a:ext cx="126849" cy="205107"/>
          <a:chOff x="6665123" y="2144244"/>
          <a:chExt cx="126016" cy="200859"/>
        </a:xfrm>
      </xdr:grpSpPr>
      <xdr:sp macro="" textlink="">
        <xdr:nvSpPr>
          <xdr:cNvPr id="34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1" name="Gerade Verbindung 134"/>
          <xdr:cNvCxnSpPr>
            <a:stCxn id="340" idx="4"/>
            <a:endCxn id="3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21</xdr:row>
      <xdr:rowOff>140314</xdr:rowOff>
    </xdr:from>
    <xdr:to>
      <xdr:col>5</xdr:col>
      <xdr:colOff>502502</xdr:colOff>
      <xdr:row>23</xdr:row>
      <xdr:rowOff>21571</xdr:rowOff>
    </xdr:to>
    <xdr:grpSp>
      <xdr:nvGrpSpPr>
        <xdr:cNvPr id="344" name="Gruppieren 343"/>
        <xdr:cNvGrpSpPr/>
      </xdr:nvGrpSpPr>
      <xdr:grpSpPr>
        <a:xfrm>
          <a:off x="2394953" y="4283689"/>
          <a:ext cx="126849" cy="205107"/>
          <a:chOff x="6665123" y="2144244"/>
          <a:chExt cx="126016" cy="200859"/>
        </a:xfrm>
      </xdr:grpSpPr>
      <xdr:sp macro="" textlink="">
        <xdr:nvSpPr>
          <xdr:cNvPr id="34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6" name="Gerade Verbindung 134"/>
          <xdr:cNvCxnSpPr>
            <a:stCxn id="345" idx="4"/>
            <a:endCxn id="3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24</xdr:row>
      <xdr:rowOff>140314</xdr:rowOff>
    </xdr:from>
    <xdr:to>
      <xdr:col>5</xdr:col>
      <xdr:colOff>502502</xdr:colOff>
      <xdr:row>26</xdr:row>
      <xdr:rowOff>21571</xdr:rowOff>
    </xdr:to>
    <xdr:grpSp>
      <xdr:nvGrpSpPr>
        <xdr:cNvPr id="349" name="Gruppieren 348"/>
        <xdr:cNvGrpSpPr/>
      </xdr:nvGrpSpPr>
      <xdr:grpSpPr>
        <a:xfrm>
          <a:off x="2394953" y="4769464"/>
          <a:ext cx="126849" cy="205107"/>
          <a:chOff x="6665123" y="2144244"/>
          <a:chExt cx="126016" cy="200859"/>
        </a:xfrm>
      </xdr:grpSpPr>
      <xdr:sp macro="" textlink="">
        <xdr:nvSpPr>
          <xdr:cNvPr id="35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1" name="Gerade Verbindung 134"/>
          <xdr:cNvCxnSpPr>
            <a:stCxn id="350" idx="4"/>
            <a:endCxn id="3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26</xdr:row>
      <xdr:rowOff>140314</xdr:rowOff>
    </xdr:from>
    <xdr:to>
      <xdr:col>5</xdr:col>
      <xdr:colOff>502502</xdr:colOff>
      <xdr:row>28</xdr:row>
      <xdr:rowOff>21571</xdr:rowOff>
    </xdr:to>
    <xdr:grpSp>
      <xdr:nvGrpSpPr>
        <xdr:cNvPr id="354" name="Gruppieren 353"/>
        <xdr:cNvGrpSpPr/>
      </xdr:nvGrpSpPr>
      <xdr:grpSpPr>
        <a:xfrm>
          <a:off x="2394953" y="5093314"/>
          <a:ext cx="126849" cy="205107"/>
          <a:chOff x="6665123" y="2144244"/>
          <a:chExt cx="126016" cy="200859"/>
        </a:xfrm>
      </xdr:grpSpPr>
      <xdr:sp macro="" textlink="">
        <xdr:nvSpPr>
          <xdr:cNvPr id="35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6" name="Gerade Verbindung 134"/>
          <xdr:cNvCxnSpPr>
            <a:stCxn id="355" idx="4"/>
            <a:endCxn id="3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25</xdr:row>
      <xdr:rowOff>140313</xdr:rowOff>
    </xdr:from>
    <xdr:to>
      <xdr:col>13</xdr:col>
      <xdr:colOff>515136</xdr:colOff>
      <xdr:row>27</xdr:row>
      <xdr:rowOff>21570</xdr:rowOff>
    </xdr:to>
    <xdr:grpSp>
      <xdr:nvGrpSpPr>
        <xdr:cNvPr id="359" name="Gruppieren 358"/>
        <xdr:cNvGrpSpPr/>
      </xdr:nvGrpSpPr>
      <xdr:grpSpPr>
        <a:xfrm>
          <a:off x="5912787" y="4931388"/>
          <a:ext cx="126849" cy="205107"/>
          <a:chOff x="6665123" y="2144244"/>
          <a:chExt cx="126016" cy="200859"/>
        </a:xfrm>
      </xdr:grpSpPr>
      <xdr:sp macro="" textlink="">
        <xdr:nvSpPr>
          <xdr:cNvPr id="36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375654</xdr:colOff>
      <xdr:row>29</xdr:row>
      <xdr:rowOff>140313</xdr:rowOff>
    </xdr:from>
    <xdr:to>
      <xdr:col>17</xdr:col>
      <xdr:colOff>502503</xdr:colOff>
      <xdr:row>31</xdr:row>
      <xdr:rowOff>21570</xdr:rowOff>
    </xdr:to>
    <xdr:grpSp>
      <xdr:nvGrpSpPr>
        <xdr:cNvPr id="364" name="Gruppieren 363"/>
        <xdr:cNvGrpSpPr/>
      </xdr:nvGrpSpPr>
      <xdr:grpSpPr>
        <a:xfrm>
          <a:off x="7005054" y="5579088"/>
          <a:ext cx="126849" cy="205107"/>
          <a:chOff x="6665123" y="2144244"/>
          <a:chExt cx="126016" cy="200859"/>
        </a:xfrm>
      </xdr:grpSpPr>
      <xdr:sp macro="" textlink="">
        <xdr:nvSpPr>
          <xdr:cNvPr id="36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29</xdr:row>
      <xdr:rowOff>140314</xdr:rowOff>
    </xdr:from>
    <xdr:to>
      <xdr:col>5</xdr:col>
      <xdr:colOff>508217</xdr:colOff>
      <xdr:row>31</xdr:row>
      <xdr:rowOff>21571</xdr:rowOff>
    </xdr:to>
    <xdr:grpSp>
      <xdr:nvGrpSpPr>
        <xdr:cNvPr id="369" name="Gruppieren 368"/>
        <xdr:cNvGrpSpPr/>
      </xdr:nvGrpSpPr>
      <xdr:grpSpPr>
        <a:xfrm>
          <a:off x="2400668" y="5579089"/>
          <a:ext cx="126849" cy="205107"/>
          <a:chOff x="6665123" y="2144244"/>
          <a:chExt cx="126016" cy="200859"/>
        </a:xfrm>
      </xdr:grpSpPr>
      <xdr:sp macro="" textlink="">
        <xdr:nvSpPr>
          <xdr:cNvPr id="37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31</xdr:row>
      <xdr:rowOff>140314</xdr:rowOff>
    </xdr:from>
    <xdr:to>
      <xdr:col>5</xdr:col>
      <xdr:colOff>502502</xdr:colOff>
      <xdr:row>33</xdr:row>
      <xdr:rowOff>21571</xdr:rowOff>
    </xdr:to>
    <xdr:grpSp>
      <xdr:nvGrpSpPr>
        <xdr:cNvPr id="374" name="Gruppieren 373"/>
        <xdr:cNvGrpSpPr/>
      </xdr:nvGrpSpPr>
      <xdr:grpSpPr>
        <a:xfrm>
          <a:off x="2394953" y="5902939"/>
          <a:ext cx="126849" cy="205107"/>
          <a:chOff x="6665123" y="2144244"/>
          <a:chExt cx="126016" cy="200859"/>
        </a:xfrm>
      </xdr:grpSpPr>
      <xdr:sp macro="" textlink="">
        <xdr:nvSpPr>
          <xdr:cNvPr id="37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30</xdr:row>
      <xdr:rowOff>140313</xdr:rowOff>
    </xdr:from>
    <xdr:to>
      <xdr:col>13</xdr:col>
      <xdr:colOff>515136</xdr:colOff>
      <xdr:row>32</xdr:row>
      <xdr:rowOff>21570</xdr:rowOff>
    </xdr:to>
    <xdr:grpSp>
      <xdr:nvGrpSpPr>
        <xdr:cNvPr id="379" name="Gruppieren 378"/>
        <xdr:cNvGrpSpPr/>
      </xdr:nvGrpSpPr>
      <xdr:grpSpPr>
        <a:xfrm>
          <a:off x="5912787" y="5741013"/>
          <a:ext cx="126849" cy="205107"/>
          <a:chOff x="6665123" y="2144244"/>
          <a:chExt cx="126016" cy="200859"/>
        </a:xfrm>
      </xdr:grpSpPr>
      <xdr:sp macro="" textlink="">
        <xdr:nvSpPr>
          <xdr:cNvPr id="38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33</xdr:row>
      <xdr:rowOff>140314</xdr:rowOff>
    </xdr:from>
    <xdr:to>
      <xdr:col>5</xdr:col>
      <xdr:colOff>502502</xdr:colOff>
      <xdr:row>35</xdr:row>
      <xdr:rowOff>21571</xdr:rowOff>
    </xdr:to>
    <xdr:grpSp>
      <xdr:nvGrpSpPr>
        <xdr:cNvPr id="384" name="Gruppieren 383"/>
        <xdr:cNvGrpSpPr/>
      </xdr:nvGrpSpPr>
      <xdr:grpSpPr>
        <a:xfrm>
          <a:off x="2394953" y="6226789"/>
          <a:ext cx="126849" cy="205107"/>
          <a:chOff x="6665123" y="2144244"/>
          <a:chExt cx="126016" cy="200859"/>
        </a:xfrm>
      </xdr:grpSpPr>
      <xdr:sp macro="" textlink="">
        <xdr:nvSpPr>
          <xdr:cNvPr id="38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35</xdr:row>
      <xdr:rowOff>140314</xdr:rowOff>
    </xdr:from>
    <xdr:to>
      <xdr:col>5</xdr:col>
      <xdr:colOff>502502</xdr:colOff>
      <xdr:row>37</xdr:row>
      <xdr:rowOff>21571</xdr:rowOff>
    </xdr:to>
    <xdr:grpSp>
      <xdr:nvGrpSpPr>
        <xdr:cNvPr id="389" name="Gruppieren 388"/>
        <xdr:cNvGrpSpPr/>
      </xdr:nvGrpSpPr>
      <xdr:grpSpPr>
        <a:xfrm>
          <a:off x="2394953" y="6550639"/>
          <a:ext cx="126849" cy="205107"/>
          <a:chOff x="6665123" y="2144244"/>
          <a:chExt cx="126016" cy="200859"/>
        </a:xfrm>
      </xdr:grpSpPr>
      <xdr:sp macro="" textlink="">
        <xdr:nvSpPr>
          <xdr:cNvPr id="39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34</xdr:row>
      <xdr:rowOff>140313</xdr:rowOff>
    </xdr:from>
    <xdr:to>
      <xdr:col>14</xdr:col>
      <xdr:colOff>786</xdr:colOff>
      <xdr:row>36</xdr:row>
      <xdr:rowOff>21570</xdr:rowOff>
    </xdr:to>
    <xdr:grpSp>
      <xdr:nvGrpSpPr>
        <xdr:cNvPr id="394" name="Gruppieren 393"/>
        <xdr:cNvGrpSpPr/>
      </xdr:nvGrpSpPr>
      <xdr:grpSpPr>
        <a:xfrm>
          <a:off x="5912787" y="6388713"/>
          <a:ext cx="126849" cy="205107"/>
          <a:chOff x="6665123" y="2144244"/>
          <a:chExt cx="126016" cy="200859"/>
        </a:xfrm>
      </xdr:grpSpPr>
      <xdr:sp macro="" textlink="">
        <xdr:nvSpPr>
          <xdr:cNvPr id="39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37</xdr:row>
      <xdr:rowOff>138363</xdr:rowOff>
    </xdr:from>
    <xdr:to>
      <xdr:col>0</xdr:col>
      <xdr:colOff>131029</xdr:colOff>
      <xdr:row>39</xdr:row>
      <xdr:rowOff>19619</xdr:rowOff>
    </xdr:to>
    <xdr:grpSp>
      <xdr:nvGrpSpPr>
        <xdr:cNvPr id="399" name="Gruppieren 398"/>
        <xdr:cNvGrpSpPr/>
      </xdr:nvGrpSpPr>
      <xdr:grpSpPr>
        <a:xfrm flipH="1">
          <a:off x="5013" y="6872538"/>
          <a:ext cx="126016" cy="205106"/>
          <a:chOff x="6665123" y="2144244"/>
          <a:chExt cx="126016" cy="200859"/>
        </a:xfrm>
      </xdr:grpSpPr>
      <xdr:sp macro="" textlink="">
        <xdr:nvSpPr>
          <xdr:cNvPr id="40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37</xdr:row>
      <xdr:rowOff>140314</xdr:rowOff>
    </xdr:from>
    <xdr:to>
      <xdr:col>14</xdr:col>
      <xdr:colOff>786</xdr:colOff>
      <xdr:row>39</xdr:row>
      <xdr:rowOff>21570</xdr:rowOff>
    </xdr:to>
    <xdr:grpSp>
      <xdr:nvGrpSpPr>
        <xdr:cNvPr id="404" name="Gruppieren 403"/>
        <xdr:cNvGrpSpPr/>
      </xdr:nvGrpSpPr>
      <xdr:grpSpPr>
        <a:xfrm>
          <a:off x="5912787" y="6874489"/>
          <a:ext cx="126849" cy="205106"/>
          <a:chOff x="6665123" y="2144244"/>
          <a:chExt cx="126016" cy="200859"/>
        </a:xfrm>
      </xdr:grpSpPr>
      <xdr:sp macro="" textlink="">
        <xdr:nvSpPr>
          <xdr:cNvPr id="40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39</xdr:row>
      <xdr:rowOff>140313</xdr:rowOff>
    </xdr:from>
    <xdr:to>
      <xdr:col>5</xdr:col>
      <xdr:colOff>502502</xdr:colOff>
      <xdr:row>41</xdr:row>
      <xdr:rowOff>21570</xdr:rowOff>
    </xdr:to>
    <xdr:grpSp>
      <xdr:nvGrpSpPr>
        <xdr:cNvPr id="409" name="Gruppieren 408"/>
        <xdr:cNvGrpSpPr/>
      </xdr:nvGrpSpPr>
      <xdr:grpSpPr>
        <a:xfrm>
          <a:off x="2394953" y="7198338"/>
          <a:ext cx="126849" cy="205107"/>
          <a:chOff x="6665123" y="2144244"/>
          <a:chExt cx="126016" cy="200859"/>
        </a:xfrm>
      </xdr:grpSpPr>
      <xdr:sp macro="" textlink="">
        <xdr:nvSpPr>
          <xdr:cNvPr id="41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39</xdr:row>
      <xdr:rowOff>143376</xdr:rowOff>
    </xdr:from>
    <xdr:to>
      <xdr:col>10</xdr:col>
      <xdr:colOff>139853</xdr:colOff>
      <xdr:row>41</xdr:row>
      <xdr:rowOff>24633</xdr:rowOff>
    </xdr:to>
    <xdr:grpSp>
      <xdr:nvGrpSpPr>
        <xdr:cNvPr id="414" name="Gruppieren 413"/>
        <xdr:cNvGrpSpPr/>
      </xdr:nvGrpSpPr>
      <xdr:grpSpPr>
        <a:xfrm flipH="1">
          <a:off x="4547737" y="7201401"/>
          <a:ext cx="126016" cy="205107"/>
          <a:chOff x="6665123" y="2144244"/>
          <a:chExt cx="126016" cy="200859"/>
        </a:xfrm>
      </xdr:grpSpPr>
      <xdr:sp macro="" textlink="">
        <xdr:nvSpPr>
          <xdr:cNvPr id="41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41</xdr:row>
      <xdr:rowOff>138362</xdr:rowOff>
    </xdr:from>
    <xdr:to>
      <xdr:col>0</xdr:col>
      <xdr:colOff>131029</xdr:colOff>
      <xdr:row>43</xdr:row>
      <xdr:rowOff>19619</xdr:rowOff>
    </xdr:to>
    <xdr:grpSp>
      <xdr:nvGrpSpPr>
        <xdr:cNvPr id="419" name="Gruppieren 418"/>
        <xdr:cNvGrpSpPr/>
      </xdr:nvGrpSpPr>
      <xdr:grpSpPr>
        <a:xfrm flipH="1">
          <a:off x="5013" y="7520237"/>
          <a:ext cx="126016" cy="205107"/>
          <a:chOff x="6665123" y="2144244"/>
          <a:chExt cx="126016" cy="200859"/>
        </a:xfrm>
      </xdr:grpSpPr>
      <xdr:sp macro="" textlink="">
        <xdr:nvSpPr>
          <xdr:cNvPr id="42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1" name="Gerade Verbindung 134"/>
          <xdr:cNvCxnSpPr>
            <a:stCxn id="420" idx="4"/>
            <a:endCxn id="4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43</xdr:row>
      <xdr:rowOff>140313</xdr:rowOff>
    </xdr:from>
    <xdr:to>
      <xdr:col>5</xdr:col>
      <xdr:colOff>502502</xdr:colOff>
      <xdr:row>45</xdr:row>
      <xdr:rowOff>21570</xdr:rowOff>
    </xdr:to>
    <xdr:grpSp>
      <xdr:nvGrpSpPr>
        <xdr:cNvPr id="424" name="Gruppieren 423"/>
        <xdr:cNvGrpSpPr/>
      </xdr:nvGrpSpPr>
      <xdr:grpSpPr>
        <a:xfrm>
          <a:off x="2394953" y="7846038"/>
          <a:ext cx="126849" cy="205107"/>
          <a:chOff x="6665123" y="2144244"/>
          <a:chExt cx="126016" cy="200859"/>
        </a:xfrm>
      </xdr:grpSpPr>
      <xdr:sp macro="" textlink="">
        <xdr:nvSpPr>
          <xdr:cNvPr id="42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43</xdr:row>
      <xdr:rowOff>143375</xdr:rowOff>
    </xdr:from>
    <xdr:to>
      <xdr:col>10</xdr:col>
      <xdr:colOff>139853</xdr:colOff>
      <xdr:row>45</xdr:row>
      <xdr:rowOff>24632</xdr:rowOff>
    </xdr:to>
    <xdr:grpSp>
      <xdr:nvGrpSpPr>
        <xdr:cNvPr id="429" name="Gruppieren 428"/>
        <xdr:cNvGrpSpPr/>
      </xdr:nvGrpSpPr>
      <xdr:grpSpPr>
        <a:xfrm flipH="1">
          <a:off x="4547737" y="7849100"/>
          <a:ext cx="126016" cy="205107"/>
          <a:chOff x="6665123" y="2144244"/>
          <a:chExt cx="126016" cy="200859"/>
        </a:xfrm>
      </xdr:grpSpPr>
      <xdr:sp macro="" textlink="">
        <xdr:nvSpPr>
          <xdr:cNvPr id="43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13837</xdr:colOff>
      <xdr:row>42</xdr:row>
      <xdr:rowOff>143376</xdr:rowOff>
    </xdr:from>
    <xdr:to>
      <xdr:col>17</xdr:col>
      <xdr:colOff>139853</xdr:colOff>
      <xdr:row>44</xdr:row>
      <xdr:rowOff>24633</xdr:rowOff>
    </xdr:to>
    <xdr:grpSp>
      <xdr:nvGrpSpPr>
        <xdr:cNvPr id="434" name="Gruppieren 433"/>
        <xdr:cNvGrpSpPr/>
      </xdr:nvGrpSpPr>
      <xdr:grpSpPr>
        <a:xfrm flipH="1">
          <a:off x="6643237" y="7687176"/>
          <a:ext cx="126016" cy="205107"/>
          <a:chOff x="6665123" y="2144244"/>
          <a:chExt cx="126016" cy="200859"/>
        </a:xfrm>
      </xdr:grpSpPr>
      <xdr:sp macro="" textlink="">
        <xdr:nvSpPr>
          <xdr:cNvPr id="43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41</xdr:row>
      <xdr:rowOff>140314</xdr:rowOff>
    </xdr:from>
    <xdr:to>
      <xdr:col>13</xdr:col>
      <xdr:colOff>515136</xdr:colOff>
      <xdr:row>43</xdr:row>
      <xdr:rowOff>21571</xdr:rowOff>
    </xdr:to>
    <xdr:grpSp>
      <xdr:nvGrpSpPr>
        <xdr:cNvPr id="439" name="Gruppieren 438"/>
        <xdr:cNvGrpSpPr/>
      </xdr:nvGrpSpPr>
      <xdr:grpSpPr>
        <a:xfrm>
          <a:off x="5912787" y="7522189"/>
          <a:ext cx="126849" cy="205107"/>
          <a:chOff x="6665123" y="2144244"/>
          <a:chExt cx="126016" cy="200859"/>
        </a:xfrm>
      </xdr:grpSpPr>
      <xdr:sp macro="" textlink="">
        <xdr:nvSpPr>
          <xdr:cNvPr id="44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45</xdr:row>
      <xdr:rowOff>138362</xdr:rowOff>
    </xdr:from>
    <xdr:to>
      <xdr:col>0</xdr:col>
      <xdr:colOff>131029</xdr:colOff>
      <xdr:row>47</xdr:row>
      <xdr:rowOff>19619</xdr:rowOff>
    </xdr:to>
    <xdr:grpSp>
      <xdr:nvGrpSpPr>
        <xdr:cNvPr id="444" name="Gruppieren 443"/>
        <xdr:cNvGrpSpPr/>
      </xdr:nvGrpSpPr>
      <xdr:grpSpPr>
        <a:xfrm flipH="1">
          <a:off x="5013" y="8167937"/>
          <a:ext cx="126016" cy="205107"/>
          <a:chOff x="6665123" y="2144244"/>
          <a:chExt cx="126016" cy="200859"/>
        </a:xfrm>
      </xdr:grpSpPr>
      <xdr:sp macro="" textlink="">
        <xdr:nvSpPr>
          <xdr:cNvPr id="44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6" name="Gerade Verbindung 134"/>
          <xdr:cNvCxnSpPr>
            <a:stCxn id="445" idx="4"/>
            <a:endCxn id="4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49</xdr:row>
      <xdr:rowOff>138362</xdr:rowOff>
    </xdr:from>
    <xdr:to>
      <xdr:col>0</xdr:col>
      <xdr:colOff>131029</xdr:colOff>
      <xdr:row>51</xdr:row>
      <xdr:rowOff>19619</xdr:rowOff>
    </xdr:to>
    <xdr:grpSp>
      <xdr:nvGrpSpPr>
        <xdr:cNvPr id="449" name="Gruppieren 448"/>
        <xdr:cNvGrpSpPr/>
      </xdr:nvGrpSpPr>
      <xdr:grpSpPr>
        <a:xfrm flipH="1">
          <a:off x="5013" y="8815637"/>
          <a:ext cx="126016" cy="205107"/>
          <a:chOff x="6665123" y="2144244"/>
          <a:chExt cx="126016" cy="200859"/>
        </a:xfrm>
      </xdr:grpSpPr>
      <xdr:sp macro="" textlink="">
        <xdr:nvSpPr>
          <xdr:cNvPr id="45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1" name="Gerade Verbindung 134"/>
          <xdr:cNvCxnSpPr>
            <a:stCxn id="450" idx="4"/>
            <a:endCxn id="4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47</xdr:row>
      <xdr:rowOff>140313</xdr:rowOff>
    </xdr:from>
    <xdr:to>
      <xdr:col>5</xdr:col>
      <xdr:colOff>502502</xdr:colOff>
      <xdr:row>49</xdr:row>
      <xdr:rowOff>21570</xdr:rowOff>
    </xdr:to>
    <xdr:grpSp>
      <xdr:nvGrpSpPr>
        <xdr:cNvPr id="454" name="Gruppieren 453"/>
        <xdr:cNvGrpSpPr/>
      </xdr:nvGrpSpPr>
      <xdr:grpSpPr>
        <a:xfrm>
          <a:off x="2394953" y="8493738"/>
          <a:ext cx="126849" cy="205107"/>
          <a:chOff x="6665123" y="2144244"/>
          <a:chExt cx="126016" cy="200859"/>
        </a:xfrm>
      </xdr:grpSpPr>
      <xdr:sp macro="" textlink="">
        <xdr:nvSpPr>
          <xdr:cNvPr id="45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47</xdr:row>
      <xdr:rowOff>138361</xdr:rowOff>
    </xdr:from>
    <xdr:to>
      <xdr:col>10</xdr:col>
      <xdr:colOff>139853</xdr:colOff>
      <xdr:row>49</xdr:row>
      <xdr:rowOff>19618</xdr:rowOff>
    </xdr:to>
    <xdr:grpSp>
      <xdr:nvGrpSpPr>
        <xdr:cNvPr id="459" name="Gruppieren 458"/>
        <xdr:cNvGrpSpPr/>
      </xdr:nvGrpSpPr>
      <xdr:grpSpPr>
        <a:xfrm flipH="1">
          <a:off x="4547737" y="8491786"/>
          <a:ext cx="126016" cy="205107"/>
          <a:chOff x="6665123" y="2144244"/>
          <a:chExt cx="126016" cy="200859"/>
        </a:xfrm>
      </xdr:grpSpPr>
      <xdr:sp macro="" textlink="">
        <xdr:nvSpPr>
          <xdr:cNvPr id="46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1" name="Gerade Verbindung 134"/>
          <xdr:cNvCxnSpPr>
            <a:stCxn id="460" idx="4"/>
            <a:endCxn id="4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57</xdr:row>
      <xdr:rowOff>145327</xdr:rowOff>
    </xdr:from>
    <xdr:to>
      <xdr:col>5</xdr:col>
      <xdr:colOff>502502</xdr:colOff>
      <xdr:row>59</xdr:row>
      <xdr:rowOff>26584</xdr:rowOff>
    </xdr:to>
    <xdr:grpSp>
      <xdr:nvGrpSpPr>
        <xdr:cNvPr id="469" name="Gruppieren 468"/>
        <xdr:cNvGrpSpPr/>
      </xdr:nvGrpSpPr>
      <xdr:grpSpPr>
        <a:xfrm>
          <a:off x="2394953" y="10032277"/>
          <a:ext cx="126849" cy="205107"/>
          <a:chOff x="6665123" y="2144244"/>
          <a:chExt cx="126016" cy="200859"/>
        </a:xfrm>
      </xdr:grpSpPr>
      <xdr:sp macro="" textlink="">
        <xdr:nvSpPr>
          <xdr:cNvPr id="47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1" name="Gerade Verbindung 134"/>
          <xdr:cNvCxnSpPr>
            <a:stCxn id="470" idx="4"/>
            <a:endCxn id="4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50</xdr:row>
      <xdr:rowOff>143374</xdr:rowOff>
    </xdr:from>
    <xdr:to>
      <xdr:col>10</xdr:col>
      <xdr:colOff>139853</xdr:colOff>
      <xdr:row>52</xdr:row>
      <xdr:rowOff>24631</xdr:rowOff>
    </xdr:to>
    <xdr:grpSp>
      <xdr:nvGrpSpPr>
        <xdr:cNvPr id="474" name="Gruppieren 473"/>
        <xdr:cNvGrpSpPr/>
      </xdr:nvGrpSpPr>
      <xdr:grpSpPr>
        <a:xfrm flipH="1">
          <a:off x="4547737" y="8982574"/>
          <a:ext cx="126016" cy="205107"/>
          <a:chOff x="6665123" y="2144244"/>
          <a:chExt cx="126016" cy="200859"/>
        </a:xfrm>
      </xdr:grpSpPr>
      <xdr:sp macro="" textlink="">
        <xdr:nvSpPr>
          <xdr:cNvPr id="47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45</xdr:row>
      <xdr:rowOff>140314</xdr:rowOff>
    </xdr:from>
    <xdr:to>
      <xdr:col>13</xdr:col>
      <xdr:colOff>515136</xdr:colOff>
      <xdr:row>47</xdr:row>
      <xdr:rowOff>21571</xdr:rowOff>
    </xdr:to>
    <xdr:grpSp>
      <xdr:nvGrpSpPr>
        <xdr:cNvPr id="479" name="Gruppieren 478"/>
        <xdr:cNvGrpSpPr/>
      </xdr:nvGrpSpPr>
      <xdr:grpSpPr>
        <a:xfrm>
          <a:off x="5912787" y="8169889"/>
          <a:ext cx="126849" cy="205107"/>
          <a:chOff x="6665123" y="2144244"/>
          <a:chExt cx="126016" cy="200859"/>
        </a:xfrm>
      </xdr:grpSpPr>
      <xdr:sp macro="" textlink="">
        <xdr:nvSpPr>
          <xdr:cNvPr id="48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56</xdr:row>
      <xdr:rowOff>140315</xdr:rowOff>
    </xdr:from>
    <xdr:to>
      <xdr:col>13</xdr:col>
      <xdr:colOff>515136</xdr:colOff>
      <xdr:row>58</xdr:row>
      <xdr:rowOff>21572</xdr:rowOff>
    </xdr:to>
    <xdr:grpSp>
      <xdr:nvGrpSpPr>
        <xdr:cNvPr id="484" name="Gruppieren 483"/>
        <xdr:cNvGrpSpPr/>
      </xdr:nvGrpSpPr>
      <xdr:grpSpPr>
        <a:xfrm>
          <a:off x="5912787" y="9865340"/>
          <a:ext cx="126849" cy="205107"/>
          <a:chOff x="6665123" y="2144244"/>
          <a:chExt cx="126016" cy="200859"/>
        </a:xfrm>
      </xdr:grpSpPr>
      <xdr:sp macro="" textlink="">
        <xdr:nvSpPr>
          <xdr:cNvPr id="48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6" name="Gerade Verbindung 134"/>
          <xdr:cNvCxnSpPr>
            <a:stCxn id="485" idx="4"/>
            <a:endCxn id="4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13837</xdr:colOff>
      <xdr:row>56</xdr:row>
      <xdr:rowOff>138363</xdr:rowOff>
    </xdr:from>
    <xdr:to>
      <xdr:col>15</xdr:col>
      <xdr:colOff>139853</xdr:colOff>
      <xdr:row>58</xdr:row>
      <xdr:rowOff>19620</xdr:rowOff>
    </xdr:to>
    <xdr:grpSp>
      <xdr:nvGrpSpPr>
        <xdr:cNvPr id="489" name="Gruppieren 488"/>
        <xdr:cNvGrpSpPr/>
      </xdr:nvGrpSpPr>
      <xdr:grpSpPr>
        <a:xfrm flipH="1">
          <a:off x="6224137" y="9863388"/>
          <a:ext cx="126016" cy="205107"/>
          <a:chOff x="6665123" y="2144244"/>
          <a:chExt cx="126016" cy="200859"/>
        </a:xfrm>
      </xdr:grpSpPr>
      <xdr:sp macro="" textlink="">
        <xdr:nvSpPr>
          <xdr:cNvPr id="49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58</xdr:row>
      <xdr:rowOff>140316</xdr:rowOff>
    </xdr:from>
    <xdr:to>
      <xdr:col>13</xdr:col>
      <xdr:colOff>515136</xdr:colOff>
      <xdr:row>60</xdr:row>
      <xdr:rowOff>21573</xdr:rowOff>
    </xdr:to>
    <xdr:grpSp>
      <xdr:nvGrpSpPr>
        <xdr:cNvPr id="494" name="Gruppieren 493"/>
        <xdr:cNvGrpSpPr/>
      </xdr:nvGrpSpPr>
      <xdr:grpSpPr>
        <a:xfrm>
          <a:off x="5912787" y="10189191"/>
          <a:ext cx="126849" cy="205107"/>
          <a:chOff x="6665123" y="2144244"/>
          <a:chExt cx="126016" cy="200859"/>
        </a:xfrm>
      </xdr:grpSpPr>
      <xdr:sp macro="" textlink="">
        <xdr:nvSpPr>
          <xdr:cNvPr id="49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23362</xdr:colOff>
      <xdr:row>63</xdr:row>
      <xdr:rowOff>145172</xdr:rowOff>
    </xdr:from>
    <xdr:to>
      <xdr:col>10</xdr:col>
      <xdr:colOff>149378</xdr:colOff>
      <xdr:row>65</xdr:row>
      <xdr:rowOff>22922</xdr:rowOff>
    </xdr:to>
    <xdr:grpSp>
      <xdr:nvGrpSpPr>
        <xdr:cNvPr id="499" name="Gruppieren 498"/>
        <xdr:cNvGrpSpPr/>
      </xdr:nvGrpSpPr>
      <xdr:grpSpPr>
        <a:xfrm flipH="1">
          <a:off x="4557262" y="11003672"/>
          <a:ext cx="126016" cy="201600"/>
          <a:chOff x="6665123" y="2144244"/>
          <a:chExt cx="126016" cy="200859"/>
        </a:xfrm>
      </xdr:grpSpPr>
      <xdr:sp macro="" textlink="">
        <xdr:nvSpPr>
          <xdr:cNvPr id="50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65</xdr:row>
      <xdr:rowOff>140315</xdr:rowOff>
    </xdr:from>
    <xdr:to>
      <xdr:col>13</xdr:col>
      <xdr:colOff>515136</xdr:colOff>
      <xdr:row>67</xdr:row>
      <xdr:rowOff>21572</xdr:rowOff>
    </xdr:to>
    <xdr:grpSp>
      <xdr:nvGrpSpPr>
        <xdr:cNvPr id="504" name="Gruppieren 503"/>
        <xdr:cNvGrpSpPr/>
      </xdr:nvGrpSpPr>
      <xdr:grpSpPr>
        <a:xfrm>
          <a:off x="5912787" y="11322665"/>
          <a:ext cx="126849" cy="205107"/>
          <a:chOff x="6665123" y="2144244"/>
          <a:chExt cx="126016" cy="200859"/>
        </a:xfrm>
      </xdr:grpSpPr>
      <xdr:sp macro="" textlink="">
        <xdr:nvSpPr>
          <xdr:cNvPr id="50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4"/>
          <xdr:cNvCxnSpPr>
            <a:stCxn id="505" idx="4"/>
            <a:endCxn id="5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68</xdr:row>
      <xdr:rowOff>140315</xdr:rowOff>
    </xdr:from>
    <xdr:to>
      <xdr:col>13</xdr:col>
      <xdr:colOff>515136</xdr:colOff>
      <xdr:row>70</xdr:row>
      <xdr:rowOff>21572</xdr:rowOff>
    </xdr:to>
    <xdr:grpSp>
      <xdr:nvGrpSpPr>
        <xdr:cNvPr id="509" name="Gruppieren 508"/>
        <xdr:cNvGrpSpPr/>
      </xdr:nvGrpSpPr>
      <xdr:grpSpPr>
        <a:xfrm>
          <a:off x="5912787" y="11808440"/>
          <a:ext cx="126849" cy="205107"/>
          <a:chOff x="6665123" y="2144244"/>
          <a:chExt cx="126016" cy="200859"/>
        </a:xfrm>
      </xdr:grpSpPr>
      <xdr:sp macro="" textlink="">
        <xdr:nvSpPr>
          <xdr:cNvPr id="51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375653</xdr:colOff>
      <xdr:row>68</xdr:row>
      <xdr:rowOff>140315</xdr:rowOff>
    </xdr:from>
    <xdr:to>
      <xdr:col>17</xdr:col>
      <xdr:colOff>502502</xdr:colOff>
      <xdr:row>70</xdr:row>
      <xdr:rowOff>21572</xdr:rowOff>
    </xdr:to>
    <xdr:grpSp>
      <xdr:nvGrpSpPr>
        <xdr:cNvPr id="514" name="Gruppieren 513"/>
        <xdr:cNvGrpSpPr/>
      </xdr:nvGrpSpPr>
      <xdr:grpSpPr>
        <a:xfrm>
          <a:off x="7005053" y="11808440"/>
          <a:ext cx="126849" cy="205107"/>
          <a:chOff x="6665123" y="2144244"/>
          <a:chExt cx="126016" cy="200859"/>
        </a:xfrm>
      </xdr:grpSpPr>
      <xdr:sp macro="" textlink="">
        <xdr:nvSpPr>
          <xdr:cNvPr id="51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6" name="Gerade Verbindung 134"/>
          <xdr:cNvCxnSpPr>
            <a:stCxn id="515" idx="4"/>
            <a:endCxn id="5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68</xdr:row>
      <xdr:rowOff>140313</xdr:rowOff>
    </xdr:from>
    <xdr:to>
      <xdr:col>5</xdr:col>
      <xdr:colOff>502502</xdr:colOff>
      <xdr:row>70</xdr:row>
      <xdr:rowOff>21570</xdr:rowOff>
    </xdr:to>
    <xdr:grpSp>
      <xdr:nvGrpSpPr>
        <xdr:cNvPr id="519" name="Gruppieren 518"/>
        <xdr:cNvGrpSpPr/>
      </xdr:nvGrpSpPr>
      <xdr:grpSpPr>
        <a:xfrm>
          <a:off x="2394953" y="11808438"/>
          <a:ext cx="126849" cy="205107"/>
          <a:chOff x="6665123" y="2144244"/>
          <a:chExt cx="126016" cy="200859"/>
        </a:xfrm>
      </xdr:grpSpPr>
      <xdr:sp macro="" textlink="">
        <xdr:nvSpPr>
          <xdr:cNvPr id="52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1" name="Gerade Verbindung 134"/>
          <xdr:cNvCxnSpPr>
            <a:stCxn id="520" idx="4"/>
            <a:endCxn id="5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2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5014</xdr:colOff>
      <xdr:row>71</xdr:row>
      <xdr:rowOff>138364</xdr:rowOff>
    </xdr:from>
    <xdr:to>
      <xdr:col>0</xdr:col>
      <xdr:colOff>131030</xdr:colOff>
      <xdr:row>73</xdr:row>
      <xdr:rowOff>19621</xdr:rowOff>
    </xdr:to>
    <xdr:grpSp>
      <xdr:nvGrpSpPr>
        <xdr:cNvPr id="524" name="Gruppieren 523"/>
        <xdr:cNvGrpSpPr/>
      </xdr:nvGrpSpPr>
      <xdr:grpSpPr>
        <a:xfrm flipH="1">
          <a:off x="5014" y="12292264"/>
          <a:ext cx="126016" cy="205107"/>
          <a:chOff x="6665123" y="2144244"/>
          <a:chExt cx="126016" cy="200859"/>
        </a:xfrm>
      </xdr:grpSpPr>
      <xdr:sp macro="" textlink="">
        <xdr:nvSpPr>
          <xdr:cNvPr id="52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6" name="Gerade Verbindung 134"/>
          <xdr:cNvCxnSpPr>
            <a:stCxn id="525" idx="4"/>
            <a:endCxn id="5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2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10</xdr:row>
      <xdr:rowOff>141817</xdr:rowOff>
    </xdr:from>
    <xdr:to>
      <xdr:col>14</xdr:col>
      <xdr:colOff>1540</xdr:colOff>
      <xdr:row>12</xdr:row>
      <xdr:rowOff>21570</xdr:rowOff>
    </xdr:to>
    <xdr:grpSp>
      <xdr:nvGrpSpPr>
        <xdr:cNvPr id="232" name="Gruppieren 231"/>
        <xdr:cNvGrpSpPr/>
      </xdr:nvGrpSpPr>
      <xdr:grpSpPr>
        <a:xfrm>
          <a:off x="5914544" y="2504017"/>
          <a:ext cx="125846" cy="203603"/>
          <a:chOff x="6665123" y="2144244"/>
          <a:chExt cx="126016" cy="200859"/>
        </a:xfrm>
      </xdr:grpSpPr>
      <xdr:sp macro="" textlink="">
        <xdr:nvSpPr>
          <xdr:cNvPr id="233"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53</xdr:row>
      <xdr:rowOff>141779</xdr:rowOff>
    </xdr:from>
    <xdr:to>
      <xdr:col>0</xdr:col>
      <xdr:colOff>129239</xdr:colOff>
      <xdr:row>55</xdr:row>
      <xdr:rowOff>19529</xdr:rowOff>
    </xdr:to>
    <xdr:grpSp>
      <xdr:nvGrpSpPr>
        <xdr:cNvPr id="242" name="Gruppieren 241"/>
        <xdr:cNvGrpSpPr/>
      </xdr:nvGrpSpPr>
      <xdr:grpSpPr>
        <a:xfrm flipH="1">
          <a:off x="3223" y="9466754"/>
          <a:ext cx="126016" cy="201600"/>
          <a:chOff x="6665123" y="2144244"/>
          <a:chExt cx="126016" cy="200859"/>
        </a:xfrm>
      </xdr:grpSpPr>
      <xdr:sp macro="" textlink="">
        <xdr:nvSpPr>
          <xdr:cNvPr id="243"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6"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51</xdr:row>
      <xdr:rowOff>140313</xdr:rowOff>
    </xdr:from>
    <xdr:to>
      <xdr:col>5</xdr:col>
      <xdr:colOff>502502</xdr:colOff>
      <xdr:row>53</xdr:row>
      <xdr:rowOff>21570</xdr:rowOff>
    </xdr:to>
    <xdr:grpSp>
      <xdr:nvGrpSpPr>
        <xdr:cNvPr id="247" name="Gruppieren 246"/>
        <xdr:cNvGrpSpPr/>
      </xdr:nvGrpSpPr>
      <xdr:grpSpPr>
        <a:xfrm>
          <a:off x="2394953" y="9141438"/>
          <a:ext cx="126849" cy="205107"/>
          <a:chOff x="6665123" y="2144244"/>
          <a:chExt cx="126016" cy="200859"/>
        </a:xfrm>
      </xdr:grpSpPr>
      <xdr:sp macro="" textlink="">
        <xdr:nvSpPr>
          <xdr:cNvPr id="248"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9" name="Gerade Verbindung 134"/>
          <xdr:cNvCxnSpPr>
            <a:stCxn id="248" idx="4"/>
            <a:endCxn id="24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0"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180975</xdr:colOff>
      <xdr:row>19</xdr:row>
      <xdr:rowOff>0</xdr:rowOff>
    </xdr:from>
    <xdr:to>
      <xdr:col>17</xdr:col>
      <xdr:colOff>485775</xdr:colOff>
      <xdr:row>19</xdr:row>
      <xdr:rowOff>1588</xdr:rowOff>
    </xdr:to>
    <xdr:cxnSp macro="">
      <xdr:nvCxnSpPr>
        <xdr:cNvPr id="2" name="Gerade Verbindung 346"/>
        <xdr:cNvCxnSpPr/>
      </xdr:nvCxnSpPr>
      <xdr:spPr>
        <a:xfrm rot="10800000">
          <a:off x="6819900" y="37433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34</xdr:row>
      <xdr:rowOff>19050</xdr:rowOff>
    </xdr:from>
    <xdr:to>
      <xdr:col>17</xdr:col>
      <xdr:colOff>485775</xdr:colOff>
      <xdr:row>34</xdr:row>
      <xdr:rowOff>20638</xdr:rowOff>
    </xdr:to>
    <xdr:cxnSp macro="">
      <xdr:nvCxnSpPr>
        <xdr:cNvPr id="3" name="Gerade Verbindung 347"/>
        <xdr:cNvCxnSpPr/>
      </xdr:nvCxnSpPr>
      <xdr:spPr>
        <a:xfrm rot="10800000">
          <a:off x="6819900" y="619125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36</xdr:row>
      <xdr:rowOff>63314</xdr:rowOff>
    </xdr:from>
    <xdr:to>
      <xdr:col>17</xdr:col>
      <xdr:colOff>485775</xdr:colOff>
      <xdr:row>36</xdr:row>
      <xdr:rowOff>64902</xdr:rowOff>
    </xdr:to>
    <xdr:cxnSp macro="">
      <xdr:nvCxnSpPr>
        <xdr:cNvPr id="4" name="Gerade Verbindung 348"/>
        <xdr:cNvCxnSpPr/>
      </xdr:nvCxnSpPr>
      <xdr:spPr>
        <a:xfrm rot="10800000">
          <a:off x="6803651" y="6405843"/>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19</xdr:row>
      <xdr:rowOff>19050</xdr:rowOff>
    </xdr:from>
    <xdr:to>
      <xdr:col>17</xdr:col>
      <xdr:colOff>161926</xdr:colOff>
      <xdr:row>30</xdr:row>
      <xdr:rowOff>3</xdr:rowOff>
    </xdr:to>
    <xdr:cxnSp macro="">
      <xdr:nvCxnSpPr>
        <xdr:cNvPr id="5" name="Gerade Verbindung 349"/>
        <xdr:cNvCxnSpPr/>
      </xdr:nvCxnSpPr>
      <xdr:spPr>
        <a:xfrm>
          <a:off x="6800851" y="3762375"/>
          <a:ext cx="0" cy="176212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31</xdr:row>
      <xdr:rowOff>19846</xdr:rowOff>
    </xdr:from>
    <xdr:to>
      <xdr:col>17</xdr:col>
      <xdr:colOff>162719</xdr:colOff>
      <xdr:row>36</xdr:row>
      <xdr:rowOff>67236</xdr:rowOff>
    </xdr:to>
    <xdr:cxnSp macro="">
      <xdr:nvCxnSpPr>
        <xdr:cNvPr id="6" name="Gerade Verbindung 355"/>
        <xdr:cNvCxnSpPr/>
      </xdr:nvCxnSpPr>
      <xdr:spPr>
        <a:xfrm>
          <a:off x="6785395" y="5577964"/>
          <a:ext cx="0" cy="831801"/>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45</xdr:row>
      <xdr:rowOff>66675</xdr:rowOff>
    </xdr:from>
    <xdr:to>
      <xdr:col>17</xdr:col>
      <xdr:colOff>485775</xdr:colOff>
      <xdr:row>45</xdr:row>
      <xdr:rowOff>68263</xdr:rowOff>
    </xdr:to>
    <xdr:cxnSp macro="">
      <xdr:nvCxnSpPr>
        <xdr:cNvPr id="7" name="Gerade Verbindung 357"/>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49</xdr:row>
      <xdr:rowOff>85725</xdr:rowOff>
    </xdr:from>
    <xdr:to>
      <xdr:col>17</xdr:col>
      <xdr:colOff>485775</xdr:colOff>
      <xdr:row>49</xdr:row>
      <xdr:rowOff>87313</xdr:rowOff>
    </xdr:to>
    <xdr:cxnSp macro="">
      <xdr:nvCxnSpPr>
        <xdr:cNvPr id="8" name="Gerade Verbindung 358"/>
        <xdr:cNvCxnSpPr/>
      </xdr:nvCxnSpPr>
      <xdr:spPr>
        <a:xfrm rot="10800000">
          <a:off x="6819900" y="86868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45</xdr:row>
      <xdr:rowOff>66675</xdr:rowOff>
    </xdr:from>
    <xdr:to>
      <xdr:col>17</xdr:col>
      <xdr:colOff>161925</xdr:colOff>
      <xdr:row>49</xdr:row>
      <xdr:rowOff>85725</xdr:rowOff>
    </xdr:to>
    <xdr:cxnSp macro="">
      <xdr:nvCxnSpPr>
        <xdr:cNvPr id="9" name="Gerade Verbindung 359"/>
        <xdr:cNvCxnSpPr/>
      </xdr:nvCxnSpPr>
      <xdr:spPr>
        <a:xfrm>
          <a:off x="6800850" y="8020050"/>
          <a:ext cx="0" cy="66675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17</xdr:col>
      <xdr:colOff>142875</xdr:colOff>
      <xdr:row>0</xdr:row>
      <xdr:rowOff>0</xdr:rowOff>
    </xdr:from>
    <xdr:ext cx="1476375" cy="1002839"/>
    <xdr:sp macro="" textlink="">
      <xdr:nvSpPr>
        <xdr:cNvPr id="175" name="Textfeld 200"/>
        <xdr:cNvSpPr txBox="1">
          <a:spLocks noChangeAspect="1"/>
        </xdr:cNvSpPr>
      </xdr:nvSpPr>
      <xdr:spPr>
        <a:xfrm>
          <a:off x="6781800"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4</xdr:col>
      <xdr:colOff>276018</xdr:colOff>
      <xdr:row>0</xdr:row>
      <xdr:rowOff>285714</xdr:rowOff>
    </xdr:to>
    <xdr:pic>
      <xdr:nvPicPr>
        <xdr:cNvPr id="176" name="Grafik 202" descr="AHB Logo.png"/>
        <xdr:cNvPicPr>
          <a:picLocks noChangeAspect="1"/>
        </xdr:cNvPicPr>
      </xdr:nvPicPr>
      <xdr:blipFill>
        <a:blip xmlns:r="http://schemas.openxmlformats.org/officeDocument/2006/relationships" r:embed="rId1" cstate="print"/>
        <a:stretch>
          <a:fillRect/>
        </a:stretch>
      </xdr:blipFill>
      <xdr:spPr>
        <a:xfrm>
          <a:off x="0" y="0"/>
          <a:ext cx="1657143" cy="285714"/>
        </a:xfrm>
        <a:prstGeom prst="rect">
          <a:avLst/>
        </a:prstGeom>
      </xdr:spPr>
    </xdr:pic>
    <xdr:clientData/>
  </xdr:twoCellAnchor>
  <xdr:twoCellAnchor>
    <xdr:from>
      <xdr:col>13</xdr:col>
      <xdr:colOff>388287</xdr:colOff>
      <xdr:row>8</xdr:row>
      <xdr:rowOff>56594</xdr:rowOff>
    </xdr:from>
    <xdr:to>
      <xdr:col>14</xdr:col>
      <xdr:colOff>786</xdr:colOff>
      <xdr:row>10</xdr:row>
      <xdr:rowOff>20069</xdr:rowOff>
    </xdr:to>
    <xdr:grpSp>
      <xdr:nvGrpSpPr>
        <xdr:cNvPr id="299" name="Gruppieren 298"/>
        <xdr:cNvGrpSpPr/>
      </xdr:nvGrpSpPr>
      <xdr:grpSpPr>
        <a:xfrm>
          <a:off x="5912787" y="2180669"/>
          <a:ext cx="126849" cy="201600"/>
          <a:chOff x="6665123" y="2144244"/>
          <a:chExt cx="126016" cy="200859"/>
        </a:xfrm>
      </xdr:grpSpPr>
      <xdr:sp macro="" textlink="">
        <xdr:nvSpPr>
          <xdr:cNvPr id="30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1" name="Gerade Verbindung 134"/>
          <xdr:cNvCxnSpPr>
            <a:stCxn id="300" idx="4"/>
            <a:endCxn id="3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13</xdr:row>
      <xdr:rowOff>142319</xdr:rowOff>
    </xdr:from>
    <xdr:to>
      <xdr:col>13</xdr:col>
      <xdr:colOff>515136</xdr:colOff>
      <xdr:row>15</xdr:row>
      <xdr:rowOff>27085</xdr:rowOff>
    </xdr:to>
    <xdr:grpSp>
      <xdr:nvGrpSpPr>
        <xdr:cNvPr id="304" name="Gruppieren 303"/>
        <xdr:cNvGrpSpPr/>
      </xdr:nvGrpSpPr>
      <xdr:grpSpPr>
        <a:xfrm>
          <a:off x="5912787" y="2990294"/>
          <a:ext cx="126849" cy="208616"/>
          <a:chOff x="6665123" y="2144244"/>
          <a:chExt cx="126016" cy="200859"/>
        </a:xfrm>
      </xdr:grpSpPr>
      <xdr:sp macro="" textlink="">
        <xdr:nvSpPr>
          <xdr:cNvPr id="30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6" name="Gerade Verbindung 134"/>
          <xdr:cNvCxnSpPr>
            <a:stCxn id="305" idx="4"/>
            <a:endCxn id="3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13</xdr:row>
      <xdr:rowOff>142319</xdr:rowOff>
    </xdr:from>
    <xdr:to>
      <xdr:col>5</xdr:col>
      <xdr:colOff>508217</xdr:colOff>
      <xdr:row>15</xdr:row>
      <xdr:rowOff>27085</xdr:rowOff>
    </xdr:to>
    <xdr:grpSp>
      <xdr:nvGrpSpPr>
        <xdr:cNvPr id="309" name="Gruppieren 308"/>
        <xdr:cNvGrpSpPr/>
      </xdr:nvGrpSpPr>
      <xdr:grpSpPr>
        <a:xfrm>
          <a:off x="2400668" y="2990294"/>
          <a:ext cx="126849" cy="208616"/>
          <a:chOff x="6665123" y="2144244"/>
          <a:chExt cx="126016" cy="200859"/>
        </a:xfrm>
      </xdr:grpSpPr>
      <xdr:sp macro="" textlink="">
        <xdr:nvSpPr>
          <xdr:cNvPr id="31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1" name="Gerade Verbindung 134"/>
          <xdr:cNvCxnSpPr>
            <a:stCxn id="310" idx="4"/>
            <a:endCxn id="3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381368</xdr:colOff>
      <xdr:row>14</xdr:row>
      <xdr:rowOff>142320</xdr:rowOff>
    </xdr:from>
    <xdr:to>
      <xdr:col>17</xdr:col>
      <xdr:colOff>508217</xdr:colOff>
      <xdr:row>16</xdr:row>
      <xdr:rowOff>27086</xdr:rowOff>
    </xdr:to>
    <xdr:grpSp>
      <xdr:nvGrpSpPr>
        <xdr:cNvPr id="314" name="Gruppieren 313"/>
        <xdr:cNvGrpSpPr/>
      </xdr:nvGrpSpPr>
      <xdr:grpSpPr>
        <a:xfrm>
          <a:off x="7010768" y="3152220"/>
          <a:ext cx="126849" cy="208616"/>
          <a:chOff x="6665123" y="2144244"/>
          <a:chExt cx="126016" cy="200859"/>
        </a:xfrm>
      </xdr:grpSpPr>
      <xdr:sp macro="" textlink="">
        <xdr:nvSpPr>
          <xdr:cNvPr id="31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6" name="Gerade Verbindung 134"/>
          <xdr:cNvCxnSpPr>
            <a:stCxn id="315" idx="4"/>
            <a:endCxn id="3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17</xdr:row>
      <xdr:rowOff>137306</xdr:rowOff>
    </xdr:from>
    <xdr:to>
      <xdr:col>13</xdr:col>
      <xdr:colOff>515136</xdr:colOff>
      <xdr:row>19</xdr:row>
      <xdr:rowOff>22072</xdr:rowOff>
    </xdr:to>
    <xdr:grpSp>
      <xdr:nvGrpSpPr>
        <xdr:cNvPr id="319" name="Gruppieren 318"/>
        <xdr:cNvGrpSpPr/>
      </xdr:nvGrpSpPr>
      <xdr:grpSpPr>
        <a:xfrm>
          <a:off x="5912787" y="3632981"/>
          <a:ext cx="126849" cy="208616"/>
          <a:chOff x="6665123" y="2144244"/>
          <a:chExt cx="126016" cy="200859"/>
        </a:xfrm>
      </xdr:grpSpPr>
      <xdr:sp macro="" textlink="">
        <xdr:nvSpPr>
          <xdr:cNvPr id="32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17</xdr:row>
      <xdr:rowOff>142319</xdr:rowOff>
    </xdr:from>
    <xdr:to>
      <xdr:col>5</xdr:col>
      <xdr:colOff>508217</xdr:colOff>
      <xdr:row>19</xdr:row>
      <xdr:rowOff>27085</xdr:rowOff>
    </xdr:to>
    <xdr:grpSp>
      <xdr:nvGrpSpPr>
        <xdr:cNvPr id="324" name="Gruppieren 323"/>
        <xdr:cNvGrpSpPr/>
      </xdr:nvGrpSpPr>
      <xdr:grpSpPr>
        <a:xfrm>
          <a:off x="2400668" y="3637994"/>
          <a:ext cx="126849" cy="208616"/>
          <a:chOff x="6665123" y="2144244"/>
          <a:chExt cx="126016" cy="200859"/>
        </a:xfrm>
      </xdr:grpSpPr>
      <xdr:sp macro="" textlink="">
        <xdr:nvSpPr>
          <xdr:cNvPr id="32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6" name="Gerade Verbindung 134"/>
          <xdr:cNvCxnSpPr>
            <a:stCxn id="325" idx="4"/>
            <a:endCxn id="3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21</xdr:row>
      <xdr:rowOff>142319</xdr:rowOff>
    </xdr:from>
    <xdr:to>
      <xdr:col>13</xdr:col>
      <xdr:colOff>515136</xdr:colOff>
      <xdr:row>23</xdr:row>
      <xdr:rowOff>27085</xdr:rowOff>
    </xdr:to>
    <xdr:grpSp>
      <xdr:nvGrpSpPr>
        <xdr:cNvPr id="329" name="Gruppieren 328"/>
        <xdr:cNvGrpSpPr/>
      </xdr:nvGrpSpPr>
      <xdr:grpSpPr>
        <a:xfrm>
          <a:off x="5912787" y="4285694"/>
          <a:ext cx="126849" cy="208616"/>
          <a:chOff x="6665123" y="2144244"/>
          <a:chExt cx="126016" cy="200859"/>
        </a:xfrm>
      </xdr:grpSpPr>
      <xdr:sp macro="" textlink="">
        <xdr:nvSpPr>
          <xdr:cNvPr id="33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1" name="Gerade Verbindung 134"/>
          <xdr:cNvCxnSpPr>
            <a:stCxn id="330" idx="4"/>
            <a:endCxn id="3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21</xdr:row>
      <xdr:rowOff>142317</xdr:rowOff>
    </xdr:from>
    <xdr:to>
      <xdr:col>5</xdr:col>
      <xdr:colOff>508217</xdr:colOff>
      <xdr:row>23</xdr:row>
      <xdr:rowOff>27083</xdr:rowOff>
    </xdr:to>
    <xdr:grpSp>
      <xdr:nvGrpSpPr>
        <xdr:cNvPr id="334" name="Gruppieren 333"/>
        <xdr:cNvGrpSpPr/>
      </xdr:nvGrpSpPr>
      <xdr:grpSpPr>
        <a:xfrm>
          <a:off x="2400668" y="4285692"/>
          <a:ext cx="126849" cy="208616"/>
          <a:chOff x="6665123" y="2144244"/>
          <a:chExt cx="126016" cy="200859"/>
        </a:xfrm>
      </xdr:grpSpPr>
      <xdr:sp macro="" textlink="">
        <xdr:nvSpPr>
          <xdr:cNvPr id="33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6" name="Gerade Verbindung 134"/>
          <xdr:cNvCxnSpPr>
            <a:stCxn id="335" idx="4"/>
            <a:endCxn id="3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24</xdr:row>
      <xdr:rowOff>142317</xdr:rowOff>
    </xdr:from>
    <xdr:to>
      <xdr:col>5</xdr:col>
      <xdr:colOff>508217</xdr:colOff>
      <xdr:row>26</xdr:row>
      <xdr:rowOff>27083</xdr:rowOff>
    </xdr:to>
    <xdr:grpSp>
      <xdr:nvGrpSpPr>
        <xdr:cNvPr id="339" name="Gruppieren 338"/>
        <xdr:cNvGrpSpPr/>
      </xdr:nvGrpSpPr>
      <xdr:grpSpPr>
        <a:xfrm>
          <a:off x="2400668" y="4771467"/>
          <a:ext cx="126849" cy="208616"/>
          <a:chOff x="6665123" y="2144244"/>
          <a:chExt cx="126016" cy="200859"/>
        </a:xfrm>
      </xdr:grpSpPr>
      <xdr:sp macro="" textlink="">
        <xdr:nvSpPr>
          <xdr:cNvPr id="34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1" name="Gerade Verbindung 134"/>
          <xdr:cNvCxnSpPr>
            <a:stCxn id="340" idx="4"/>
            <a:endCxn id="3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26</xdr:row>
      <xdr:rowOff>142318</xdr:rowOff>
    </xdr:from>
    <xdr:to>
      <xdr:col>5</xdr:col>
      <xdr:colOff>508217</xdr:colOff>
      <xdr:row>28</xdr:row>
      <xdr:rowOff>27084</xdr:rowOff>
    </xdr:to>
    <xdr:grpSp>
      <xdr:nvGrpSpPr>
        <xdr:cNvPr id="344" name="Gruppieren 343"/>
        <xdr:cNvGrpSpPr/>
      </xdr:nvGrpSpPr>
      <xdr:grpSpPr>
        <a:xfrm>
          <a:off x="2400668" y="5095318"/>
          <a:ext cx="126849" cy="208616"/>
          <a:chOff x="6665123" y="2144244"/>
          <a:chExt cx="126016" cy="200859"/>
        </a:xfrm>
      </xdr:grpSpPr>
      <xdr:sp macro="" textlink="">
        <xdr:nvSpPr>
          <xdr:cNvPr id="34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6" name="Gerade Verbindung 134"/>
          <xdr:cNvCxnSpPr>
            <a:stCxn id="345" idx="4"/>
            <a:endCxn id="3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25</xdr:row>
      <xdr:rowOff>142319</xdr:rowOff>
    </xdr:from>
    <xdr:to>
      <xdr:col>13</xdr:col>
      <xdr:colOff>515136</xdr:colOff>
      <xdr:row>27</xdr:row>
      <xdr:rowOff>27085</xdr:rowOff>
    </xdr:to>
    <xdr:grpSp>
      <xdr:nvGrpSpPr>
        <xdr:cNvPr id="349" name="Gruppieren 348"/>
        <xdr:cNvGrpSpPr/>
      </xdr:nvGrpSpPr>
      <xdr:grpSpPr>
        <a:xfrm>
          <a:off x="5912787" y="4933394"/>
          <a:ext cx="126849" cy="208616"/>
          <a:chOff x="6665123" y="2144244"/>
          <a:chExt cx="126016" cy="200859"/>
        </a:xfrm>
      </xdr:grpSpPr>
      <xdr:sp macro="" textlink="">
        <xdr:nvSpPr>
          <xdr:cNvPr id="35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1" name="Gerade Verbindung 134"/>
          <xdr:cNvCxnSpPr>
            <a:stCxn id="350" idx="4"/>
            <a:endCxn id="3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381091</xdr:colOff>
      <xdr:row>29</xdr:row>
      <xdr:rowOff>142320</xdr:rowOff>
    </xdr:from>
    <xdr:to>
      <xdr:col>17</xdr:col>
      <xdr:colOff>507940</xdr:colOff>
      <xdr:row>31</xdr:row>
      <xdr:rowOff>27085</xdr:rowOff>
    </xdr:to>
    <xdr:grpSp>
      <xdr:nvGrpSpPr>
        <xdr:cNvPr id="354" name="Gruppieren 353"/>
        <xdr:cNvGrpSpPr/>
      </xdr:nvGrpSpPr>
      <xdr:grpSpPr>
        <a:xfrm>
          <a:off x="7010491" y="5581095"/>
          <a:ext cx="126849" cy="208615"/>
          <a:chOff x="6665123" y="2144244"/>
          <a:chExt cx="126016" cy="200859"/>
        </a:xfrm>
      </xdr:grpSpPr>
      <xdr:sp macro="" textlink="">
        <xdr:nvSpPr>
          <xdr:cNvPr id="35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6" name="Gerade Verbindung 134"/>
          <xdr:cNvCxnSpPr>
            <a:stCxn id="355" idx="4"/>
            <a:endCxn id="3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29</xdr:row>
      <xdr:rowOff>142317</xdr:rowOff>
    </xdr:from>
    <xdr:to>
      <xdr:col>5</xdr:col>
      <xdr:colOff>508217</xdr:colOff>
      <xdr:row>31</xdr:row>
      <xdr:rowOff>27082</xdr:rowOff>
    </xdr:to>
    <xdr:grpSp>
      <xdr:nvGrpSpPr>
        <xdr:cNvPr id="359" name="Gruppieren 358"/>
        <xdr:cNvGrpSpPr/>
      </xdr:nvGrpSpPr>
      <xdr:grpSpPr>
        <a:xfrm>
          <a:off x="2400668" y="5581092"/>
          <a:ext cx="126849" cy="208615"/>
          <a:chOff x="6665123" y="2144244"/>
          <a:chExt cx="126016" cy="200859"/>
        </a:xfrm>
      </xdr:grpSpPr>
      <xdr:sp macro="" textlink="">
        <xdr:nvSpPr>
          <xdr:cNvPr id="36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31</xdr:row>
      <xdr:rowOff>142317</xdr:rowOff>
    </xdr:from>
    <xdr:to>
      <xdr:col>5</xdr:col>
      <xdr:colOff>508217</xdr:colOff>
      <xdr:row>33</xdr:row>
      <xdr:rowOff>27084</xdr:rowOff>
    </xdr:to>
    <xdr:grpSp>
      <xdr:nvGrpSpPr>
        <xdr:cNvPr id="364" name="Gruppieren 363"/>
        <xdr:cNvGrpSpPr/>
      </xdr:nvGrpSpPr>
      <xdr:grpSpPr>
        <a:xfrm>
          <a:off x="2400668" y="5904942"/>
          <a:ext cx="126849" cy="208617"/>
          <a:chOff x="6665123" y="2144244"/>
          <a:chExt cx="126016" cy="200859"/>
        </a:xfrm>
      </xdr:grpSpPr>
      <xdr:sp macro="" textlink="">
        <xdr:nvSpPr>
          <xdr:cNvPr id="36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30</xdr:row>
      <xdr:rowOff>142318</xdr:rowOff>
    </xdr:from>
    <xdr:to>
      <xdr:col>14</xdr:col>
      <xdr:colOff>1844</xdr:colOff>
      <xdr:row>32</xdr:row>
      <xdr:rowOff>27084</xdr:rowOff>
    </xdr:to>
    <xdr:grpSp>
      <xdr:nvGrpSpPr>
        <xdr:cNvPr id="369" name="Gruppieren 368"/>
        <xdr:cNvGrpSpPr/>
      </xdr:nvGrpSpPr>
      <xdr:grpSpPr>
        <a:xfrm>
          <a:off x="5912787" y="5743018"/>
          <a:ext cx="127907" cy="208616"/>
          <a:chOff x="6665123" y="2144244"/>
          <a:chExt cx="126016" cy="200859"/>
        </a:xfrm>
      </xdr:grpSpPr>
      <xdr:sp macro="" textlink="">
        <xdr:nvSpPr>
          <xdr:cNvPr id="37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34</xdr:row>
      <xdr:rowOff>142317</xdr:rowOff>
    </xdr:from>
    <xdr:to>
      <xdr:col>14</xdr:col>
      <xdr:colOff>1844</xdr:colOff>
      <xdr:row>36</xdr:row>
      <xdr:rowOff>27083</xdr:rowOff>
    </xdr:to>
    <xdr:grpSp>
      <xdr:nvGrpSpPr>
        <xdr:cNvPr id="374" name="Gruppieren 373"/>
        <xdr:cNvGrpSpPr/>
      </xdr:nvGrpSpPr>
      <xdr:grpSpPr>
        <a:xfrm>
          <a:off x="5912787" y="6390717"/>
          <a:ext cx="127907" cy="208616"/>
          <a:chOff x="6665123" y="2144244"/>
          <a:chExt cx="126016" cy="200859"/>
        </a:xfrm>
      </xdr:grpSpPr>
      <xdr:sp macro="" textlink="">
        <xdr:nvSpPr>
          <xdr:cNvPr id="37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33</xdr:row>
      <xdr:rowOff>142317</xdr:rowOff>
    </xdr:from>
    <xdr:to>
      <xdr:col>5</xdr:col>
      <xdr:colOff>508217</xdr:colOff>
      <xdr:row>35</xdr:row>
      <xdr:rowOff>27083</xdr:rowOff>
    </xdr:to>
    <xdr:grpSp>
      <xdr:nvGrpSpPr>
        <xdr:cNvPr id="379" name="Gruppieren 378"/>
        <xdr:cNvGrpSpPr/>
      </xdr:nvGrpSpPr>
      <xdr:grpSpPr>
        <a:xfrm>
          <a:off x="2400668" y="6228792"/>
          <a:ext cx="126849" cy="208616"/>
          <a:chOff x="6665123" y="2144244"/>
          <a:chExt cx="126016" cy="200859"/>
        </a:xfrm>
      </xdr:grpSpPr>
      <xdr:sp macro="" textlink="">
        <xdr:nvSpPr>
          <xdr:cNvPr id="38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35</xdr:row>
      <xdr:rowOff>142318</xdr:rowOff>
    </xdr:from>
    <xdr:to>
      <xdr:col>5</xdr:col>
      <xdr:colOff>508217</xdr:colOff>
      <xdr:row>37</xdr:row>
      <xdr:rowOff>27084</xdr:rowOff>
    </xdr:to>
    <xdr:grpSp>
      <xdr:nvGrpSpPr>
        <xdr:cNvPr id="384" name="Gruppieren 383"/>
        <xdr:cNvGrpSpPr/>
      </xdr:nvGrpSpPr>
      <xdr:grpSpPr>
        <a:xfrm>
          <a:off x="2400668" y="6552643"/>
          <a:ext cx="126849" cy="208616"/>
          <a:chOff x="6665123" y="2144244"/>
          <a:chExt cx="126016" cy="200859"/>
        </a:xfrm>
      </xdr:grpSpPr>
      <xdr:sp macro="" textlink="">
        <xdr:nvSpPr>
          <xdr:cNvPr id="38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37</xdr:row>
      <xdr:rowOff>148167</xdr:rowOff>
    </xdr:from>
    <xdr:to>
      <xdr:col>0</xdr:col>
      <xdr:colOff>131308</xdr:colOff>
      <xdr:row>39</xdr:row>
      <xdr:rowOff>23687</xdr:rowOff>
    </xdr:to>
    <xdr:grpSp>
      <xdr:nvGrpSpPr>
        <xdr:cNvPr id="389" name="Gruppieren 388"/>
        <xdr:cNvGrpSpPr/>
      </xdr:nvGrpSpPr>
      <xdr:grpSpPr>
        <a:xfrm flipH="1">
          <a:off x="5292" y="6882342"/>
          <a:ext cx="126016" cy="199370"/>
          <a:chOff x="6665123" y="2144244"/>
          <a:chExt cx="126016" cy="200859"/>
        </a:xfrm>
      </xdr:grpSpPr>
      <xdr:sp macro="" textlink="">
        <xdr:nvSpPr>
          <xdr:cNvPr id="39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37</xdr:row>
      <xdr:rowOff>142318</xdr:rowOff>
    </xdr:from>
    <xdr:to>
      <xdr:col>14</xdr:col>
      <xdr:colOff>1844</xdr:colOff>
      <xdr:row>39</xdr:row>
      <xdr:rowOff>27084</xdr:rowOff>
    </xdr:to>
    <xdr:grpSp>
      <xdr:nvGrpSpPr>
        <xdr:cNvPr id="394" name="Gruppieren 393"/>
        <xdr:cNvGrpSpPr/>
      </xdr:nvGrpSpPr>
      <xdr:grpSpPr>
        <a:xfrm>
          <a:off x="5912787" y="6876493"/>
          <a:ext cx="127907" cy="208616"/>
          <a:chOff x="6665123" y="2144244"/>
          <a:chExt cx="126016" cy="200859"/>
        </a:xfrm>
      </xdr:grpSpPr>
      <xdr:sp macro="" textlink="">
        <xdr:nvSpPr>
          <xdr:cNvPr id="39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39</xdr:row>
      <xdr:rowOff>142316</xdr:rowOff>
    </xdr:from>
    <xdr:to>
      <xdr:col>5</xdr:col>
      <xdr:colOff>508217</xdr:colOff>
      <xdr:row>41</xdr:row>
      <xdr:rowOff>27083</xdr:rowOff>
    </xdr:to>
    <xdr:grpSp>
      <xdr:nvGrpSpPr>
        <xdr:cNvPr id="399" name="Gruppieren 398"/>
        <xdr:cNvGrpSpPr/>
      </xdr:nvGrpSpPr>
      <xdr:grpSpPr>
        <a:xfrm>
          <a:off x="2400668" y="7200341"/>
          <a:ext cx="126849" cy="208617"/>
          <a:chOff x="6665123" y="2144244"/>
          <a:chExt cx="126016" cy="200859"/>
        </a:xfrm>
      </xdr:grpSpPr>
      <xdr:sp macro="" textlink="">
        <xdr:nvSpPr>
          <xdr:cNvPr id="40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39</xdr:row>
      <xdr:rowOff>148167</xdr:rowOff>
    </xdr:from>
    <xdr:to>
      <xdr:col>10</xdr:col>
      <xdr:colOff>140408</xdr:colOff>
      <xdr:row>41</xdr:row>
      <xdr:rowOff>23687</xdr:rowOff>
    </xdr:to>
    <xdr:grpSp>
      <xdr:nvGrpSpPr>
        <xdr:cNvPr id="404" name="Gruppieren 403"/>
        <xdr:cNvGrpSpPr/>
      </xdr:nvGrpSpPr>
      <xdr:grpSpPr>
        <a:xfrm flipH="1">
          <a:off x="4548292" y="7206192"/>
          <a:ext cx="126016" cy="199370"/>
          <a:chOff x="6665123" y="2144244"/>
          <a:chExt cx="126016" cy="200859"/>
        </a:xfrm>
      </xdr:grpSpPr>
      <xdr:sp macro="" textlink="">
        <xdr:nvSpPr>
          <xdr:cNvPr id="40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14391</xdr:colOff>
      <xdr:row>42</xdr:row>
      <xdr:rowOff>148167</xdr:rowOff>
    </xdr:from>
    <xdr:to>
      <xdr:col>17</xdr:col>
      <xdr:colOff>140407</xdr:colOff>
      <xdr:row>44</xdr:row>
      <xdr:rowOff>23687</xdr:rowOff>
    </xdr:to>
    <xdr:grpSp>
      <xdr:nvGrpSpPr>
        <xdr:cNvPr id="409" name="Gruppieren 408"/>
        <xdr:cNvGrpSpPr/>
      </xdr:nvGrpSpPr>
      <xdr:grpSpPr>
        <a:xfrm flipH="1">
          <a:off x="6643791" y="7691967"/>
          <a:ext cx="126016" cy="199370"/>
          <a:chOff x="6665123" y="2144244"/>
          <a:chExt cx="126016" cy="200859"/>
        </a:xfrm>
      </xdr:grpSpPr>
      <xdr:sp macro="" textlink="">
        <xdr:nvSpPr>
          <xdr:cNvPr id="41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41</xdr:row>
      <xdr:rowOff>142877</xdr:rowOff>
    </xdr:from>
    <xdr:to>
      <xdr:col>0</xdr:col>
      <xdr:colOff>131308</xdr:colOff>
      <xdr:row>43</xdr:row>
      <xdr:rowOff>18396</xdr:rowOff>
    </xdr:to>
    <xdr:grpSp>
      <xdr:nvGrpSpPr>
        <xdr:cNvPr id="414" name="Gruppieren 413"/>
        <xdr:cNvGrpSpPr/>
      </xdr:nvGrpSpPr>
      <xdr:grpSpPr>
        <a:xfrm flipH="1">
          <a:off x="5292" y="7524752"/>
          <a:ext cx="126016" cy="199369"/>
          <a:chOff x="6665123" y="2144244"/>
          <a:chExt cx="126016" cy="200859"/>
        </a:xfrm>
      </xdr:grpSpPr>
      <xdr:sp macro="" textlink="">
        <xdr:nvSpPr>
          <xdr:cNvPr id="41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45</xdr:row>
      <xdr:rowOff>148168</xdr:rowOff>
    </xdr:from>
    <xdr:to>
      <xdr:col>0</xdr:col>
      <xdr:colOff>131308</xdr:colOff>
      <xdr:row>47</xdr:row>
      <xdr:rowOff>23688</xdr:rowOff>
    </xdr:to>
    <xdr:grpSp>
      <xdr:nvGrpSpPr>
        <xdr:cNvPr id="419" name="Gruppieren 418"/>
        <xdr:cNvGrpSpPr/>
      </xdr:nvGrpSpPr>
      <xdr:grpSpPr>
        <a:xfrm flipH="1">
          <a:off x="5292" y="8177743"/>
          <a:ext cx="126016" cy="199370"/>
          <a:chOff x="6665123" y="2144244"/>
          <a:chExt cx="126016" cy="200859"/>
        </a:xfrm>
      </xdr:grpSpPr>
      <xdr:sp macro="" textlink="">
        <xdr:nvSpPr>
          <xdr:cNvPr id="42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1" name="Gerade Verbindung 134"/>
          <xdr:cNvCxnSpPr>
            <a:stCxn id="420" idx="4"/>
            <a:endCxn id="4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43</xdr:row>
      <xdr:rowOff>142315</xdr:rowOff>
    </xdr:from>
    <xdr:to>
      <xdr:col>5</xdr:col>
      <xdr:colOff>508217</xdr:colOff>
      <xdr:row>45</xdr:row>
      <xdr:rowOff>27082</xdr:rowOff>
    </xdr:to>
    <xdr:grpSp>
      <xdr:nvGrpSpPr>
        <xdr:cNvPr id="424" name="Gruppieren 423"/>
        <xdr:cNvGrpSpPr/>
      </xdr:nvGrpSpPr>
      <xdr:grpSpPr>
        <a:xfrm>
          <a:off x="2400668" y="7848040"/>
          <a:ext cx="126849" cy="208617"/>
          <a:chOff x="6665123" y="2144244"/>
          <a:chExt cx="126016" cy="200859"/>
        </a:xfrm>
      </xdr:grpSpPr>
      <xdr:sp macro="" textlink="">
        <xdr:nvSpPr>
          <xdr:cNvPr id="42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47</xdr:row>
      <xdr:rowOff>142317</xdr:rowOff>
    </xdr:from>
    <xdr:to>
      <xdr:col>5</xdr:col>
      <xdr:colOff>508217</xdr:colOff>
      <xdr:row>49</xdr:row>
      <xdr:rowOff>27083</xdr:rowOff>
    </xdr:to>
    <xdr:grpSp>
      <xdr:nvGrpSpPr>
        <xdr:cNvPr id="429" name="Gruppieren 428"/>
        <xdr:cNvGrpSpPr/>
      </xdr:nvGrpSpPr>
      <xdr:grpSpPr>
        <a:xfrm>
          <a:off x="2400668" y="8495742"/>
          <a:ext cx="126849" cy="208616"/>
          <a:chOff x="6665123" y="2144244"/>
          <a:chExt cx="126016" cy="200859"/>
        </a:xfrm>
      </xdr:grpSpPr>
      <xdr:sp macro="" textlink="">
        <xdr:nvSpPr>
          <xdr:cNvPr id="43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43</xdr:row>
      <xdr:rowOff>148166</xdr:rowOff>
    </xdr:from>
    <xdr:to>
      <xdr:col>10</xdr:col>
      <xdr:colOff>140408</xdr:colOff>
      <xdr:row>45</xdr:row>
      <xdr:rowOff>23686</xdr:rowOff>
    </xdr:to>
    <xdr:grpSp>
      <xdr:nvGrpSpPr>
        <xdr:cNvPr id="434" name="Gruppieren 433"/>
        <xdr:cNvGrpSpPr/>
      </xdr:nvGrpSpPr>
      <xdr:grpSpPr>
        <a:xfrm flipH="1">
          <a:off x="4548292" y="7853891"/>
          <a:ext cx="126016" cy="199370"/>
          <a:chOff x="6665123" y="2144244"/>
          <a:chExt cx="126016" cy="200859"/>
        </a:xfrm>
      </xdr:grpSpPr>
      <xdr:sp macro="" textlink="">
        <xdr:nvSpPr>
          <xdr:cNvPr id="43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47</xdr:row>
      <xdr:rowOff>148167</xdr:rowOff>
    </xdr:from>
    <xdr:to>
      <xdr:col>10</xdr:col>
      <xdr:colOff>140408</xdr:colOff>
      <xdr:row>49</xdr:row>
      <xdr:rowOff>23686</xdr:rowOff>
    </xdr:to>
    <xdr:grpSp>
      <xdr:nvGrpSpPr>
        <xdr:cNvPr id="439" name="Gruppieren 438"/>
        <xdr:cNvGrpSpPr/>
      </xdr:nvGrpSpPr>
      <xdr:grpSpPr>
        <a:xfrm flipH="1">
          <a:off x="4548292" y="8501592"/>
          <a:ext cx="126016" cy="199369"/>
          <a:chOff x="6665123" y="2144244"/>
          <a:chExt cx="126016" cy="200859"/>
        </a:xfrm>
      </xdr:grpSpPr>
      <xdr:sp macro="" textlink="">
        <xdr:nvSpPr>
          <xdr:cNvPr id="44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41</xdr:row>
      <xdr:rowOff>137027</xdr:rowOff>
    </xdr:from>
    <xdr:to>
      <xdr:col>14</xdr:col>
      <xdr:colOff>1844</xdr:colOff>
      <xdr:row>43</xdr:row>
      <xdr:rowOff>21792</xdr:rowOff>
    </xdr:to>
    <xdr:grpSp>
      <xdr:nvGrpSpPr>
        <xdr:cNvPr id="444" name="Gruppieren 443"/>
        <xdr:cNvGrpSpPr/>
      </xdr:nvGrpSpPr>
      <xdr:grpSpPr>
        <a:xfrm>
          <a:off x="5912787" y="7518902"/>
          <a:ext cx="127907" cy="208615"/>
          <a:chOff x="6665123" y="2144244"/>
          <a:chExt cx="126016" cy="200859"/>
        </a:xfrm>
      </xdr:grpSpPr>
      <xdr:sp macro="" textlink="">
        <xdr:nvSpPr>
          <xdr:cNvPr id="44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6" name="Gerade Verbindung 134"/>
          <xdr:cNvCxnSpPr>
            <a:stCxn id="445" idx="4"/>
            <a:endCxn id="4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45</xdr:row>
      <xdr:rowOff>142318</xdr:rowOff>
    </xdr:from>
    <xdr:to>
      <xdr:col>14</xdr:col>
      <xdr:colOff>1844</xdr:colOff>
      <xdr:row>47</xdr:row>
      <xdr:rowOff>27084</xdr:rowOff>
    </xdr:to>
    <xdr:grpSp>
      <xdr:nvGrpSpPr>
        <xdr:cNvPr id="449" name="Gruppieren 448"/>
        <xdr:cNvGrpSpPr/>
      </xdr:nvGrpSpPr>
      <xdr:grpSpPr>
        <a:xfrm>
          <a:off x="5912787" y="8171893"/>
          <a:ext cx="127907" cy="208616"/>
          <a:chOff x="6665123" y="2144244"/>
          <a:chExt cx="126016" cy="200859"/>
        </a:xfrm>
      </xdr:grpSpPr>
      <xdr:sp macro="" textlink="">
        <xdr:nvSpPr>
          <xdr:cNvPr id="45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1" name="Gerade Verbindung 134"/>
          <xdr:cNvCxnSpPr>
            <a:stCxn id="450" idx="4"/>
            <a:endCxn id="4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49</xdr:row>
      <xdr:rowOff>148168</xdr:rowOff>
    </xdr:from>
    <xdr:to>
      <xdr:col>0</xdr:col>
      <xdr:colOff>131308</xdr:colOff>
      <xdr:row>51</xdr:row>
      <xdr:rowOff>23688</xdr:rowOff>
    </xdr:to>
    <xdr:grpSp>
      <xdr:nvGrpSpPr>
        <xdr:cNvPr id="454" name="Gruppieren 453"/>
        <xdr:cNvGrpSpPr/>
      </xdr:nvGrpSpPr>
      <xdr:grpSpPr>
        <a:xfrm flipH="1">
          <a:off x="5292" y="8825443"/>
          <a:ext cx="126016" cy="199370"/>
          <a:chOff x="6665123" y="2144244"/>
          <a:chExt cx="126016" cy="200859"/>
        </a:xfrm>
      </xdr:grpSpPr>
      <xdr:sp macro="" textlink="">
        <xdr:nvSpPr>
          <xdr:cNvPr id="45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57</xdr:row>
      <xdr:rowOff>142319</xdr:rowOff>
    </xdr:from>
    <xdr:to>
      <xdr:col>5</xdr:col>
      <xdr:colOff>508217</xdr:colOff>
      <xdr:row>59</xdr:row>
      <xdr:rowOff>27086</xdr:rowOff>
    </xdr:to>
    <xdr:grpSp>
      <xdr:nvGrpSpPr>
        <xdr:cNvPr id="464" name="Gruppieren 463"/>
        <xdr:cNvGrpSpPr/>
      </xdr:nvGrpSpPr>
      <xdr:grpSpPr>
        <a:xfrm>
          <a:off x="2400668" y="10029269"/>
          <a:ext cx="126849" cy="208617"/>
          <a:chOff x="6665123" y="2144244"/>
          <a:chExt cx="126016" cy="200859"/>
        </a:xfrm>
      </xdr:grpSpPr>
      <xdr:sp macro="" textlink="">
        <xdr:nvSpPr>
          <xdr:cNvPr id="46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6" name="Gerade Verbindung 134"/>
          <xdr:cNvCxnSpPr>
            <a:stCxn id="465" idx="4"/>
            <a:endCxn id="4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50</xdr:row>
      <xdr:rowOff>148168</xdr:rowOff>
    </xdr:from>
    <xdr:to>
      <xdr:col>10</xdr:col>
      <xdr:colOff>140408</xdr:colOff>
      <xdr:row>52</xdr:row>
      <xdr:rowOff>23687</xdr:rowOff>
    </xdr:to>
    <xdr:grpSp>
      <xdr:nvGrpSpPr>
        <xdr:cNvPr id="469" name="Gruppieren 468"/>
        <xdr:cNvGrpSpPr/>
      </xdr:nvGrpSpPr>
      <xdr:grpSpPr>
        <a:xfrm flipH="1">
          <a:off x="4548292" y="8987368"/>
          <a:ext cx="126016" cy="199369"/>
          <a:chOff x="6665123" y="2144244"/>
          <a:chExt cx="126016" cy="200859"/>
        </a:xfrm>
      </xdr:grpSpPr>
      <xdr:sp macro="" textlink="">
        <xdr:nvSpPr>
          <xdr:cNvPr id="47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1" name="Gerade Verbindung 134"/>
          <xdr:cNvCxnSpPr>
            <a:stCxn id="470" idx="4"/>
            <a:endCxn id="4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56</xdr:row>
      <xdr:rowOff>142319</xdr:rowOff>
    </xdr:from>
    <xdr:to>
      <xdr:col>14</xdr:col>
      <xdr:colOff>1844</xdr:colOff>
      <xdr:row>58</xdr:row>
      <xdr:rowOff>27084</xdr:rowOff>
    </xdr:to>
    <xdr:grpSp>
      <xdr:nvGrpSpPr>
        <xdr:cNvPr id="474" name="Gruppieren 473"/>
        <xdr:cNvGrpSpPr/>
      </xdr:nvGrpSpPr>
      <xdr:grpSpPr>
        <a:xfrm>
          <a:off x="5912787" y="9867344"/>
          <a:ext cx="127907" cy="208615"/>
          <a:chOff x="6665123" y="2144244"/>
          <a:chExt cx="126016" cy="200859"/>
        </a:xfrm>
      </xdr:grpSpPr>
      <xdr:sp macro="" textlink="">
        <xdr:nvSpPr>
          <xdr:cNvPr id="47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58</xdr:row>
      <xdr:rowOff>137026</xdr:rowOff>
    </xdr:from>
    <xdr:to>
      <xdr:col>14</xdr:col>
      <xdr:colOff>1844</xdr:colOff>
      <xdr:row>60</xdr:row>
      <xdr:rowOff>21792</xdr:rowOff>
    </xdr:to>
    <xdr:grpSp>
      <xdr:nvGrpSpPr>
        <xdr:cNvPr id="479" name="Gruppieren 478"/>
        <xdr:cNvGrpSpPr/>
      </xdr:nvGrpSpPr>
      <xdr:grpSpPr>
        <a:xfrm>
          <a:off x="5912787" y="10185901"/>
          <a:ext cx="127907" cy="208616"/>
          <a:chOff x="6665123" y="2144244"/>
          <a:chExt cx="126016" cy="200859"/>
        </a:xfrm>
      </xdr:grpSpPr>
      <xdr:sp macro="" textlink="">
        <xdr:nvSpPr>
          <xdr:cNvPr id="48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14392</xdr:colOff>
      <xdr:row>56</xdr:row>
      <xdr:rowOff>148166</xdr:rowOff>
    </xdr:from>
    <xdr:to>
      <xdr:col>15</xdr:col>
      <xdr:colOff>140408</xdr:colOff>
      <xdr:row>58</xdr:row>
      <xdr:rowOff>23685</xdr:rowOff>
    </xdr:to>
    <xdr:grpSp>
      <xdr:nvGrpSpPr>
        <xdr:cNvPr id="484" name="Gruppieren 483"/>
        <xdr:cNvGrpSpPr/>
      </xdr:nvGrpSpPr>
      <xdr:grpSpPr>
        <a:xfrm flipH="1">
          <a:off x="6224692" y="9873191"/>
          <a:ext cx="126016" cy="199369"/>
          <a:chOff x="6665123" y="2144244"/>
          <a:chExt cx="126016" cy="200859"/>
        </a:xfrm>
      </xdr:grpSpPr>
      <xdr:sp macro="" textlink="">
        <xdr:nvSpPr>
          <xdr:cNvPr id="48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6" name="Gerade Verbindung 134"/>
          <xdr:cNvCxnSpPr>
            <a:stCxn id="485" idx="4"/>
            <a:endCxn id="4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14394</xdr:colOff>
      <xdr:row>63</xdr:row>
      <xdr:rowOff>146461</xdr:rowOff>
    </xdr:from>
    <xdr:to>
      <xdr:col>10</xdr:col>
      <xdr:colOff>140410</xdr:colOff>
      <xdr:row>65</xdr:row>
      <xdr:rowOff>24211</xdr:rowOff>
    </xdr:to>
    <xdr:grpSp>
      <xdr:nvGrpSpPr>
        <xdr:cNvPr id="489" name="Gruppieren 488"/>
        <xdr:cNvGrpSpPr/>
      </xdr:nvGrpSpPr>
      <xdr:grpSpPr>
        <a:xfrm flipH="1">
          <a:off x="4548294" y="11004961"/>
          <a:ext cx="126016" cy="201600"/>
          <a:chOff x="6665123" y="2144244"/>
          <a:chExt cx="126016" cy="200859"/>
        </a:xfrm>
      </xdr:grpSpPr>
      <xdr:sp macro="" textlink="">
        <xdr:nvSpPr>
          <xdr:cNvPr id="49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65</xdr:row>
      <xdr:rowOff>142318</xdr:rowOff>
    </xdr:from>
    <xdr:to>
      <xdr:col>14</xdr:col>
      <xdr:colOff>1844</xdr:colOff>
      <xdr:row>67</xdr:row>
      <xdr:rowOff>27084</xdr:rowOff>
    </xdr:to>
    <xdr:grpSp>
      <xdr:nvGrpSpPr>
        <xdr:cNvPr id="494" name="Gruppieren 493"/>
        <xdr:cNvGrpSpPr/>
      </xdr:nvGrpSpPr>
      <xdr:grpSpPr>
        <a:xfrm>
          <a:off x="5912787" y="11324668"/>
          <a:ext cx="127907" cy="208616"/>
          <a:chOff x="6665123" y="2144244"/>
          <a:chExt cx="126016" cy="200859"/>
        </a:xfrm>
      </xdr:grpSpPr>
      <xdr:sp macro="" textlink="">
        <xdr:nvSpPr>
          <xdr:cNvPr id="49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377283</xdr:colOff>
      <xdr:row>68</xdr:row>
      <xdr:rowOff>137027</xdr:rowOff>
    </xdr:from>
    <xdr:to>
      <xdr:col>17</xdr:col>
      <xdr:colOff>504132</xdr:colOff>
      <xdr:row>70</xdr:row>
      <xdr:rowOff>21793</xdr:rowOff>
    </xdr:to>
    <xdr:grpSp>
      <xdr:nvGrpSpPr>
        <xdr:cNvPr id="499" name="Gruppieren 498"/>
        <xdr:cNvGrpSpPr/>
      </xdr:nvGrpSpPr>
      <xdr:grpSpPr>
        <a:xfrm>
          <a:off x="7006683" y="11805152"/>
          <a:ext cx="126849" cy="208616"/>
          <a:chOff x="6665123" y="2144244"/>
          <a:chExt cx="126016" cy="200859"/>
        </a:xfrm>
      </xdr:grpSpPr>
      <xdr:sp macro="" textlink="">
        <xdr:nvSpPr>
          <xdr:cNvPr id="50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381499</xdr:colOff>
      <xdr:row>68</xdr:row>
      <xdr:rowOff>148167</xdr:rowOff>
    </xdr:from>
    <xdr:to>
      <xdr:col>5</xdr:col>
      <xdr:colOff>507234</xdr:colOff>
      <xdr:row>70</xdr:row>
      <xdr:rowOff>22629</xdr:rowOff>
    </xdr:to>
    <xdr:grpSp>
      <xdr:nvGrpSpPr>
        <xdr:cNvPr id="504" name="Gruppieren 503"/>
        <xdr:cNvGrpSpPr/>
      </xdr:nvGrpSpPr>
      <xdr:grpSpPr>
        <a:xfrm>
          <a:off x="2400799" y="11816292"/>
          <a:ext cx="125735" cy="198312"/>
          <a:chOff x="6665123" y="2144244"/>
          <a:chExt cx="126016" cy="200859"/>
        </a:xfrm>
      </xdr:grpSpPr>
      <xdr:sp macro="" textlink="">
        <xdr:nvSpPr>
          <xdr:cNvPr id="50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4"/>
          <xdr:cNvCxnSpPr>
            <a:stCxn id="505" idx="4"/>
            <a:endCxn id="5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68</xdr:row>
      <xdr:rowOff>142317</xdr:rowOff>
    </xdr:from>
    <xdr:to>
      <xdr:col>14</xdr:col>
      <xdr:colOff>1844</xdr:colOff>
      <xdr:row>70</xdr:row>
      <xdr:rowOff>27083</xdr:rowOff>
    </xdr:to>
    <xdr:grpSp>
      <xdr:nvGrpSpPr>
        <xdr:cNvPr id="509" name="Gruppieren 508"/>
        <xdr:cNvGrpSpPr/>
      </xdr:nvGrpSpPr>
      <xdr:grpSpPr>
        <a:xfrm>
          <a:off x="5912787" y="11810442"/>
          <a:ext cx="127907" cy="208616"/>
          <a:chOff x="6665123" y="2144244"/>
          <a:chExt cx="126016" cy="200859"/>
        </a:xfrm>
      </xdr:grpSpPr>
      <xdr:sp macro="" textlink="">
        <xdr:nvSpPr>
          <xdr:cNvPr id="510"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5291</xdr:colOff>
      <xdr:row>71</xdr:row>
      <xdr:rowOff>148166</xdr:rowOff>
    </xdr:from>
    <xdr:to>
      <xdr:col>0</xdr:col>
      <xdr:colOff>131307</xdr:colOff>
      <xdr:row>73</xdr:row>
      <xdr:rowOff>23686</xdr:rowOff>
    </xdr:to>
    <xdr:grpSp>
      <xdr:nvGrpSpPr>
        <xdr:cNvPr id="514" name="Gruppieren 513"/>
        <xdr:cNvGrpSpPr/>
      </xdr:nvGrpSpPr>
      <xdr:grpSpPr>
        <a:xfrm flipH="1">
          <a:off x="5291" y="12302066"/>
          <a:ext cx="126016" cy="199370"/>
          <a:chOff x="6665123" y="2144244"/>
          <a:chExt cx="126016" cy="200859"/>
        </a:xfrm>
      </xdr:grpSpPr>
      <xdr:sp macro="" textlink="">
        <xdr:nvSpPr>
          <xdr:cNvPr id="515"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6" name="Gerade Verbindung 134"/>
          <xdr:cNvCxnSpPr>
            <a:stCxn id="515" idx="4"/>
            <a:endCxn id="5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7"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8"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10</xdr:row>
      <xdr:rowOff>141817</xdr:rowOff>
    </xdr:from>
    <xdr:to>
      <xdr:col>14</xdr:col>
      <xdr:colOff>1540</xdr:colOff>
      <xdr:row>12</xdr:row>
      <xdr:rowOff>21570</xdr:rowOff>
    </xdr:to>
    <xdr:grpSp>
      <xdr:nvGrpSpPr>
        <xdr:cNvPr id="232" name="Gruppieren 231"/>
        <xdr:cNvGrpSpPr/>
      </xdr:nvGrpSpPr>
      <xdr:grpSpPr>
        <a:xfrm>
          <a:off x="5914544" y="2504017"/>
          <a:ext cx="125846" cy="203603"/>
          <a:chOff x="6665123" y="2144244"/>
          <a:chExt cx="126016" cy="200859"/>
        </a:xfrm>
      </xdr:grpSpPr>
      <xdr:sp macro="" textlink="">
        <xdr:nvSpPr>
          <xdr:cNvPr id="233"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53</xdr:row>
      <xdr:rowOff>141779</xdr:rowOff>
    </xdr:from>
    <xdr:to>
      <xdr:col>0</xdr:col>
      <xdr:colOff>129239</xdr:colOff>
      <xdr:row>55</xdr:row>
      <xdr:rowOff>19529</xdr:rowOff>
    </xdr:to>
    <xdr:grpSp>
      <xdr:nvGrpSpPr>
        <xdr:cNvPr id="242" name="Gruppieren 241"/>
        <xdr:cNvGrpSpPr/>
      </xdr:nvGrpSpPr>
      <xdr:grpSpPr>
        <a:xfrm flipH="1">
          <a:off x="3223" y="9466754"/>
          <a:ext cx="126016" cy="201600"/>
          <a:chOff x="6665123" y="2144244"/>
          <a:chExt cx="126016" cy="200859"/>
        </a:xfrm>
      </xdr:grpSpPr>
      <xdr:sp macro="" textlink="">
        <xdr:nvSpPr>
          <xdr:cNvPr id="243"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6"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51</xdr:row>
      <xdr:rowOff>132792</xdr:rowOff>
    </xdr:from>
    <xdr:to>
      <xdr:col>5</xdr:col>
      <xdr:colOff>508217</xdr:colOff>
      <xdr:row>53</xdr:row>
      <xdr:rowOff>17558</xdr:rowOff>
    </xdr:to>
    <xdr:grpSp>
      <xdr:nvGrpSpPr>
        <xdr:cNvPr id="247" name="Gruppieren 246"/>
        <xdr:cNvGrpSpPr/>
      </xdr:nvGrpSpPr>
      <xdr:grpSpPr>
        <a:xfrm>
          <a:off x="2400668" y="9133917"/>
          <a:ext cx="126849" cy="208616"/>
          <a:chOff x="6665123" y="2144244"/>
          <a:chExt cx="126016" cy="200859"/>
        </a:xfrm>
      </xdr:grpSpPr>
      <xdr:sp macro="" textlink="">
        <xdr:nvSpPr>
          <xdr:cNvPr id="248" name="Rechtwinkliges Dreieck 133"/>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9" name="Gerade Verbindung 134"/>
          <xdr:cNvCxnSpPr>
            <a:stCxn id="248" idx="4"/>
            <a:endCxn id="24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0" name="Rechtwinkliges Dreieck 135"/>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6"/>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oneCellAnchor>
    <xdr:from>
      <xdr:col>10</xdr:col>
      <xdr:colOff>292554</xdr:colOff>
      <xdr:row>0</xdr:row>
      <xdr:rowOff>0</xdr:rowOff>
    </xdr:from>
    <xdr:ext cx="1476375" cy="1002839"/>
    <xdr:sp macro="" textlink="">
      <xdr:nvSpPr>
        <xdr:cNvPr id="7" name="Textfeld 6"/>
        <xdr:cNvSpPr txBox="1"/>
      </xdr:nvSpPr>
      <xdr:spPr>
        <a:xfrm>
          <a:off x="5735411"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1</xdr:col>
      <xdr:colOff>598626</xdr:colOff>
      <xdr:row>0</xdr:row>
      <xdr:rowOff>285714</xdr:rowOff>
    </xdr:to>
    <xdr:pic>
      <xdr:nvPicPr>
        <xdr:cNvPr id="15" name="Grafik 14" descr="AHB Logo.png"/>
        <xdr:cNvPicPr>
          <a:picLocks noChangeAspect="1"/>
        </xdr:cNvPicPr>
      </xdr:nvPicPr>
      <xdr:blipFill>
        <a:blip xmlns:r="http://schemas.openxmlformats.org/officeDocument/2006/relationships" r:embed="rId1" cstate="print"/>
        <a:stretch>
          <a:fillRect/>
        </a:stretch>
      </xdr:blipFill>
      <xdr:spPr>
        <a:xfrm>
          <a:off x="0" y="0"/>
          <a:ext cx="1627326" cy="285714"/>
        </a:xfrm>
        <a:prstGeom prst="rect">
          <a:avLst/>
        </a:prstGeom>
      </xdr:spPr>
    </xdr:pic>
    <xdr:clientData/>
  </xdr:twoCellAnchor>
  <xdr:twoCellAnchor>
    <xdr:from>
      <xdr:col>15</xdr:col>
      <xdr:colOff>19050</xdr:colOff>
      <xdr:row>14</xdr:row>
      <xdr:rowOff>0</xdr:rowOff>
    </xdr:from>
    <xdr:to>
      <xdr:col>15</xdr:col>
      <xdr:colOff>190499</xdr:colOff>
      <xdr:row>37</xdr:row>
      <xdr:rowOff>123825</xdr:rowOff>
    </xdr:to>
    <xdr:sp macro="" textlink="">
      <xdr:nvSpPr>
        <xdr:cNvPr id="4" name="Geschweifte Klammer rechts 3"/>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wsDr>
</file>

<file path=xl/drawings/drawing9.xml><?xml version="1.0" encoding="utf-8"?>
<xdr:wsDr xmlns:xdr="http://schemas.openxmlformats.org/drawingml/2006/spreadsheetDrawing" xmlns:a="http://schemas.openxmlformats.org/drawingml/2006/main">
  <xdr:oneCellAnchor>
    <xdr:from>
      <xdr:col>9</xdr:col>
      <xdr:colOff>292554</xdr:colOff>
      <xdr:row>0</xdr:row>
      <xdr:rowOff>0</xdr:rowOff>
    </xdr:from>
    <xdr:ext cx="1476375" cy="1002839"/>
    <xdr:sp macro="" textlink="">
      <xdr:nvSpPr>
        <xdr:cNvPr id="2" name="Textfeld 1"/>
        <xdr:cNvSpPr txBox="1"/>
      </xdr:nvSpPr>
      <xdr:spPr>
        <a:xfrm>
          <a:off x="5712279" y="0"/>
          <a:ext cx="1476375" cy="10028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Postfach</a:t>
          </a:r>
        </a:p>
        <a:p>
          <a:r>
            <a:rPr lang="de-CH" sz="850">
              <a:latin typeface="Arial" pitchFamily="34" charset="0"/>
              <a:cs typeface="Arial" pitchFamily="34" charset="0"/>
            </a:rPr>
            <a:t>8021 Zürich</a:t>
          </a:r>
        </a:p>
        <a:p>
          <a:endParaRPr lang="de-CH" sz="850">
            <a:latin typeface="Arial" pitchFamily="34" charset="0"/>
            <a:cs typeface="Arial" pitchFamily="34" charset="0"/>
          </a:endParaRPr>
        </a:p>
        <a:p>
          <a:r>
            <a:rPr lang="de-CH" sz="850">
              <a:latin typeface="Arial" pitchFamily="34" charset="0"/>
              <a:cs typeface="Arial" pitchFamily="34" charset="0"/>
            </a:rPr>
            <a:t>Tel. +41 44 412 11 11</a:t>
          </a:r>
        </a:p>
        <a:p>
          <a:r>
            <a:rPr lang="de-CH" sz="850">
              <a:latin typeface="Arial" pitchFamily="34" charset="0"/>
              <a:cs typeface="Arial" pitchFamily="34" charset="0"/>
            </a:rPr>
            <a:t>Fax +41 44 212 19 36</a:t>
          </a:r>
        </a:p>
        <a:p>
          <a:r>
            <a:rPr lang="de-CH" sz="850">
              <a:latin typeface="Arial" pitchFamily="34" charset="0"/>
              <a:cs typeface="Arial" pitchFamily="34" charset="0"/>
            </a:rPr>
            <a:t>www.stadt-zuerich.ch/hochbau</a:t>
          </a:r>
        </a:p>
      </xdr:txBody>
    </xdr:sp>
    <xdr:clientData/>
  </xdr:oneCellAnchor>
  <xdr:twoCellAnchor editAs="oneCell">
    <xdr:from>
      <xdr:col>0</xdr:col>
      <xdr:colOff>0</xdr:colOff>
      <xdr:row>0</xdr:row>
      <xdr:rowOff>0</xdr:rowOff>
    </xdr:from>
    <xdr:to>
      <xdr:col>0</xdr:col>
      <xdr:colOff>1627326</xdr:colOff>
      <xdr:row>0</xdr:row>
      <xdr:rowOff>285714</xdr:rowOff>
    </xdr:to>
    <xdr:pic>
      <xdr:nvPicPr>
        <xdr:cNvPr id="3" name="Grafik 2" descr="AHB Logo.png"/>
        <xdr:cNvPicPr>
          <a:picLocks noChangeAspect="1"/>
        </xdr:cNvPicPr>
      </xdr:nvPicPr>
      <xdr:blipFill>
        <a:blip xmlns:r="http://schemas.openxmlformats.org/officeDocument/2006/relationships" r:embed="rId1" cstate="print"/>
        <a:stretch>
          <a:fillRect/>
        </a:stretch>
      </xdr:blipFill>
      <xdr:spPr>
        <a:xfrm>
          <a:off x="0" y="0"/>
          <a:ext cx="1627326" cy="28571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9.xml"/><Relationship Id="rId1" Type="http://schemas.openxmlformats.org/officeDocument/2006/relationships/printerSettings" Target="../printerSettings/printerSettings10.bin"/><Relationship Id="rId5" Type="http://schemas.openxmlformats.org/officeDocument/2006/relationships/comments" Target="../comments10.xml"/><Relationship Id="rId4" Type="http://schemas.openxmlformats.org/officeDocument/2006/relationships/vmlDrawing" Target="../drawings/vmlDrawing20.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0.xml"/><Relationship Id="rId1" Type="http://schemas.openxmlformats.org/officeDocument/2006/relationships/printerSettings" Target="../printerSettings/printerSettings11.bin"/><Relationship Id="rId5" Type="http://schemas.openxmlformats.org/officeDocument/2006/relationships/comments" Target="../comments11.xml"/><Relationship Id="rId4" Type="http://schemas.openxmlformats.org/officeDocument/2006/relationships/vmlDrawing" Target="../drawings/vmlDrawing22.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11.xml"/><Relationship Id="rId1" Type="http://schemas.openxmlformats.org/officeDocument/2006/relationships/printerSettings" Target="../printerSettings/printerSettings12.bin"/><Relationship Id="rId5" Type="http://schemas.openxmlformats.org/officeDocument/2006/relationships/comments" Target="../comments12.xml"/><Relationship Id="rId4" Type="http://schemas.openxmlformats.org/officeDocument/2006/relationships/vmlDrawing" Target="../drawings/vmlDrawing24.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comments" Target="../comments13.xml"/><Relationship Id="rId4" Type="http://schemas.openxmlformats.org/officeDocument/2006/relationships/vmlDrawing" Target="../drawings/vmlDrawing26.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13.xml"/><Relationship Id="rId1" Type="http://schemas.openxmlformats.org/officeDocument/2006/relationships/printerSettings" Target="../printerSettings/printerSettings14.bin"/><Relationship Id="rId5" Type="http://schemas.openxmlformats.org/officeDocument/2006/relationships/comments" Target="../comments14.xml"/><Relationship Id="rId4" Type="http://schemas.openxmlformats.org/officeDocument/2006/relationships/vmlDrawing" Target="../drawings/vmlDrawing28.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14.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vmlDrawing" Target="../drawings/vmlDrawing30.v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vmlDrawing" Target="../drawings/vmlDrawing32.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16.xml"/><Relationship Id="rId1" Type="http://schemas.openxmlformats.org/officeDocument/2006/relationships/printerSettings" Target="../printerSettings/printerSettings17.bin"/><Relationship Id="rId5" Type="http://schemas.openxmlformats.org/officeDocument/2006/relationships/comments" Target="../comments17.xml"/><Relationship Id="rId4" Type="http://schemas.openxmlformats.org/officeDocument/2006/relationships/vmlDrawing" Target="../drawings/vmlDrawing34.v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omments" Target="../comments18.xml"/><Relationship Id="rId4" Type="http://schemas.openxmlformats.org/officeDocument/2006/relationships/vmlDrawing" Target="../drawings/vmlDrawing36.v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18.xml"/><Relationship Id="rId1" Type="http://schemas.openxmlformats.org/officeDocument/2006/relationships/printerSettings" Target="../printerSettings/printerSettings19.bin"/><Relationship Id="rId5" Type="http://schemas.openxmlformats.org/officeDocument/2006/relationships/comments" Target="../comments19.xml"/><Relationship Id="rId4" Type="http://schemas.openxmlformats.org/officeDocument/2006/relationships/vmlDrawing" Target="../drawings/vmlDrawing38.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omments" Target="../comments3.xml"/><Relationship Id="rId5" Type="http://schemas.openxmlformats.org/officeDocument/2006/relationships/ctrlProp" Target="../ctrlProps/ctrlProp1.xml"/><Relationship Id="rId4" Type="http://schemas.openxmlformats.org/officeDocument/2006/relationships/vmlDrawing" Target="../drawings/vmlDrawing6.vml"/></Relationships>
</file>

<file path=xl/worksheets/_rels/sheet4.xml.rels><?xml version="1.0" encoding="UTF-8" standalone="yes"?>
<Relationships xmlns="http://schemas.openxmlformats.org/package/2006/relationships"><Relationship Id="rId8" Type="http://schemas.openxmlformats.org/officeDocument/2006/relationships/hyperlink" Target="https://www.kbob.admin.ch/dam/kbob/de/dokumente/Publikationen/Nachhaltiges%20Bauen/Empfehlung_Oekobilanzdaten_Baubereich_2009_1_2014.pdf.download.pdf/Empfehlung%20%C3%96kobilanzdaten%20im%20Baubereich%202009/1_2014.pdf" TargetMode="External"/><Relationship Id="rId13" Type="http://schemas.openxmlformats.org/officeDocument/2006/relationships/hyperlink" Target="http://www.bauteilkatalog.ch/ch/de/21.asp?lng=DE&amp;navid=5" TargetMode="External"/><Relationship Id="rId18" Type="http://schemas.openxmlformats.org/officeDocument/2006/relationships/hyperlink" Target="https://www.stadt-zuerich.ch/content/dam/stzh/ted/Deutsch/erz/Zuerich_Waerme/Publikationen_und_Broschueren/ZW_Bewaehrt_sauber_sicher-ZuerichWaerme_1311.pdf" TargetMode="External"/><Relationship Id="rId3" Type="http://schemas.openxmlformats.org/officeDocument/2006/relationships/hyperlink" Target="https://www.ewz.ch/content/dam/ewz/services/dokumentencenter/energie-beziehen/dokumente/gruener-strom-fuer-mein-unternehmen/stromtarif-2016-zh-gesch&#228;ftskunden.pdf" TargetMode="External"/><Relationship Id="rId21" Type="http://schemas.openxmlformats.org/officeDocument/2006/relationships/drawing" Target="../drawings/drawing3.xml"/><Relationship Id="rId7" Type="http://schemas.openxmlformats.org/officeDocument/2006/relationships/hyperlink" Target="http://www.energie360.ch/produkte-preise/erdgas/preise.html" TargetMode="External"/><Relationship Id="rId12" Type="http://schemas.openxmlformats.org/officeDocument/2006/relationships/hyperlink" Target="http://www.minergie.ch/minergie" TargetMode="External"/><Relationship Id="rId17" Type="http://schemas.openxmlformats.org/officeDocument/2006/relationships/hyperlink" Target="https://www.kbob.admin.ch/kbob/de/home/publikationen.html" TargetMode="External"/><Relationship Id="rId2" Type="http://schemas.openxmlformats.org/officeDocument/2006/relationships/hyperlink" Target="http://www.bbl.admin.ch/kbob/00493/02804/index.html?lang=de" TargetMode="External"/><Relationship Id="rId16" Type="http://schemas.openxmlformats.org/officeDocument/2006/relationships/hyperlink" Target="http://www.bbl.admin.ch/kbob/00493/02804/index.html?lang=de" TargetMode="External"/><Relationship Id="rId20" Type="http://schemas.openxmlformats.org/officeDocument/2006/relationships/printerSettings" Target="../printerSettings/printerSettings4.bin"/><Relationship Id="rId1" Type="http://schemas.openxmlformats.org/officeDocument/2006/relationships/hyperlink" Target="http://www.bbl.admin.ch/kbob/00493/02804/index.html?lang=de" TargetMode="External"/><Relationship Id="rId6" Type="http://schemas.openxmlformats.org/officeDocument/2006/relationships/hyperlink" Target="https://www.stadt-zuerich.ch/prd/de/index/statistik/themen/wirtschaft/konsumentenpreise/durchschnittspreise.html" TargetMode="External"/><Relationship Id="rId11" Type="http://schemas.openxmlformats.org/officeDocument/2006/relationships/hyperlink" Target="http://www.minergie.ch/minergie-p" TargetMode="External"/><Relationship Id="rId24" Type="http://schemas.openxmlformats.org/officeDocument/2006/relationships/comments" Target="../comments4.xml"/><Relationship Id="rId5" Type="http://schemas.openxmlformats.org/officeDocument/2006/relationships/hyperlink" Target="http://www.stadt-zuerich.ch/statistik%20&#8594;%20Themen%20&#8594;%20Wirtschaft%20&#8594;%20Konsumentenpreise%20&#8594;%20Durchschnittspreise" TargetMode="External"/><Relationship Id="rId15" Type="http://schemas.openxmlformats.org/officeDocument/2006/relationships/hyperlink" Target="https://www.kbob.admin.ch/kbob/de/home/publikationen.html" TargetMode="External"/><Relationship Id="rId23" Type="http://schemas.openxmlformats.org/officeDocument/2006/relationships/vmlDrawing" Target="../drawings/vmlDrawing8.vml"/><Relationship Id="rId10" Type="http://schemas.openxmlformats.org/officeDocument/2006/relationships/hyperlink" Target="http://www.minergie.ch/minergie" TargetMode="External"/><Relationship Id="rId19" Type="http://schemas.openxmlformats.org/officeDocument/2006/relationships/hyperlink" Target="http://www.energie360.ch/de/energie/erdgasbiogas/erdgasbiogas-waerme/" TargetMode="External"/><Relationship Id="rId4" Type="http://schemas.openxmlformats.org/officeDocument/2006/relationships/hyperlink" Target="https://www.stadt-zuerich.ch/ted/de/index/entsorgung_recycling/zuerich_waerme/preise.html" TargetMode="External"/><Relationship Id="rId9" Type="http://schemas.openxmlformats.org/officeDocument/2006/relationships/hyperlink" Target="http://www.minergie.ch/minergie" TargetMode="External"/><Relationship Id="rId14" Type="http://schemas.openxmlformats.org/officeDocument/2006/relationships/hyperlink" Target="http://treeze.ch/de/rechner/fernwaermerechner/" TargetMode="External"/><Relationship Id="rId22"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5.xml"/><Relationship Id="rId4" Type="http://schemas.openxmlformats.org/officeDocument/2006/relationships/vmlDrawing" Target="../drawings/vmlDrawing10.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6.xml"/><Relationship Id="rId4" Type="http://schemas.openxmlformats.org/officeDocument/2006/relationships/vmlDrawing" Target="../drawings/vmlDrawing12.v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comments" Target="../comments7.xml"/><Relationship Id="rId4" Type="http://schemas.openxmlformats.org/officeDocument/2006/relationships/vmlDrawing" Target="../drawings/vmlDrawing14.v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7.xml"/><Relationship Id="rId1" Type="http://schemas.openxmlformats.org/officeDocument/2006/relationships/printerSettings" Target="../printerSettings/printerSettings8.bin"/><Relationship Id="rId5" Type="http://schemas.openxmlformats.org/officeDocument/2006/relationships/comments" Target="../comments8.xml"/><Relationship Id="rId4" Type="http://schemas.openxmlformats.org/officeDocument/2006/relationships/vmlDrawing" Target="../drawings/vmlDrawing16.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8.xml"/><Relationship Id="rId1" Type="http://schemas.openxmlformats.org/officeDocument/2006/relationships/printerSettings" Target="../printerSettings/printerSettings9.bin"/><Relationship Id="rId5" Type="http://schemas.openxmlformats.org/officeDocument/2006/relationships/comments" Target="../comments9.xml"/><Relationship Id="rId4" Type="http://schemas.openxmlformats.org/officeDocument/2006/relationships/vmlDrawing" Target="../drawings/vmlDrawing1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2060"/>
    <pageSetUpPr fitToPage="1"/>
  </sheetPr>
  <dimension ref="A1:E19"/>
  <sheetViews>
    <sheetView zoomScaleNormal="100" zoomScaleSheetLayoutView="100" workbookViewId="0">
      <pane ySplit="3" topLeftCell="A4" activePane="bottomLeft" state="frozen"/>
      <selection pane="bottomLeft" activeCell="C4" sqref="C4"/>
    </sheetView>
  </sheetViews>
  <sheetFormatPr baseColWidth="10" defaultColWidth="9.25" defaultRowHeight="12.9" x14ac:dyDescent="0.2"/>
  <cols>
    <col min="1" max="1" width="7.25" style="1366" customWidth="1"/>
    <col min="2" max="2" width="8.625" style="1366" customWidth="1"/>
    <col min="3" max="3" width="11.625" style="1366" customWidth="1"/>
    <col min="4" max="4" width="15.75" style="1366" customWidth="1"/>
    <col min="5" max="5" width="85.125" style="1366" customWidth="1"/>
    <col min="6" max="11" width="9.25" style="1366"/>
    <col min="12" max="14" width="14.75" style="1366" customWidth="1"/>
    <col min="15" max="15" width="15" style="1366" customWidth="1"/>
    <col min="16" max="16384" width="9.25" style="1366"/>
  </cols>
  <sheetData>
    <row r="1" spans="1:5" ht="15.65" x14ac:dyDescent="0.25">
      <c r="A1" s="156" t="s">
        <v>179</v>
      </c>
    </row>
    <row r="3" spans="1:5" s="2" customFormat="1" ht="14.95" customHeight="1" x14ac:dyDescent="0.2">
      <c r="B3" s="162" t="s">
        <v>180</v>
      </c>
      <c r="C3" s="163" t="s">
        <v>117</v>
      </c>
      <c r="D3" s="159" t="s">
        <v>181</v>
      </c>
      <c r="E3" s="160" t="s">
        <v>182</v>
      </c>
    </row>
    <row r="4" spans="1:5" s="121" customFormat="1" ht="91.55" customHeight="1" x14ac:dyDescent="0.2">
      <c r="A4" s="161" t="s">
        <v>183</v>
      </c>
      <c r="B4" s="347" t="s">
        <v>845</v>
      </c>
      <c r="C4" s="209">
        <v>42447</v>
      </c>
      <c r="D4" s="1094" t="s">
        <v>184</v>
      </c>
      <c r="E4" s="1345" t="s">
        <v>860</v>
      </c>
    </row>
    <row r="5" spans="1:5" s="121" customFormat="1" ht="67.599999999999994" customHeight="1" x14ac:dyDescent="0.2">
      <c r="A5" s="1344"/>
      <c r="B5" s="830" t="s">
        <v>817</v>
      </c>
      <c r="C5" s="831">
        <v>42034</v>
      </c>
      <c r="D5" s="1257" t="s">
        <v>184</v>
      </c>
      <c r="E5" s="1258" t="s">
        <v>816</v>
      </c>
    </row>
    <row r="6" spans="1:5" s="121" customFormat="1" ht="117.7" customHeight="1" x14ac:dyDescent="0.2">
      <c r="A6" s="1344"/>
      <c r="B6" s="830" t="s">
        <v>682</v>
      </c>
      <c r="C6" s="831">
        <v>41865</v>
      </c>
      <c r="D6" s="1257" t="s">
        <v>184</v>
      </c>
      <c r="E6" s="1258" t="s">
        <v>720</v>
      </c>
    </row>
    <row r="7" spans="1:5" s="121" customFormat="1" ht="104.3" customHeight="1" x14ac:dyDescent="0.2">
      <c r="A7" s="1344"/>
      <c r="B7" s="830" t="s">
        <v>609</v>
      </c>
      <c r="C7" s="831">
        <v>41744</v>
      </c>
      <c r="D7" s="1257" t="s">
        <v>184</v>
      </c>
      <c r="E7" s="1258" t="s">
        <v>635</v>
      </c>
    </row>
    <row r="8" spans="1:5" s="121" customFormat="1" ht="40.6" customHeight="1" x14ac:dyDescent="0.2">
      <c r="A8" s="1344"/>
      <c r="B8" s="830" t="s">
        <v>607</v>
      </c>
      <c r="C8" s="831">
        <v>41724</v>
      </c>
      <c r="D8" s="1257" t="s">
        <v>580</v>
      </c>
      <c r="E8" s="1258" t="s">
        <v>608</v>
      </c>
    </row>
    <row r="9" spans="1:5" s="121" customFormat="1" ht="81.7" customHeight="1" x14ac:dyDescent="0.2">
      <c r="A9" s="1344"/>
      <c r="B9" s="830" t="s">
        <v>605</v>
      </c>
      <c r="C9" s="831">
        <v>41714</v>
      </c>
      <c r="D9" s="1257" t="s">
        <v>580</v>
      </c>
      <c r="E9" s="1258" t="s">
        <v>606</v>
      </c>
    </row>
    <row r="10" spans="1:5" s="121" customFormat="1" ht="43.5" customHeight="1" x14ac:dyDescent="0.2">
      <c r="A10" s="1344"/>
      <c r="B10" s="830" t="s">
        <v>585</v>
      </c>
      <c r="C10" s="831">
        <v>41698</v>
      </c>
      <c r="D10" s="1257" t="s">
        <v>184</v>
      </c>
      <c r="E10" s="833" t="s">
        <v>598</v>
      </c>
    </row>
    <row r="11" spans="1:5" s="121" customFormat="1" ht="40.6" customHeight="1" x14ac:dyDescent="0.2">
      <c r="B11" s="830" t="s">
        <v>584</v>
      </c>
      <c r="C11" s="831">
        <v>41695</v>
      </c>
      <c r="D11" s="1257" t="s">
        <v>580</v>
      </c>
      <c r="E11" s="833" t="s">
        <v>586</v>
      </c>
    </row>
    <row r="12" spans="1:5" s="121" customFormat="1" ht="41.3" customHeight="1" x14ac:dyDescent="0.2">
      <c r="B12" s="830" t="s">
        <v>561</v>
      </c>
      <c r="C12" s="831">
        <v>41677</v>
      </c>
      <c r="D12" s="1257" t="s">
        <v>184</v>
      </c>
      <c r="E12" s="833" t="s">
        <v>587</v>
      </c>
    </row>
    <row r="13" spans="1:5" s="2" customFormat="1" ht="104.95" customHeight="1" x14ac:dyDescent="0.2">
      <c r="B13" s="830" t="s">
        <v>665</v>
      </c>
      <c r="C13" s="831">
        <v>41667</v>
      </c>
      <c r="D13" s="1257" t="s">
        <v>560</v>
      </c>
      <c r="E13" s="1258" t="s">
        <v>588</v>
      </c>
    </row>
    <row r="14" spans="1:5" s="2" customFormat="1" ht="39.75" customHeight="1" x14ac:dyDescent="0.2">
      <c r="B14" s="830" t="s">
        <v>300</v>
      </c>
      <c r="C14" s="831">
        <v>41240</v>
      </c>
      <c r="D14" s="832" t="s">
        <v>184</v>
      </c>
      <c r="E14" s="833" t="s">
        <v>301</v>
      </c>
    </row>
    <row r="15" spans="1:5" s="2" customFormat="1" ht="27" customHeight="1" x14ac:dyDescent="0.2">
      <c r="B15" s="345" t="s">
        <v>298</v>
      </c>
      <c r="C15" s="177">
        <v>40788</v>
      </c>
      <c r="D15" s="157" t="s">
        <v>184</v>
      </c>
      <c r="E15" s="352" t="s">
        <v>299</v>
      </c>
    </row>
    <row r="16" spans="1:5" s="2" customFormat="1" ht="15.8" customHeight="1" x14ac:dyDescent="0.2">
      <c r="B16" s="345" t="s">
        <v>296</v>
      </c>
      <c r="C16" s="177">
        <v>40739</v>
      </c>
      <c r="D16" s="157" t="s">
        <v>184</v>
      </c>
      <c r="E16" s="352" t="s">
        <v>295</v>
      </c>
    </row>
    <row r="17" spans="2:5" s="2" customFormat="1" ht="15.8" customHeight="1" x14ac:dyDescent="0.2">
      <c r="B17" s="345">
        <v>0.3</v>
      </c>
      <c r="C17" s="177">
        <v>40695</v>
      </c>
      <c r="D17" s="157" t="s">
        <v>184</v>
      </c>
      <c r="E17" s="352" t="s">
        <v>235</v>
      </c>
    </row>
    <row r="18" spans="2:5" s="2" customFormat="1" ht="15.8" customHeight="1" x14ac:dyDescent="0.2">
      <c r="B18" s="345">
        <v>0.2</v>
      </c>
      <c r="C18" s="177">
        <v>40584</v>
      </c>
      <c r="D18" s="157" t="s">
        <v>184</v>
      </c>
      <c r="E18" s="352" t="s">
        <v>233</v>
      </c>
    </row>
    <row r="19" spans="2:5" s="2" customFormat="1" ht="15.8" customHeight="1" x14ac:dyDescent="0.2">
      <c r="B19" s="346">
        <v>0.1</v>
      </c>
      <c r="C19" s="178">
        <v>40508</v>
      </c>
      <c r="D19" s="158" t="s">
        <v>184</v>
      </c>
      <c r="E19" s="353"/>
    </row>
  </sheetData>
  <sheetProtection selectLockedCells="1"/>
  <pageMargins left="0.70866141732283472" right="0.70866141732283472" top="0.39370078740157483" bottom="0.98425196850393704" header="0.39370078740157483" footer="0.39370078740157483"/>
  <pageSetup paperSize="9" scale="67" orientation="portrait" r:id="rId1"/>
  <headerFooter scaleWithDoc="0">
    <oddFooter>&amp;L&amp;8&amp;G&amp;C&amp;9Seite &amp;P/&amp;N&amp;6
                                                          &amp;D/&amp;F&amp;R&amp;7&amp;G</oddFooter>
  </headerFooter>
  <legacy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499984740745262"/>
    <outlinePr summaryBelow="0"/>
    <pageSetUpPr fitToPage="1"/>
  </sheetPr>
  <dimension ref="A1:BU436"/>
  <sheetViews>
    <sheetView showGridLines="0" showZeros="0" zoomScaleNormal="100" zoomScaleSheetLayoutView="100" workbookViewId="0">
      <pane ySplit="13" topLeftCell="A14" activePane="bottomLeft" state="frozen"/>
      <selection activeCell="G64" sqref="G64:I64"/>
      <selection pane="bottomLeft" activeCell="B44" sqref="B44:D44"/>
    </sheetView>
  </sheetViews>
  <sheetFormatPr baseColWidth="10" defaultColWidth="11.375" defaultRowHeight="12.9" customHeight="1" x14ac:dyDescent="0.2"/>
  <cols>
    <col min="1" max="1" width="25.375" style="86" customWidth="1"/>
    <col min="2" max="2" width="12.375" style="84" customWidth="1"/>
    <col min="3" max="4" width="5.75" style="84" customWidth="1"/>
    <col min="5" max="5" width="6.875" style="84" customWidth="1"/>
    <col min="6" max="6" width="7.75" style="84" customWidth="1"/>
    <col min="7" max="8" width="4.875" style="83" customWidth="1"/>
    <col min="9" max="9" width="7.75" style="83" customWidth="1"/>
    <col min="10" max="10" width="9.75" style="86" customWidth="1"/>
    <col min="11" max="12" width="3.375" style="86" customWidth="1"/>
    <col min="13" max="13" width="9.75" style="86" customWidth="1"/>
    <col min="14" max="14" width="4.25" style="86" customWidth="1"/>
    <col min="15" max="15" width="15.75" style="86" customWidth="1"/>
    <col min="16" max="16" width="7.375" style="270" customWidth="1"/>
    <col min="17" max="17" width="7.25" style="270" customWidth="1"/>
    <col min="18" max="18" width="8.25" style="270" customWidth="1"/>
    <col min="19" max="19" width="12.125" style="278" customWidth="1"/>
    <col min="20" max="20" width="11.625" style="270" customWidth="1"/>
    <col min="21" max="21" width="10.125" style="270" customWidth="1"/>
    <col min="22" max="22" width="11.625" style="270" customWidth="1"/>
    <col min="23" max="23" width="11" style="270" customWidth="1"/>
    <col min="24" max="24" width="10.125" style="270" customWidth="1"/>
    <col min="25" max="25" width="8.625" style="270" customWidth="1"/>
    <col min="26" max="26" width="10.125" style="270" customWidth="1"/>
    <col min="27" max="32" width="8.625" style="270" customWidth="1"/>
    <col min="33" max="35" width="8.625" style="380" customWidth="1"/>
    <col min="36" max="68" width="8.625" style="381" customWidth="1"/>
    <col min="69" max="69" width="5" style="83" customWidth="1"/>
    <col min="70" max="16384" width="11.375" style="83"/>
  </cols>
  <sheetData>
    <row r="1" spans="1:73" s="1106" customFormat="1" ht="56.25" customHeight="1" x14ac:dyDescent="0.2">
      <c r="A1" s="1131"/>
      <c r="B1" s="2705"/>
      <c r="C1" s="2705"/>
      <c r="D1" s="2705"/>
      <c r="E1" s="2705"/>
      <c r="F1" s="2705"/>
      <c r="G1" s="2705"/>
      <c r="H1" s="313"/>
      <c r="I1" s="313"/>
      <c r="J1" s="313"/>
      <c r="K1" s="313"/>
      <c r="L1" s="313"/>
      <c r="M1" s="313"/>
      <c r="N1" s="1107"/>
      <c r="O1" s="313"/>
      <c r="P1" s="295"/>
      <c r="Q1" s="274"/>
      <c r="R1" s="437"/>
      <c r="S1" s="437"/>
      <c r="T1" s="437"/>
      <c r="U1" s="437"/>
      <c r="V1" s="437"/>
      <c r="W1" s="437"/>
      <c r="X1" s="437"/>
      <c r="Y1" s="437"/>
      <c r="Z1" s="437"/>
      <c r="AA1" s="437"/>
      <c r="AB1" s="437"/>
      <c r="AC1" s="437"/>
      <c r="AD1" s="437"/>
      <c r="AE1" s="296"/>
      <c r="AF1" s="296"/>
      <c r="AG1" s="1009"/>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row>
    <row r="2" spans="1:73" s="1106" customFormat="1" ht="13.6" customHeight="1" x14ac:dyDescent="0.25">
      <c r="A2" s="1132" t="str">
        <f>CONCATENATE("Variantenvergleich Energiesysteme - Version ",Versionsinfo!$B$4)</f>
        <v>Variantenvergleich Energiesysteme - Version 2.2</v>
      </c>
      <c r="B2" s="314"/>
      <c r="C2" s="314"/>
      <c r="D2" s="314"/>
      <c r="E2" s="1535"/>
      <c r="F2" s="1536" t="s">
        <v>684</v>
      </c>
      <c r="G2" s="313"/>
      <c r="H2" s="313"/>
      <c r="I2" s="313"/>
      <c r="J2" s="313"/>
      <c r="K2" s="313"/>
      <c r="L2" s="313"/>
      <c r="M2" s="313"/>
      <c r="N2" s="1107"/>
      <c r="O2" s="199"/>
      <c r="P2" s="199"/>
      <c r="Q2" s="199"/>
      <c r="R2" s="199"/>
      <c r="S2" s="199"/>
      <c r="T2" s="439"/>
      <c r="U2" s="440"/>
      <c r="V2" s="437"/>
      <c r="W2" s="437"/>
      <c r="X2" s="437"/>
      <c r="Y2" s="437"/>
      <c r="Z2" s="437"/>
      <c r="AA2" s="437"/>
      <c r="AB2" s="437"/>
      <c r="AC2" s="437"/>
      <c r="AD2" s="437"/>
      <c r="AE2" s="296"/>
      <c r="AF2" s="296"/>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99"/>
      <c r="BR2" s="199"/>
      <c r="BS2" s="199"/>
      <c r="BT2" s="199"/>
      <c r="BU2" s="199"/>
    </row>
    <row r="3" spans="1:73" s="1106" customFormat="1" ht="12.75" customHeight="1" x14ac:dyDescent="0.2">
      <c r="A3" s="1133" t="s">
        <v>178</v>
      </c>
      <c r="B3" s="314"/>
      <c r="C3" s="314"/>
      <c r="D3" s="314"/>
      <c r="E3" s="314"/>
      <c r="F3" s="314"/>
      <c r="G3" s="314"/>
      <c r="H3" s="314"/>
      <c r="I3" s="314"/>
      <c r="J3" s="314"/>
      <c r="K3" s="314"/>
      <c r="L3" s="314"/>
      <c r="M3" s="314"/>
      <c r="O3" s="199"/>
      <c r="P3" s="199"/>
      <c r="Q3" s="199"/>
      <c r="R3" s="199"/>
      <c r="S3" s="199"/>
      <c r="T3" s="296"/>
      <c r="U3" s="296"/>
      <c r="V3" s="296"/>
      <c r="W3" s="296"/>
      <c r="X3" s="296"/>
      <c r="Y3" s="296"/>
      <c r="Z3" s="296"/>
      <c r="AA3" s="296"/>
      <c r="AB3" s="296"/>
      <c r="AC3" s="296"/>
      <c r="AD3" s="296"/>
      <c r="AE3" s="296"/>
      <c r="AF3" s="296"/>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99"/>
      <c r="BR3" s="199"/>
      <c r="BS3" s="199"/>
      <c r="BT3" s="199"/>
      <c r="BU3" s="199"/>
    </row>
    <row r="4" spans="1:73" s="1106" customFormat="1" ht="23.95" customHeight="1" x14ac:dyDescent="0.2">
      <c r="A4" s="314"/>
      <c r="B4" s="314"/>
      <c r="C4" s="314"/>
      <c r="D4" s="314"/>
      <c r="E4" s="314"/>
      <c r="F4" s="314"/>
      <c r="G4" s="314"/>
      <c r="H4" s="314"/>
      <c r="I4" s="314"/>
      <c r="J4" s="314"/>
      <c r="K4" s="314"/>
      <c r="L4" s="314"/>
      <c r="M4" s="314"/>
      <c r="O4" s="314"/>
      <c r="P4" s="296"/>
      <c r="Q4" s="275"/>
      <c r="R4" s="551"/>
      <c r="S4" s="296"/>
      <c r="T4" s="296"/>
      <c r="U4" s="296"/>
      <c r="V4" s="296"/>
      <c r="W4" s="296"/>
      <c r="X4" s="296"/>
      <c r="Y4" s="296"/>
      <c r="Z4" s="296"/>
      <c r="AA4" s="296"/>
      <c r="AB4" s="296"/>
      <c r="AC4" s="296"/>
      <c r="AD4" s="296"/>
      <c r="AE4" s="296"/>
      <c r="AF4" s="296"/>
      <c r="AG4" s="1009"/>
      <c r="AH4" s="1009"/>
      <c r="AI4" s="1009"/>
      <c r="AJ4" s="1009"/>
      <c r="AK4" s="1009"/>
      <c r="AL4" s="1009"/>
      <c r="AM4" s="1009"/>
      <c r="AN4" s="1009"/>
      <c r="AO4" s="1009"/>
      <c r="AP4" s="1009"/>
      <c r="AQ4" s="1009"/>
      <c r="AR4" s="1009"/>
      <c r="AS4" s="1009"/>
      <c r="AT4" s="1009"/>
      <c r="AU4" s="1009"/>
      <c r="AV4" s="1009"/>
      <c r="AW4" s="1009"/>
      <c r="AX4" s="1009"/>
      <c r="AY4" s="1009"/>
      <c r="AZ4" s="1009"/>
      <c r="BA4" s="1009"/>
      <c r="BB4" s="1009"/>
      <c r="BC4" s="1009"/>
      <c r="BD4" s="1009"/>
      <c r="BE4" s="1009"/>
      <c r="BF4" s="1009"/>
      <c r="BG4" s="1009"/>
      <c r="BH4" s="1009"/>
      <c r="BI4" s="1009"/>
      <c r="BJ4" s="1009"/>
      <c r="BK4" s="1009"/>
      <c r="BL4" s="1009"/>
      <c r="BM4" s="1009"/>
      <c r="BN4" s="1009"/>
      <c r="BO4" s="1009"/>
      <c r="BP4" s="1009"/>
    </row>
    <row r="5" spans="1:73" s="108" customFormat="1" ht="12.9" customHeight="1" x14ac:dyDescent="0.2">
      <c r="A5" s="1308">
        <f>Projektdaten!C8</f>
        <v>0</v>
      </c>
      <c r="K5" s="164"/>
      <c r="L5" s="164"/>
      <c r="M5" s="164">
        <f>Projektdaten!I8</f>
        <v>0</v>
      </c>
      <c r="O5" s="164"/>
      <c r="P5" s="270"/>
      <c r="Q5" s="276"/>
      <c r="R5" s="1106"/>
      <c r="S5" s="278"/>
      <c r="T5" s="270"/>
      <c r="U5" s="270"/>
      <c r="V5" s="270"/>
      <c r="W5" s="270"/>
      <c r="X5" s="270"/>
      <c r="Y5" s="270"/>
      <c r="Z5" s="270"/>
      <c r="AA5" s="270"/>
      <c r="AB5" s="270"/>
      <c r="AC5" s="270"/>
      <c r="AD5" s="270"/>
      <c r="AE5" s="270"/>
      <c r="AF5" s="270"/>
      <c r="AG5" s="380"/>
      <c r="AH5" s="380"/>
      <c r="AI5" s="380"/>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row>
    <row r="6" spans="1:73" ht="5.3" customHeight="1" x14ac:dyDescent="0.2"/>
    <row r="7" spans="1:73" s="106" customFormat="1" ht="14.95" customHeight="1" x14ac:dyDescent="0.3">
      <c r="A7" s="521" t="s">
        <v>28</v>
      </c>
      <c r="B7" s="343">
        <f>EV_Var1!$E$6</f>
        <v>0</v>
      </c>
      <c r="C7" s="343"/>
      <c r="D7" s="343"/>
      <c r="E7" s="165"/>
      <c r="F7" s="165"/>
      <c r="G7" s="1134"/>
      <c r="H7" s="1134"/>
      <c r="I7" s="1135"/>
      <c r="J7" s="1135"/>
      <c r="K7" s="1135"/>
      <c r="L7" s="1135"/>
      <c r="M7" s="1135"/>
      <c r="O7" s="315"/>
      <c r="P7" s="297"/>
      <c r="Q7" s="279"/>
      <c r="R7" s="441"/>
      <c r="S7" s="272"/>
      <c r="T7" s="442"/>
      <c r="U7" s="400"/>
      <c r="V7" s="442"/>
      <c r="W7" s="442"/>
      <c r="X7" s="442"/>
      <c r="Y7" s="442"/>
      <c r="Z7" s="442"/>
      <c r="AA7" s="443"/>
      <c r="AB7" s="443"/>
      <c r="AC7" s="443"/>
      <c r="AD7" s="443"/>
      <c r="AE7" s="443"/>
      <c r="AF7" s="443"/>
      <c r="AG7" s="444"/>
      <c r="AH7" s="444"/>
      <c r="AI7" s="444"/>
      <c r="AJ7" s="445"/>
      <c r="AK7" s="445"/>
      <c r="AL7" s="446"/>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row>
    <row r="8" spans="1:73" s="104" customFormat="1" ht="5.95" customHeight="1" x14ac:dyDescent="0.3">
      <c r="A8" s="105"/>
      <c r="G8" s="31" t="s">
        <v>12</v>
      </c>
      <c r="H8" s="31"/>
      <c r="I8" s="84"/>
      <c r="J8" s="84"/>
      <c r="K8" s="84"/>
      <c r="L8" s="84"/>
      <c r="M8" s="84"/>
      <c r="N8" s="84"/>
      <c r="O8" s="84"/>
      <c r="P8" s="270"/>
      <c r="Q8" s="280"/>
      <c r="R8" s="281"/>
      <c r="S8" s="272"/>
      <c r="T8" s="271"/>
      <c r="U8" s="271"/>
      <c r="V8" s="271"/>
      <c r="W8" s="271"/>
      <c r="X8" s="271"/>
      <c r="Y8" s="271"/>
      <c r="Z8" s="271"/>
      <c r="AA8" s="270"/>
      <c r="AB8" s="270"/>
      <c r="AC8" s="270"/>
      <c r="AD8" s="270"/>
      <c r="AE8" s="270"/>
      <c r="AF8" s="270"/>
      <c r="AG8" s="380"/>
      <c r="AH8" s="380"/>
      <c r="AI8" s="380"/>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row>
    <row r="9" spans="1:73" ht="17.350000000000001" customHeight="1" x14ac:dyDescent="0.25">
      <c r="A9" s="1108" t="s">
        <v>729</v>
      </c>
      <c r="H9" s="317" t="s">
        <v>757</v>
      </c>
      <c r="I9" s="318">
        <f>IF(ISBLANK(Grunddaten!$V$5),Grunddaten!$U$5,Grunddaten!$V$5)</f>
        <v>2.5000000000000001E-2</v>
      </c>
      <c r="J9" s="1124" t="s">
        <v>568</v>
      </c>
      <c r="K9" s="103"/>
      <c r="L9" s="103"/>
      <c r="M9" s="103"/>
      <c r="N9" s="103"/>
      <c r="O9" s="103"/>
      <c r="P9" s="282"/>
      <c r="Q9" s="271"/>
      <c r="R9" s="283"/>
      <c r="S9" s="272"/>
      <c r="T9" s="271"/>
      <c r="U9" s="271"/>
      <c r="V9" s="271"/>
      <c r="W9" s="271"/>
      <c r="X9" s="271"/>
      <c r="Y9" s="271"/>
      <c r="Z9" s="271"/>
    </row>
    <row r="10" spans="1:73" ht="2.25" customHeight="1" thickBot="1" x14ac:dyDescent="0.25">
      <c r="N10" s="1297"/>
      <c r="O10"/>
      <c r="P10"/>
      <c r="Q10" s="271"/>
      <c r="R10" s="271"/>
      <c r="S10" s="272"/>
      <c r="T10" s="271"/>
      <c r="U10" s="271"/>
      <c r="V10" s="271"/>
      <c r="W10" s="271"/>
      <c r="X10" s="271"/>
      <c r="Y10" s="271"/>
      <c r="Z10" s="271"/>
    </row>
    <row r="11" spans="1:73" s="382" customFormat="1" ht="11.25" customHeight="1" x14ac:dyDescent="0.2">
      <c r="A11" s="388" t="s">
        <v>318</v>
      </c>
      <c r="B11" s="1403" t="s">
        <v>319</v>
      </c>
      <c r="C11" s="1404"/>
      <c r="D11" s="1404"/>
      <c r="E11" s="2482" t="s">
        <v>651</v>
      </c>
      <c r="F11" s="2483"/>
      <c r="G11" s="2482" t="s">
        <v>653</v>
      </c>
      <c r="H11" s="2483"/>
      <c r="I11" s="2714" t="s">
        <v>654</v>
      </c>
      <c r="J11" s="2714" t="s">
        <v>730</v>
      </c>
      <c r="K11" s="2756" t="s">
        <v>743</v>
      </c>
      <c r="L11" s="2757"/>
      <c r="M11" s="2758"/>
      <c r="N11" s="1297"/>
      <c r="O11"/>
      <c r="P11"/>
      <c r="Q11" s="285"/>
      <c r="R11" s="285"/>
      <c r="S11" s="280"/>
      <c r="T11" s="271"/>
      <c r="U11" s="271"/>
      <c r="V11" s="271"/>
      <c r="W11" s="271"/>
      <c r="X11" s="271"/>
      <c r="Y11" s="271"/>
      <c r="Z11" s="270"/>
      <c r="AA11" s="270"/>
      <c r="AB11" s="270"/>
      <c r="AC11" s="270"/>
      <c r="AD11" s="270"/>
      <c r="AE11" s="270"/>
      <c r="AF11" s="380"/>
      <c r="AG11" s="380"/>
      <c r="AH11" s="380"/>
      <c r="AI11" s="381"/>
      <c r="AJ11" s="381"/>
    </row>
    <row r="12" spans="1:73" s="382" customFormat="1" ht="11.25" customHeight="1" x14ac:dyDescent="0.2">
      <c r="A12" s="389"/>
      <c r="B12" s="691"/>
      <c r="C12" s="555"/>
      <c r="D12" s="555"/>
      <c r="E12" s="2484"/>
      <c r="F12" s="2485"/>
      <c r="G12" s="2484"/>
      <c r="H12" s="2485"/>
      <c r="I12" s="2715"/>
      <c r="J12" s="2715"/>
      <c r="K12" s="2759"/>
      <c r="L12" s="2760"/>
      <c r="M12" s="2761"/>
      <c r="N12" s="1297"/>
      <c r="O12"/>
      <c r="P12"/>
      <c r="Q12" s="285"/>
      <c r="R12" s="285"/>
      <c r="S12" s="280"/>
      <c r="T12" s="271"/>
      <c r="U12" s="271"/>
      <c r="V12" s="271"/>
      <c r="W12" s="271"/>
      <c r="X12" s="271"/>
      <c r="Y12" s="271"/>
      <c r="Z12" s="270"/>
      <c r="AA12" s="270"/>
      <c r="AB12" s="270"/>
      <c r="AC12" s="270"/>
      <c r="AD12" s="270"/>
      <c r="AE12" s="270"/>
      <c r="AF12" s="380"/>
      <c r="AG12" s="380"/>
      <c r="AH12" s="380"/>
      <c r="AI12" s="381"/>
      <c r="AJ12" s="381"/>
    </row>
    <row r="13" spans="1:73" s="382" customFormat="1" ht="11.25" customHeight="1" thickBot="1" x14ac:dyDescent="0.25">
      <c r="A13" s="1370"/>
      <c r="B13" s="1371"/>
      <c r="C13" s="1372"/>
      <c r="D13" s="1372"/>
      <c r="E13" s="2609" t="s">
        <v>652</v>
      </c>
      <c r="F13" s="2613"/>
      <c r="G13" s="2528" t="s">
        <v>29</v>
      </c>
      <c r="H13" s="2711"/>
      <c r="I13" s="2780"/>
      <c r="J13" s="693" t="s">
        <v>655</v>
      </c>
      <c r="K13" s="2609" t="s">
        <v>677</v>
      </c>
      <c r="L13" s="2613"/>
      <c r="M13" s="392" t="s">
        <v>655</v>
      </c>
      <c r="N13" s="1297"/>
      <c r="O13"/>
      <c r="P13"/>
      <c r="Q13" s="285"/>
      <c r="R13" s="285"/>
      <c r="S13" s="280"/>
      <c r="T13" s="271"/>
      <c r="U13" s="271"/>
      <c r="V13" s="271"/>
      <c r="W13" s="271"/>
      <c r="X13" s="271"/>
      <c r="Y13" s="271"/>
      <c r="Z13" s="270"/>
      <c r="AA13" s="270"/>
      <c r="AB13" s="270"/>
      <c r="AC13" s="270"/>
      <c r="AD13" s="270"/>
      <c r="AE13" s="270"/>
      <c r="AF13" s="380"/>
      <c r="AG13" s="380"/>
      <c r="AH13" s="380"/>
      <c r="AI13" s="381"/>
      <c r="AJ13" s="381"/>
    </row>
    <row r="14" spans="1:73" s="382" customFormat="1" ht="13.6" customHeight="1" x14ac:dyDescent="0.2">
      <c r="A14" s="2777" t="s">
        <v>640</v>
      </c>
      <c r="B14" s="2778"/>
      <c r="C14" s="2778"/>
      <c r="D14" s="2778"/>
      <c r="E14" s="2778"/>
      <c r="F14" s="2778"/>
      <c r="G14" s="2778"/>
      <c r="H14" s="2778"/>
      <c r="I14" s="2778"/>
      <c r="J14" s="2778"/>
      <c r="K14" s="2778"/>
      <c r="L14" s="2778"/>
      <c r="M14" s="2779"/>
      <c r="N14" s="1369"/>
      <c r="O14" s="1366"/>
      <c r="P14" s="1366"/>
      <c r="Q14" s="285"/>
      <c r="R14" s="285"/>
      <c r="S14" s="280"/>
      <c r="T14" s="271"/>
      <c r="U14" s="271"/>
      <c r="V14" s="271"/>
      <c r="W14" s="271"/>
      <c r="X14" s="271"/>
      <c r="Y14" s="271"/>
      <c r="Z14" s="270"/>
      <c r="AA14" s="270"/>
      <c r="AB14" s="270"/>
      <c r="AC14" s="270"/>
      <c r="AD14" s="270"/>
      <c r="AE14" s="270"/>
      <c r="AF14" s="380"/>
      <c r="AG14" s="380"/>
      <c r="AH14" s="380"/>
      <c r="AI14" s="381"/>
      <c r="AJ14" s="381"/>
    </row>
    <row r="15" spans="1:73" s="88" customFormat="1" ht="12.1" customHeight="1" x14ac:dyDescent="0.2">
      <c r="A15" s="1013" t="str">
        <f>A44</f>
        <v>1. Wärmequelle Baumeister</v>
      </c>
      <c r="B15" s="2847">
        <f>B44</f>
        <v>0</v>
      </c>
      <c r="C15" s="2848"/>
      <c r="D15" s="2849"/>
      <c r="E15" s="2781">
        <f>E44</f>
        <v>0</v>
      </c>
      <c r="F15" s="2782"/>
      <c r="G15" s="2774"/>
      <c r="H15" s="2775"/>
      <c r="I15" s="2776"/>
      <c r="J15" s="1405">
        <f>J44</f>
        <v>0</v>
      </c>
      <c r="K15" s="2799" t="str">
        <f t="shared" ref="K15:K36" si="0">IF(E15=0,"",M15/E15*100)</f>
        <v/>
      </c>
      <c r="L15" s="2800"/>
      <c r="M15" s="1451">
        <f>M44</f>
        <v>0</v>
      </c>
      <c r="N15" s="1297"/>
      <c r="O15"/>
      <c r="P15"/>
      <c r="Q15"/>
      <c r="R15" s="287"/>
      <c r="S15" s="280"/>
      <c r="T15" s="280"/>
      <c r="U15" s="280"/>
      <c r="V15" s="280"/>
      <c r="W15" s="280"/>
      <c r="X15" s="280"/>
      <c r="Y15" s="280"/>
      <c r="Z15" s="284"/>
      <c r="AA15" s="284"/>
      <c r="AB15" s="284"/>
      <c r="AC15" s="284"/>
      <c r="AD15" s="284"/>
      <c r="AE15" s="284"/>
      <c r="AF15" s="447"/>
      <c r="AG15" s="447"/>
      <c r="AH15" s="447"/>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row>
    <row r="16" spans="1:73" s="88" customFormat="1" ht="12.1" customHeight="1" x14ac:dyDescent="0.2">
      <c r="A16" s="1013" t="str">
        <f>A59</f>
        <v>2. Wärmequelle Technisch</v>
      </c>
      <c r="B16" s="2801"/>
      <c r="C16" s="2802"/>
      <c r="D16" s="2803"/>
      <c r="E16" s="2751">
        <f>E59</f>
        <v>0</v>
      </c>
      <c r="F16" s="2752"/>
      <c r="G16" s="2753"/>
      <c r="H16" s="2754"/>
      <c r="I16" s="2755"/>
      <c r="J16" s="1414">
        <f>J59</f>
        <v>0</v>
      </c>
      <c r="K16" s="2762" t="str">
        <f t="shared" si="0"/>
        <v/>
      </c>
      <c r="L16" s="2763"/>
      <c r="M16" s="1452">
        <f>M59</f>
        <v>0</v>
      </c>
      <c r="N16" s="1297"/>
      <c r="O16"/>
      <c r="P16"/>
      <c r="Q16"/>
      <c r="R16" s="287"/>
      <c r="S16" s="280"/>
      <c r="T16" s="280"/>
      <c r="U16" s="280"/>
      <c r="V16" s="280"/>
      <c r="W16" s="280"/>
      <c r="X16" s="280"/>
      <c r="Y16" s="280"/>
      <c r="Z16" s="284"/>
      <c r="AA16" s="284"/>
      <c r="AB16" s="284"/>
      <c r="AC16" s="284"/>
      <c r="AD16" s="284"/>
      <c r="AE16" s="284"/>
      <c r="AF16" s="447"/>
      <c r="AG16" s="447"/>
      <c r="AH16" s="447"/>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row>
    <row r="17" spans="1:67" s="88" customFormat="1" ht="12.1" customHeight="1" x14ac:dyDescent="0.2">
      <c r="A17" s="1013" t="str">
        <f>A74</f>
        <v>3. Energiezulieferung</v>
      </c>
      <c r="B17" s="2801">
        <f>B74</f>
        <v>0</v>
      </c>
      <c r="C17" s="2802"/>
      <c r="D17" s="2803"/>
      <c r="E17" s="2751">
        <f>E74</f>
        <v>0</v>
      </c>
      <c r="F17" s="2752"/>
      <c r="G17" s="2753"/>
      <c r="H17" s="2754"/>
      <c r="I17" s="2755"/>
      <c r="J17" s="1414">
        <f>J74</f>
        <v>0</v>
      </c>
      <c r="K17" s="2762" t="str">
        <f t="shared" si="0"/>
        <v/>
      </c>
      <c r="L17" s="2763"/>
      <c r="M17" s="1452">
        <f>M74</f>
        <v>0</v>
      </c>
      <c r="N17" s="1297"/>
      <c r="O17"/>
      <c r="P17"/>
      <c r="Q17"/>
      <c r="R17" s="287"/>
      <c r="S17" s="280"/>
      <c r="T17" s="280"/>
      <c r="U17" s="280"/>
      <c r="V17" s="280"/>
      <c r="W17" s="280"/>
      <c r="X17" s="280"/>
      <c r="Y17" s="280"/>
      <c r="Z17" s="284"/>
      <c r="AA17" s="284"/>
      <c r="AB17" s="284"/>
      <c r="AC17" s="284"/>
      <c r="AD17" s="284"/>
      <c r="AE17" s="284"/>
      <c r="AF17" s="447"/>
      <c r="AG17" s="447"/>
      <c r="AH17" s="447"/>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row>
    <row r="18" spans="1:67" s="88" customFormat="1" ht="12.1" customHeight="1" x14ac:dyDescent="0.2">
      <c r="A18" s="1013" t="str">
        <f>A89</f>
        <v>4. Wärme- / Kälteerzeugung</v>
      </c>
      <c r="B18" s="2801">
        <f>B89</f>
        <v>0</v>
      </c>
      <c r="C18" s="2802"/>
      <c r="D18" s="2803"/>
      <c r="E18" s="2751">
        <f>E89</f>
        <v>0</v>
      </c>
      <c r="F18" s="2752"/>
      <c r="G18" s="2753"/>
      <c r="H18" s="2754"/>
      <c r="I18" s="2755"/>
      <c r="J18" s="1414">
        <f>J89</f>
        <v>0</v>
      </c>
      <c r="K18" s="2762" t="str">
        <f t="shared" si="0"/>
        <v/>
      </c>
      <c r="L18" s="2763"/>
      <c r="M18" s="1452">
        <f>M89</f>
        <v>0</v>
      </c>
      <c r="N18" s="1297"/>
      <c r="O18"/>
      <c r="P18"/>
      <c r="Q18"/>
      <c r="R18" s="287"/>
      <c r="S18" s="280"/>
      <c r="T18" s="280"/>
      <c r="U18" s="280"/>
      <c r="V18" s="280"/>
      <c r="W18" s="280"/>
      <c r="X18" s="280"/>
      <c r="Y18" s="280"/>
      <c r="Z18" s="284"/>
      <c r="AA18" s="284"/>
      <c r="AB18" s="284"/>
      <c r="AC18" s="284"/>
      <c r="AD18" s="284"/>
      <c r="AE18" s="284"/>
      <c r="AF18" s="447"/>
      <c r="AG18" s="447"/>
      <c r="AH18" s="447"/>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row>
    <row r="19" spans="1:67" s="88" customFormat="1" ht="12.1" customHeight="1" x14ac:dyDescent="0.2">
      <c r="A19" s="1013" t="str">
        <f>A106</f>
        <v>5. Kaminanlage</v>
      </c>
      <c r="B19" s="2801">
        <f>B106</f>
        <v>0</v>
      </c>
      <c r="C19" s="2802"/>
      <c r="D19" s="2803"/>
      <c r="E19" s="2751">
        <f>E106</f>
        <v>0</v>
      </c>
      <c r="F19" s="2752"/>
      <c r="G19" s="2753"/>
      <c r="H19" s="2754"/>
      <c r="I19" s="2755"/>
      <c r="J19" s="1414">
        <f>J106</f>
        <v>0</v>
      </c>
      <c r="K19" s="2762" t="str">
        <f t="shared" si="0"/>
        <v/>
      </c>
      <c r="L19" s="2763"/>
      <c r="M19" s="1452">
        <f>M106</f>
        <v>0</v>
      </c>
      <c r="N19" s="1297"/>
      <c r="O19"/>
      <c r="P19"/>
      <c r="Q19"/>
      <c r="R19" s="287"/>
      <c r="S19" s="280"/>
      <c r="T19" s="280"/>
      <c r="U19" s="280"/>
      <c r="V19" s="280"/>
      <c r="W19" s="280"/>
      <c r="X19" s="280"/>
      <c r="Y19" s="280"/>
      <c r="Z19" s="284"/>
      <c r="AA19" s="284"/>
      <c r="AB19" s="284"/>
      <c r="AC19" s="284"/>
      <c r="AD19" s="284"/>
      <c r="AE19" s="284"/>
      <c r="AF19" s="447"/>
      <c r="AG19" s="447"/>
      <c r="AH19" s="447"/>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row>
    <row r="20" spans="1:67" s="88" customFormat="1" ht="12.1" customHeight="1" x14ac:dyDescent="0.2">
      <c r="A20" s="1013" t="str">
        <f>A121</f>
        <v>6. Wärmeverteilung</v>
      </c>
      <c r="B20" s="2801">
        <f>B121</f>
        <v>0</v>
      </c>
      <c r="C20" s="2802"/>
      <c r="D20" s="2803"/>
      <c r="E20" s="2751">
        <f>E121</f>
        <v>0</v>
      </c>
      <c r="F20" s="2752"/>
      <c r="G20" s="2753"/>
      <c r="H20" s="2754"/>
      <c r="I20" s="2755"/>
      <c r="J20" s="1414">
        <f>J121</f>
        <v>0</v>
      </c>
      <c r="K20" s="2762" t="str">
        <f t="shared" si="0"/>
        <v/>
      </c>
      <c r="L20" s="2763"/>
      <c r="M20" s="1452">
        <f>M121</f>
        <v>0</v>
      </c>
      <c r="N20" s="1297"/>
      <c r="O20"/>
      <c r="P20"/>
      <c r="Q20"/>
      <c r="R20" s="287"/>
      <c r="S20" s="280"/>
      <c r="T20" s="280"/>
      <c r="U20" s="280"/>
      <c r="V20" s="280"/>
      <c r="W20" s="280"/>
      <c r="X20" s="280"/>
      <c r="Y20" s="280"/>
      <c r="Z20" s="284"/>
      <c r="AA20" s="284"/>
      <c r="AB20" s="284"/>
      <c r="AC20" s="284"/>
      <c r="AD20" s="284"/>
      <c r="AE20" s="284"/>
      <c r="AF20" s="447"/>
      <c r="AG20" s="447"/>
      <c r="AH20" s="447"/>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row>
    <row r="21" spans="1:67" s="88" customFormat="1" ht="12.1" customHeight="1" x14ac:dyDescent="0.2">
      <c r="A21" s="1013" t="str">
        <f>A136</f>
        <v>7. Wärme- / Kälteabgabe</v>
      </c>
      <c r="B21" s="2801">
        <f>B136</f>
        <v>0</v>
      </c>
      <c r="C21" s="2802"/>
      <c r="D21" s="2803"/>
      <c r="E21" s="2751">
        <f>E136</f>
        <v>0</v>
      </c>
      <c r="F21" s="2752"/>
      <c r="G21" s="2753"/>
      <c r="H21" s="2754"/>
      <c r="I21" s="2755"/>
      <c r="J21" s="1414">
        <f>J136</f>
        <v>0</v>
      </c>
      <c r="K21" s="2762" t="str">
        <f t="shared" si="0"/>
        <v/>
      </c>
      <c r="L21" s="2763"/>
      <c r="M21" s="1452">
        <f>M136</f>
        <v>0</v>
      </c>
      <c r="N21" s="1297"/>
      <c r="O21"/>
      <c r="P21"/>
      <c r="Q21"/>
      <c r="R21" s="287"/>
      <c r="S21" s="280"/>
      <c r="T21" s="280"/>
      <c r="U21" s="280"/>
      <c r="V21" s="280"/>
      <c r="W21" s="280"/>
      <c r="X21" s="280"/>
      <c r="Y21" s="280"/>
      <c r="Z21" s="284"/>
      <c r="AA21" s="284"/>
      <c r="AB21" s="284"/>
      <c r="AC21" s="284"/>
      <c r="AD21" s="284"/>
      <c r="AE21" s="284"/>
      <c r="AF21" s="447"/>
      <c r="AG21" s="447"/>
      <c r="AH21" s="447"/>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row>
    <row r="22" spans="1:67" s="88" customFormat="1" ht="12.1" customHeight="1" x14ac:dyDescent="0.2">
      <c r="A22" s="1013" t="str">
        <f>A151</f>
        <v>8. Sicherheit</v>
      </c>
      <c r="B22" s="2801">
        <f>B151</f>
        <v>0</v>
      </c>
      <c r="C22" s="2802"/>
      <c r="D22" s="2803"/>
      <c r="E22" s="2751">
        <f>E151</f>
        <v>0</v>
      </c>
      <c r="F22" s="2752"/>
      <c r="G22" s="2753"/>
      <c r="H22" s="2754"/>
      <c r="I22" s="2755"/>
      <c r="J22" s="1414">
        <f>J151</f>
        <v>0</v>
      </c>
      <c r="K22" s="2762" t="str">
        <f t="shared" si="0"/>
        <v/>
      </c>
      <c r="L22" s="2763"/>
      <c r="M22" s="1452">
        <f>M151</f>
        <v>0</v>
      </c>
      <c r="N22" s="1297"/>
      <c r="O22" s="1294"/>
      <c r="P22" s="1294"/>
      <c r="Q22" s="1294"/>
      <c r="R22" s="287"/>
      <c r="S22" s="280"/>
      <c r="T22" s="280"/>
      <c r="U22" s="280"/>
      <c r="V22" s="280"/>
      <c r="W22" s="280"/>
      <c r="X22" s="280"/>
      <c r="Y22" s="280"/>
      <c r="Z22" s="284"/>
      <c r="AA22" s="284"/>
      <c r="AB22" s="284"/>
      <c r="AC22" s="284"/>
      <c r="AD22" s="284"/>
      <c r="AE22" s="284"/>
      <c r="AF22" s="447"/>
      <c r="AG22" s="447"/>
      <c r="AH22" s="447"/>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row>
    <row r="23" spans="1:67" s="88" customFormat="1" ht="12.1" customHeight="1" x14ac:dyDescent="0.2">
      <c r="A23" s="1013" t="str">
        <f>A166</f>
        <v>9. Sanitär</v>
      </c>
      <c r="B23" s="2801">
        <f>B166</f>
        <v>0</v>
      </c>
      <c r="C23" s="2802"/>
      <c r="D23" s="2803"/>
      <c r="E23" s="2751">
        <f>E166</f>
        <v>0</v>
      </c>
      <c r="F23" s="2752"/>
      <c r="G23" s="2753"/>
      <c r="H23" s="2754"/>
      <c r="I23" s="2755"/>
      <c r="J23" s="1414">
        <f>J166</f>
        <v>0</v>
      </c>
      <c r="K23" s="2762" t="str">
        <f t="shared" si="0"/>
        <v/>
      </c>
      <c r="L23" s="2763"/>
      <c r="M23" s="1452">
        <f>M166</f>
        <v>0</v>
      </c>
      <c r="N23" s="1297"/>
      <c r="O23" s="1294"/>
      <c r="P23" s="1294"/>
      <c r="Q23" s="1294"/>
      <c r="R23" s="287"/>
      <c r="S23" s="280"/>
      <c r="T23" s="280"/>
      <c r="U23" s="280"/>
      <c r="V23" s="280"/>
      <c r="W23" s="280"/>
      <c r="X23" s="280"/>
      <c r="Y23" s="280"/>
      <c r="Z23" s="284"/>
      <c r="AA23" s="284"/>
      <c r="AB23" s="284"/>
      <c r="AC23" s="284"/>
      <c r="AD23" s="284"/>
      <c r="AE23" s="284"/>
      <c r="AF23" s="447"/>
      <c r="AG23" s="447"/>
      <c r="AH23" s="447"/>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row>
    <row r="24" spans="1:67" s="88" customFormat="1" ht="12.1" customHeight="1" x14ac:dyDescent="0.2">
      <c r="A24" s="1013" t="str">
        <f>A181</f>
        <v>10. Lüftung</v>
      </c>
      <c r="B24" s="2801">
        <f>B181</f>
        <v>0</v>
      </c>
      <c r="C24" s="2802"/>
      <c r="D24" s="2803"/>
      <c r="E24" s="2751">
        <f>E181</f>
        <v>0</v>
      </c>
      <c r="F24" s="2752"/>
      <c r="G24" s="2753"/>
      <c r="H24" s="2754"/>
      <c r="I24" s="2755"/>
      <c r="J24" s="1414">
        <f>J181</f>
        <v>0</v>
      </c>
      <c r="K24" s="2762" t="str">
        <f t="shared" si="0"/>
        <v/>
      </c>
      <c r="L24" s="2763"/>
      <c r="M24" s="1452">
        <f>M181</f>
        <v>0</v>
      </c>
      <c r="N24" s="1297"/>
      <c r="O24" s="1294"/>
      <c r="P24" s="1294"/>
      <c r="Q24" s="1294"/>
      <c r="R24" s="287"/>
      <c r="S24" s="280"/>
      <c r="T24" s="280"/>
      <c r="U24" s="280"/>
      <c r="V24" s="280"/>
      <c r="W24" s="280"/>
      <c r="X24" s="280"/>
      <c r="Y24" s="280"/>
      <c r="Z24" s="284"/>
      <c r="AA24" s="284"/>
      <c r="AB24" s="284"/>
      <c r="AC24" s="284"/>
      <c r="AD24" s="284"/>
      <c r="AE24" s="284"/>
      <c r="AF24" s="447"/>
      <c r="AG24" s="447"/>
      <c r="AH24" s="447"/>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row>
    <row r="25" spans="1:67" s="88" customFormat="1" ht="12.1" customHeight="1" x14ac:dyDescent="0.2">
      <c r="A25" s="1013" t="str">
        <f>A196</f>
        <v>11. Metallbauarbeiten</v>
      </c>
      <c r="B25" s="2801">
        <f>B196</f>
        <v>0</v>
      </c>
      <c r="C25" s="2802"/>
      <c r="D25" s="2803"/>
      <c r="E25" s="2751">
        <f>E196</f>
        <v>0</v>
      </c>
      <c r="F25" s="2752"/>
      <c r="G25" s="2753"/>
      <c r="H25" s="2754"/>
      <c r="I25" s="2755"/>
      <c r="J25" s="1414">
        <f>J196</f>
        <v>0</v>
      </c>
      <c r="K25" s="2762" t="str">
        <f t="shared" si="0"/>
        <v/>
      </c>
      <c r="L25" s="2763"/>
      <c r="M25" s="1452">
        <f>M196</f>
        <v>0</v>
      </c>
      <c r="N25" s="1297"/>
      <c r="O25" s="1294"/>
      <c r="P25" s="1294"/>
      <c r="Q25" s="1294"/>
      <c r="R25" s="287"/>
      <c r="S25" s="280"/>
      <c r="T25" s="280"/>
      <c r="U25" s="280"/>
      <c r="V25" s="280"/>
      <c r="W25" s="280"/>
      <c r="X25" s="280"/>
      <c r="Y25" s="280"/>
      <c r="Z25" s="284"/>
      <c r="AA25" s="284"/>
      <c r="AB25" s="284"/>
      <c r="AC25" s="284"/>
      <c r="AD25" s="284"/>
      <c r="AE25" s="284"/>
      <c r="AF25" s="447"/>
      <c r="AG25" s="447"/>
      <c r="AH25" s="447"/>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row>
    <row r="26" spans="1:67" s="88" customFormat="1" ht="12.1" customHeight="1" x14ac:dyDescent="0.2">
      <c r="A26" s="1013" t="str">
        <f>A211</f>
        <v>12. Bauliches Zentrale</v>
      </c>
      <c r="B26" s="2801">
        <f>B211</f>
        <v>0</v>
      </c>
      <c r="C26" s="2802"/>
      <c r="D26" s="2803"/>
      <c r="E26" s="2751">
        <f>E211</f>
        <v>0</v>
      </c>
      <c r="F26" s="2752"/>
      <c r="G26" s="2753"/>
      <c r="H26" s="2754"/>
      <c r="I26" s="2755"/>
      <c r="J26" s="1414">
        <f>J211</f>
        <v>0</v>
      </c>
      <c r="K26" s="2762" t="str">
        <f t="shared" si="0"/>
        <v/>
      </c>
      <c r="L26" s="2763"/>
      <c r="M26" s="1452">
        <f>M211</f>
        <v>0</v>
      </c>
      <c r="N26" s="1297"/>
      <c r="O26" s="1294"/>
      <c r="P26" s="1294"/>
      <c r="Q26" s="1294"/>
      <c r="R26" s="287"/>
      <c r="S26" s="280"/>
      <c r="T26" s="280"/>
      <c r="U26" s="280"/>
      <c r="V26" s="280"/>
      <c r="W26" s="280"/>
      <c r="X26" s="280"/>
      <c r="Y26" s="280"/>
      <c r="Z26" s="284"/>
      <c r="AA26" s="284"/>
      <c r="AB26" s="284"/>
      <c r="AC26" s="284"/>
      <c r="AD26" s="284"/>
      <c r="AE26" s="284"/>
      <c r="AF26" s="447"/>
      <c r="AG26" s="447"/>
      <c r="AH26" s="447"/>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row>
    <row r="27" spans="1:67" s="88" customFormat="1" ht="12.1" customHeight="1" x14ac:dyDescent="0.2">
      <c r="A27" s="1013" t="str">
        <f>A226</f>
        <v>13. Wärmeverbund Baumeister</v>
      </c>
      <c r="B27" s="2801">
        <f>B226</f>
        <v>0</v>
      </c>
      <c r="C27" s="2802"/>
      <c r="D27" s="2803"/>
      <c r="E27" s="2751">
        <f>E226</f>
        <v>0</v>
      </c>
      <c r="F27" s="2752"/>
      <c r="G27" s="2753"/>
      <c r="H27" s="2754"/>
      <c r="I27" s="2755"/>
      <c r="J27" s="1414">
        <f>J226</f>
        <v>0</v>
      </c>
      <c r="K27" s="2762" t="str">
        <f t="shared" si="0"/>
        <v/>
      </c>
      <c r="L27" s="2763"/>
      <c r="M27" s="1452">
        <f>M226</f>
        <v>0</v>
      </c>
      <c r="N27" s="1297"/>
      <c r="O27" s="1294"/>
      <c r="P27" s="1294"/>
      <c r="Q27" s="1294"/>
      <c r="R27" s="287"/>
      <c r="S27" s="280"/>
      <c r="T27" s="280"/>
      <c r="U27" s="280"/>
      <c r="V27" s="280"/>
      <c r="W27" s="280"/>
      <c r="X27" s="280"/>
      <c r="Y27" s="280"/>
      <c r="Z27" s="284"/>
      <c r="AA27" s="284"/>
      <c r="AB27" s="284"/>
      <c r="AC27" s="284"/>
      <c r="AD27" s="284"/>
      <c r="AE27" s="284"/>
      <c r="AF27" s="447"/>
      <c r="AG27" s="447"/>
      <c r="AH27" s="447"/>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row>
    <row r="28" spans="1:67" s="88" customFormat="1" ht="12.1" customHeight="1" x14ac:dyDescent="0.2">
      <c r="A28" s="1013" t="str">
        <f>A241</f>
        <v>14. Wärmeverbund Leitungen</v>
      </c>
      <c r="B28" s="2801">
        <f>B241</f>
        <v>0</v>
      </c>
      <c r="C28" s="2802"/>
      <c r="D28" s="2803"/>
      <c r="E28" s="2751">
        <f>E241</f>
        <v>0</v>
      </c>
      <c r="F28" s="2752"/>
      <c r="G28" s="2753"/>
      <c r="H28" s="2754"/>
      <c r="I28" s="2755"/>
      <c r="J28" s="1414">
        <f>J241</f>
        <v>0</v>
      </c>
      <c r="K28" s="2762" t="str">
        <f t="shared" si="0"/>
        <v/>
      </c>
      <c r="L28" s="2763"/>
      <c r="M28" s="1452">
        <f>M241</f>
        <v>0</v>
      </c>
      <c r="N28" s="1297"/>
      <c r="O28"/>
      <c r="P28"/>
      <c r="Q28"/>
      <c r="R28" s="287"/>
      <c r="S28" s="280"/>
      <c r="T28" s="280"/>
      <c r="U28" s="280"/>
      <c r="V28" s="280"/>
      <c r="W28" s="280"/>
      <c r="X28" s="280"/>
      <c r="Y28" s="280"/>
      <c r="Z28" s="284"/>
      <c r="AA28" s="284"/>
      <c r="AB28" s="284"/>
      <c r="AC28" s="284"/>
      <c r="AD28" s="284"/>
      <c r="AE28" s="284"/>
      <c r="AF28" s="447"/>
      <c r="AG28" s="447"/>
      <c r="AH28" s="447"/>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row>
    <row r="29" spans="1:67" s="88" customFormat="1" ht="12.1" customHeight="1" x14ac:dyDescent="0.2">
      <c r="A29" s="1013" t="str">
        <f>A256</f>
        <v>15. MSRL</v>
      </c>
      <c r="B29" s="2801">
        <f>B256</f>
        <v>0</v>
      </c>
      <c r="C29" s="2802"/>
      <c r="D29" s="2803"/>
      <c r="E29" s="2751">
        <f>E256</f>
        <v>0</v>
      </c>
      <c r="F29" s="2752"/>
      <c r="G29" s="2753"/>
      <c r="H29" s="2754"/>
      <c r="I29" s="2755"/>
      <c r="J29" s="1414">
        <f>J256</f>
        <v>0</v>
      </c>
      <c r="K29" s="2762" t="str">
        <f t="shared" si="0"/>
        <v/>
      </c>
      <c r="L29" s="2763"/>
      <c r="M29" s="1452">
        <f>M256</f>
        <v>0</v>
      </c>
      <c r="N29" s="1297"/>
      <c r="O29"/>
      <c r="P29"/>
      <c r="Q29"/>
      <c r="R29" s="287"/>
      <c r="S29" s="280"/>
      <c r="T29" s="280"/>
      <c r="U29" s="280"/>
      <c r="V29" s="280"/>
      <c r="W29" s="280"/>
      <c r="X29" s="280"/>
      <c r="Y29" s="280"/>
      <c r="Z29" s="284"/>
      <c r="AA29" s="284"/>
      <c r="AB29" s="284"/>
      <c r="AC29" s="284"/>
      <c r="AD29" s="284"/>
      <c r="AE29" s="284"/>
      <c r="AF29" s="447"/>
      <c r="AG29" s="447"/>
      <c r="AH29" s="447"/>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row>
    <row r="30" spans="1:67" s="88" customFormat="1" ht="12.1" customHeight="1" x14ac:dyDescent="0.2">
      <c r="A30" s="1013" t="str">
        <f>A271</f>
        <v>16. Elektro</v>
      </c>
      <c r="B30" s="2801">
        <f>B271</f>
        <v>0</v>
      </c>
      <c r="C30" s="2802"/>
      <c r="D30" s="2803"/>
      <c r="E30" s="2751">
        <f>E271</f>
        <v>0</v>
      </c>
      <c r="F30" s="2752"/>
      <c r="G30" s="2753"/>
      <c r="H30" s="2754"/>
      <c r="I30" s="2755"/>
      <c r="J30" s="1414">
        <f>J271</f>
        <v>0</v>
      </c>
      <c r="K30" s="2762" t="str">
        <f t="shared" si="0"/>
        <v/>
      </c>
      <c r="L30" s="2763"/>
      <c r="M30" s="1452">
        <f>M271</f>
        <v>0</v>
      </c>
      <c r="N30" s="1297"/>
      <c r="O30"/>
      <c r="P30"/>
      <c r="Q30"/>
      <c r="R30" s="287"/>
      <c r="S30" s="280"/>
      <c r="T30" s="280"/>
      <c r="U30" s="280"/>
      <c r="V30" s="280"/>
      <c r="W30" s="280"/>
      <c r="X30" s="280"/>
      <c r="Y30" s="280"/>
      <c r="Z30" s="284"/>
      <c r="AA30" s="284"/>
      <c r="AB30" s="284"/>
      <c r="AC30" s="284"/>
      <c r="AD30" s="284"/>
      <c r="AE30" s="284"/>
      <c r="AF30" s="447"/>
      <c r="AG30" s="447"/>
      <c r="AH30" s="447"/>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row>
    <row r="31" spans="1:67" s="88" customFormat="1" ht="12.1" customHeight="1" x14ac:dyDescent="0.2">
      <c r="A31" s="1013" t="str">
        <f>+A286</f>
        <v>17. Baumeister</v>
      </c>
      <c r="B31" s="2801">
        <f>+B286</f>
        <v>0</v>
      </c>
      <c r="C31" s="2802"/>
      <c r="D31" s="2803"/>
      <c r="E31" s="2751">
        <f>+E286</f>
        <v>0</v>
      </c>
      <c r="F31" s="2752"/>
      <c r="G31" s="2753"/>
      <c r="H31" s="2754"/>
      <c r="I31" s="2755"/>
      <c r="J31" s="1414">
        <f>+J286</f>
        <v>0</v>
      </c>
      <c r="K31" s="2762" t="str">
        <f t="shared" si="0"/>
        <v/>
      </c>
      <c r="L31" s="2763"/>
      <c r="M31" s="1452">
        <f>+M286</f>
        <v>0</v>
      </c>
      <c r="N31" s="1297"/>
      <c r="O31"/>
      <c r="P31"/>
      <c r="Q31"/>
      <c r="R31" s="287"/>
      <c r="S31" s="280"/>
      <c r="T31" s="280"/>
      <c r="U31" s="280"/>
      <c r="V31" s="280"/>
      <c r="W31" s="280"/>
      <c r="X31" s="280"/>
      <c r="Y31" s="280"/>
      <c r="Z31" s="284"/>
      <c r="AA31" s="284"/>
      <c r="AB31" s="284"/>
      <c r="AC31" s="284"/>
      <c r="AD31" s="284"/>
      <c r="AE31" s="284"/>
      <c r="AF31" s="447"/>
      <c r="AG31" s="447"/>
      <c r="AH31" s="447"/>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row>
    <row r="32" spans="1:67" s="88" customFormat="1" ht="12.1" customHeight="1" x14ac:dyDescent="0.2">
      <c r="A32" s="1013" t="str">
        <f>A301</f>
        <v>18. Weiteres (ohne Baumeister)</v>
      </c>
      <c r="B32" s="2801">
        <f>B301</f>
        <v>0</v>
      </c>
      <c r="C32" s="2802"/>
      <c r="D32" s="2803"/>
      <c r="E32" s="2751">
        <f>E301</f>
        <v>0</v>
      </c>
      <c r="F32" s="2752"/>
      <c r="G32" s="2753"/>
      <c r="H32" s="2754"/>
      <c r="I32" s="2755"/>
      <c r="J32" s="1414">
        <f>J301</f>
        <v>0</v>
      </c>
      <c r="K32" s="2762" t="str">
        <f t="shared" si="0"/>
        <v/>
      </c>
      <c r="L32" s="2763"/>
      <c r="M32" s="1452">
        <f>M301</f>
        <v>0</v>
      </c>
      <c r="N32" s="1297"/>
      <c r="O32"/>
      <c r="P32"/>
      <c r="Q32"/>
      <c r="R32" s="287"/>
      <c r="S32" s="280"/>
      <c r="T32" s="280"/>
      <c r="U32" s="280"/>
      <c r="V32" s="280"/>
      <c r="W32" s="280"/>
      <c r="X32" s="280"/>
      <c r="Y32" s="280"/>
      <c r="Z32" s="284"/>
      <c r="AA32" s="284"/>
      <c r="AB32" s="284"/>
      <c r="AC32" s="284"/>
      <c r="AD32" s="284"/>
      <c r="AE32" s="284"/>
      <c r="AF32" s="447"/>
      <c r="AG32" s="447"/>
      <c r="AH32" s="447"/>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row>
    <row r="33" spans="1:68" s="88" customFormat="1" ht="12.1" customHeight="1" x14ac:dyDescent="0.2">
      <c r="A33" s="1013" t="str">
        <f>A316</f>
        <v>19. Baunebenkosten</v>
      </c>
      <c r="B33" s="2801">
        <f>B316</f>
        <v>0</v>
      </c>
      <c r="C33" s="2802"/>
      <c r="D33" s="2803"/>
      <c r="E33" s="2751">
        <f>E316</f>
        <v>0</v>
      </c>
      <c r="F33" s="2752"/>
      <c r="G33" s="2753"/>
      <c r="H33" s="2754"/>
      <c r="I33" s="2755"/>
      <c r="J33" s="1414">
        <f>J316</f>
        <v>0</v>
      </c>
      <c r="K33" s="2762" t="str">
        <f t="shared" si="0"/>
        <v/>
      </c>
      <c r="L33" s="2763"/>
      <c r="M33" s="1452">
        <f>M316</f>
        <v>0</v>
      </c>
      <c r="N33" s="1297"/>
      <c r="O33"/>
      <c r="P33"/>
      <c r="Q33"/>
      <c r="R33" s="287"/>
      <c r="S33" s="280"/>
      <c r="T33" s="280"/>
      <c r="U33" s="280"/>
      <c r="V33" s="280"/>
      <c r="W33" s="280"/>
      <c r="X33" s="280"/>
      <c r="Y33" s="280"/>
      <c r="Z33" s="284"/>
      <c r="AA33" s="284"/>
      <c r="AB33" s="284"/>
      <c r="AC33" s="284"/>
      <c r="AD33" s="284"/>
      <c r="AE33" s="284"/>
      <c r="AF33" s="447"/>
      <c r="AG33" s="447"/>
      <c r="AH33" s="447"/>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row>
    <row r="34" spans="1:68" s="88" customFormat="1" ht="12.1" customHeight="1" x14ac:dyDescent="0.2">
      <c r="A34" s="1013" t="str">
        <f>A331</f>
        <v>20. Unvorhergesehenes</v>
      </c>
      <c r="B34" s="2801">
        <f>B331</f>
        <v>0</v>
      </c>
      <c r="C34" s="2802"/>
      <c r="D34" s="2803"/>
      <c r="E34" s="2751">
        <f>E331</f>
        <v>0</v>
      </c>
      <c r="F34" s="2752"/>
      <c r="G34" s="2753"/>
      <c r="H34" s="2754"/>
      <c r="I34" s="2755"/>
      <c r="J34" s="1414">
        <f>J331</f>
        <v>0</v>
      </c>
      <c r="K34" s="2762" t="str">
        <f t="shared" si="0"/>
        <v/>
      </c>
      <c r="L34" s="2763"/>
      <c r="M34" s="1452">
        <f>M331</f>
        <v>0</v>
      </c>
      <c r="N34" s="1297"/>
      <c r="O34"/>
      <c r="P34"/>
      <c r="Q34"/>
      <c r="R34" s="287"/>
      <c r="S34" s="280"/>
      <c r="T34" s="280"/>
      <c r="U34" s="280"/>
      <c r="V34" s="280"/>
      <c r="W34" s="280"/>
      <c r="X34" s="280"/>
      <c r="Y34" s="280"/>
      <c r="Z34" s="284"/>
      <c r="AA34" s="284"/>
      <c r="AB34" s="284"/>
      <c r="AC34" s="284"/>
      <c r="AD34" s="284"/>
      <c r="AE34" s="284"/>
      <c r="AF34" s="447"/>
      <c r="AG34" s="447"/>
      <c r="AH34" s="447"/>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row>
    <row r="35" spans="1:68" s="88" customFormat="1" ht="12.1" customHeight="1" x14ac:dyDescent="0.2">
      <c r="A35" s="1013" t="str">
        <f>A347</f>
        <v>21. Honorare / Nebenkosten</v>
      </c>
      <c r="B35" s="2801">
        <f>B347</f>
        <v>0</v>
      </c>
      <c r="C35" s="2802"/>
      <c r="D35" s="2803"/>
      <c r="E35" s="2751">
        <f>E347</f>
        <v>0</v>
      </c>
      <c r="F35" s="2752"/>
      <c r="G35" s="2753"/>
      <c r="H35" s="2754"/>
      <c r="I35" s="2755"/>
      <c r="J35" s="1414">
        <f>J347</f>
        <v>0</v>
      </c>
      <c r="K35" s="2762" t="str">
        <f t="shared" si="0"/>
        <v/>
      </c>
      <c r="L35" s="2763"/>
      <c r="M35" s="1452">
        <f>M347</f>
        <v>0</v>
      </c>
      <c r="N35" s="1297"/>
      <c r="O35"/>
      <c r="P35"/>
      <c r="Q35"/>
      <c r="R35" s="287"/>
      <c r="S35" s="280"/>
      <c r="T35" s="280"/>
      <c r="U35" s="280"/>
      <c r="V35" s="280"/>
      <c r="W35" s="280"/>
      <c r="X35" s="280"/>
      <c r="Y35" s="280"/>
      <c r="Z35" s="284"/>
      <c r="AA35" s="284"/>
      <c r="AB35" s="284"/>
      <c r="AC35" s="284"/>
      <c r="AD35" s="284"/>
      <c r="AE35" s="284"/>
      <c r="AF35" s="447"/>
      <c r="AG35" s="447"/>
      <c r="AH35" s="447"/>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row>
    <row r="36" spans="1:68" s="88" customFormat="1" ht="12.1" customHeight="1" x14ac:dyDescent="0.2">
      <c r="A36" s="1085" t="str">
        <f>A408</f>
        <v>22. Betriebsführung</v>
      </c>
      <c r="B36" s="2804">
        <f>B408</f>
        <v>0</v>
      </c>
      <c r="C36" s="2805"/>
      <c r="D36" s="2806"/>
      <c r="E36" s="2793">
        <f>E408</f>
        <v>0</v>
      </c>
      <c r="F36" s="2794"/>
      <c r="G36" s="2771"/>
      <c r="H36" s="2772"/>
      <c r="I36" s="2773"/>
      <c r="J36" s="1415">
        <f>J408</f>
        <v>0</v>
      </c>
      <c r="K36" s="2797" t="str">
        <f t="shared" si="0"/>
        <v/>
      </c>
      <c r="L36" s="2798"/>
      <c r="M36" s="1453">
        <f>M408</f>
        <v>0</v>
      </c>
      <c r="N36" s="1297"/>
      <c r="O36"/>
      <c r="P36"/>
      <c r="Q36"/>
      <c r="R36" s="287"/>
      <c r="S36" s="280"/>
      <c r="T36" s="280"/>
      <c r="U36" s="280"/>
      <c r="V36" s="280"/>
      <c r="W36" s="280"/>
      <c r="X36" s="280"/>
      <c r="Y36" s="280"/>
      <c r="Z36" s="284"/>
      <c r="AA36" s="284"/>
      <c r="AB36" s="284"/>
      <c r="AC36" s="284"/>
      <c r="AD36" s="284"/>
      <c r="AE36" s="284"/>
      <c r="AF36" s="447"/>
      <c r="AG36" s="447"/>
      <c r="AH36" s="447"/>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row>
    <row r="37" spans="1:68" s="93" customFormat="1" ht="14.1" customHeight="1" thickBot="1" x14ac:dyDescent="0.3">
      <c r="A37" s="1305" t="s">
        <v>599</v>
      </c>
      <c r="B37" s="1319"/>
      <c r="C37" s="1320"/>
      <c r="D37" s="1321"/>
      <c r="E37" s="2795">
        <f>E414</f>
        <v>0</v>
      </c>
      <c r="F37" s="2796"/>
      <c r="G37" s="2766"/>
      <c r="H37" s="2767"/>
      <c r="I37" s="2768"/>
      <c r="J37" s="1416">
        <f>J414</f>
        <v>0</v>
      </c>
      <c r="K37" s="2769" t="str">
        <f t="shared" ref="K37" si="1">IF(E37=0,"",M37/E37*100)</f>
        <v/>
      </c>
      <c r="L37" s="2770"/>
      <c r="M37" s="1454">
        <f>M414</f>
        <v>0</v>
      </c>
      <c r="N37" s="868"/>
      <c r="O37" s="152"/>
      <c r="P37" s="152"/>
      <c r="Q37" s="152"/>
      <c r="R37" s="1316"/>
      <c r="S37" s="281"/>
      <c r="T37" s="281"/>
      <c r="U37" s="281"/>
      <c r="V37" s="281"/>
      <c r="W37" s="281"/>
      <c r="X37" s="281"/>
      <c r="Y37" s="281"/>
      <c r="Z37" s="1317"/>
      <c r="AA37" s="1317"/>
      <c r="AB37" s="1317"/>
      <c r="AC37" s="1317"/>
      <c r="AD37" s="1317"/>
      <c r="AE37" s="1317"/>
      <c r="AF37" s="1318"/>
      <c r="AG37" s="1318"/>
      <c r="AH37" s="1318"/>
    </row>
    <row r="38" spans="1:68" s="104" customFormat="1" ht="10.55" customHeight="1" x14ac:dyDescent="0.3">
      <c r="A38" s="105"/>
      <c r="G38" s="31" t="s">
        <v>12</v>
      </c>
      <c r="H38" s="31"/>
      <c r="I38" s="84"/>
      <c r="J38" s="84"/>
      <c r="K38" s="84"/>
      <c r="L38" s="84"/>
      <c r="M38" s="84"/>
      <c r="N38" s="84"/>
      <c r="O38"/>
      <c r="P38"/>
      <c r="Q38"/>
      <c r="R38" s="281"/>
      <c r="S38" s="272"/>
      <c r="T38" s="271"/>
      <c r="U38" s="271"/>
      <c r="V38" s="271"/>
      <c r="W38" s="271"/>
      <c r="X38" s="271"/>
      <c r="Y38" s="271"/>
      <c r="Z38" s="271"/>
      <c r="AA38" s="270"/>
      <c r="AB38" s="270"/>
      <c r="AC38" s="270"/>
      <c r="AD38" s="270"/>
      <c r="AE38" s="270"/>
      <c r="AF38" s="270"/>
      <c r="AG38" s="380"/>
      <c r="AH38" s="380"/>
      <c r="AI38" s="380"/>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row>
    <row r="39" spans="1:68" ht="17.350000000000001" customHeight="1" x14ac:dyDescent="0.25">
      <c r="A39" s="1108" t="s">
        <v>736</v>
      </c>
      <c r="J39" s="83"/>
      <c r="K39" s="103"/>
      <c r="L39" s="103"/>
      <c r="M39" s="103"/>
      <c r="N39" s="103"/>
      <c r="O39" s="103"/>
      <c r="P39" s="282"/>
      <c r="Q39" s="271"/>
      <c r="R39" s="283"/>
      <c r="S39" s="272"/>
      <c r="T39" s="271"/>
      <c r="U39" s="271"/>
      <c r="V39" s="271"/>
      <c r="W39" s="271"/>
      <c r="X39" s="271"/>
      <c r="Y39" s="271"/>
      <c r="Z39" s="271"/>
    </row>
    <row r="40" spans="1:68" ht="2.25" customHeight="1" thickBot="1" x14ac:dyDescent="0.25">
      <c r="N40" s="1106"/>
      <c r="Q40" s="271"/>
      <c r="R40" s="271"/>
      <c r="S40" s="272"/>
      <c r="T40" s="271"/>
      <c r="U40" s="271"/>
      <c r="V40" s="271"/>
      <c r="W40" s="271"/>
      <c r="X40" s="271"/>
      <c r="Y40" s="271"/>
      <c r="Z40" s="271"/>
    </row>
    <row r="41" spans="1:68" s="382" customFormat="1" ht="11.25" customHeight="1" x14ac:dyDescent="0.2">
      <c r="A41" s="388" t="s">
        <v>318</v>
      </c>
      <c r="B41" s="1113" t="s">
        <v>319</v>
      </c>
      <c r="C41" s="1114"/>
      <c r="D41" s="1114"/>
      <c r="E41" s="2482" t="s">
        <v>651</v>
      </c>
      <c r="F41" s="2483"/>
      <c r="G41" s="2482" t="s">
        <v>653</v>
      </c>
      <c r="H41" s="2483"/>
      <c r="I41" s="2714" t="s">
        <v>654</v>
      </c>
      <c r="J41" s="2714" t="s">
        <v>730</v>
      </c>
      <c r="K41" s="2756" t="s">
        <v>743</v>
      </c>
      <c r="L41" s="2757"/>
      <c r="M41" s="2758"/>
      <c r="N41" s="1106"/>
      <c r="O41" s="383" t="s">
        <v>451</v>
      </c>
      <c r="P41" s="681"/>
      <c r="Q41" s="285"/>
      <c r="R41" s="285"/>
      <c r="S41" s="280"/>
      <c r="T41" s="271"/>
      <c r="U41" s="271"/>
      <c r="V41" s="271"/>
      <c r="W41" s="271"/>
      <c r="X41" s="271"/>
      <c r="Y41" s="271"/>
      <c r="Z41" s="270"/>
      <c r="AA41" s="270"/>
      <c r="AB41" s="270"/>
      <c r="AC41" s="270"/>
      <c r="AD41" s="270"/>
      <c r="AE41" s="270"/>
      <c r="AF41" s="380"/>
      <c r="AG41" s="380"/>
      <c r="AH41" s="380"/>
      <c r="AI41" s="381"/>
      <c r="AJ41" s="381"/>
    </row>
    <row r="42" spans="1:68" s="382" customFormat="1" ht="11.25" customHeight="1" x14ac:dyDescent="0.2">
      <c r="A42" s="389"/>
      <c r="B42" s="691"/>
      <c r="C42" s="555"/>
      <c r="D42" s="555"/>
      <c r="E42" s="2484"/>
      <c r="F42" s="2485"/>
      <c r="G42" s="2484"/>
      <c r="H42" s="2485"/>
      <c r="I42" s="2715"/>
      <c r="J42" s="2715"/>
      <c r="K42" s="2759"/>
      <c r="L42" s="2760"/>
      <c r="M42" s="2761"/>
      <c r="N42" s="1106"/>
      <c r="O42" s="384" t="s">
        <v>755</v>
      </c>
      <c r="P42" s="681"/>
      <c r="Q42" s="285"/>
      <c r="R42" s="285"/>
      <c r="S42" s="280"/>
      <c r="T42" s="271"/>
      <c r="U42" s="271"/>
      <c r="V42" s="271"/>
      <c r="W42" s="271"/>
      <c r="X42" s="271"/>
      <c r="Y42" s="271"/>
      <c r="Z42" s="270"/>
      <c r="AA42" s="270"/>
      <c r="AB42" s="270"/>
      <c r="AC42" s="270"/>
      <c r="AD42" s="270"/>
      <c r="AE42" s="270"/>
      <c r="AF42" s="380"/>
      <c r="AG42" s="380"/>
      <c r="AH42" s="380"/>
      <c r="AI42" s="381"/>
      <c r="AJ42" s="381"/>
    </row>
    <row r="43" spans="1:68" s="382" customFormat="1" ht="11.25" customHeight="1" x14ac:dyDescent="0.2">
      <c r="A43" s="389"/>
      <c r="B43" s="692"/>
      <c r="C43" s="92"/>
      <c r="D43" s="92"/>
      <c r="E43" s="2609" t="s">
        <v>652</v>
      </c>
      <c r="F43" s="2613"/>
      <c r="G43" s="2528" t="s">
        <v>29</v>
      </c>
      <c r="H43" s="2711"/>
      <c r="I43" s="2780"/>
      <c r="J43" s="693" t="s">
        <v>655</v>
      </c>
      <c r="K43" s="2609" t="s">
        <v>677</v>
      </c>
      <c r="L43" s="2613"/>
      <c r="M43" s="392" t="s">
        <v>655</v>
      </c>
      <c r="N43" s="1106"/>
      <c r="O43" s="385" t="s">
        <v>29</v>
      </c>
      <c r="P43" s="681"/>
      <c r="Q43" s="285"/>
      <c r="R43" s="285"/>
      <c r="S43" s="280"/>
      <c r="T43" s="271"/>
      <c r="U43" s="271"/>
      <c r="V43" s="271"/>
      <c r="W43" s="271"/>
      <c r="X43" s="271"/>
      <c r="Y43" s="271"/>
      <c r="Z43" s="270"/>
      <c r="AA43" s="270"/>
      <c r="AB43" s="270"/>
      <c r="AC43" s="270"/>
      <c r="AD43" s="270"/>
      <c r="AE43" s="270"/>
      <c r="AF43" s="380"/>
      <c r="AG43" s="380"/>
      <c r="AH43" s="380"/>
      <c r="AI43" s="381"/>
      <c r="AJ43" s="381"/>
    </row>
    <row r="44" spans="1:68" s="88" customFormat="1" ht="10.55" customHeight="1" x14ac:dyDescent="0.2">
      <c r="A44" s="1145" t="s">
        <v>320</v>
      </c>
      <c r="B44" s="2783"/>
      <c r="C44" s="2784"/>
      <c r="D44" s="2785"/>
      <c r="E44" s="2786">
        <f>SUM(E45:E57)</f>
        <v>0</v>
      </c>
      <c r="F44" s="2787"/>
      <c r="G44" s="2788"/>
      <c r="H44" s="2789"/>
      <c r="I44" s="1435">
        <f>IF(E44=0,0,J44/E44)</f>
        <v>0</v>
      </c>
      <c r="J44" s="1411">
        <f>SUM(J45:J57)</f>
        <v>0</v>
      </c>
      <c r="K44" s="2749">
        <f>IF(E44=0,0,M44/E44*100)</f>
        <v>0</v>
      </c>
      <c r="L44" s="2750"/>
      <c r="M44" s="1412">
        <f>SUM(M45:M57)</f>
        <v>0</v>
      </c>
      <c r="N44" s="1106"/>
      <c r="O44" s="386">
        <f t="shared" ref="O44:O58" si="2">IF(ISBLANK(H44),G44,H44)</f>
        <v>0</v>
      </c>
      <c r="P44" s="682"/>
      <c r="Q44" s="286"/>
      <c r="R44" s="287"/>
      <c r="S44" s="280"/>
      <c r="T44" s="280"/>
      <c r="U44" s="280"/>
      <c r="V44" s="280"/>
      <c r="W44" s="280"/>
      <c r="X44" s="280"/>
      <c r="Y44" s="280"/>
      <c r="Z44" s="284"/>
      <c r="AA44" s="284"/>
      <c r="AB44" s="284"/>
      <c r="AC44" s="284"/>
      <c r="AD44" s="284"/>
      <c r="AE44" s="284"/>
      <c r="AF44" s="447"/>
      <c r="AG44" s="447"/>
      <c r="AH44" s="447"/>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row>
    <row r="45" spans="1:68" s="88" customFormat="1" ht="10.55" customHeight="1" x14ac:dyDescent="0.2">
      <c r="A45" s="1013" t="s">
        <v>321</v>
      </c>
      <c r="B45" s="2790"/>
      <c r="C45" s="2791"/>
      <c r="D45" s="2792"/>
      <c r="E45" s="2734"/>
      <c r="F45" s="2735"/>
      <c r="G45" s="1785">
        <v>30</v>
      </c>
      <c r="H45" s="524"/>
      <c r="I45" s="1409">
        <f t="shared" ref="I45:I58" si="3">IF($O45&gt;0,-PMT(($I$9),$O45,1),0)</f>
        <v>4.7777640736176463E-2</v>
      </c>
      <c r="J45" s="1421">
        <f t="shared" ref="J45:J57" si="4">ROUND(E45*I45,0)</f>
        <v>0</v>
      </c>
      <c r="K45" s="678">
        <v>1.5</v>
      </c>
      <c r="L45" s="1002"/>
      <c r="M45" s="1428">
        <f t="shared" ref="M45:M58" si="5">ROUND(E45/100*IF(ISBLANK(L45),K45,L45),0)</f>
        <v>0</v>
      </c>
      <c r="N45" s="1106"/>
      <c r="O45" s="674">
        <f t="shared" si="2"/>
        <v>30</v>
      </c>
      <c r="P45" s="682"/>
      <c r="Q45" s="286"/>
      <c r="R45" s="287"/>
      <c r="S45" s="280"/>
      <c r="T45" s="280"/>
      <c r="U45" s="280"/>
      <c r="V45" s="280"/>
      <c r="W45" s="280"/>
      <c r="X45" s="280"/>
      <c r="Y45" s="280"/>
      <c r="Z45" s="284"/>
      <c r="AA45" s="284"/>
      <c r="AB45" s="284"/>
      <c r="AC45" s="284"/>
      <c r="AD45" s="284"/>
      <c r="AE45" s="284"/>
      <c r="AF45" s="447"/>
      <c r="AG45" s="447"/>
      <c r="AH45" s="447"/>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row>
    <row r="46" spans="1:68" s="88" customFormat="1" ht="10.55" customHeight="1" x14ac:dyDescent="0.2">
      <c r="A46" s="1013" t="s">
        <v>322</v>
      </c>
      <c r="B46" s="2807"/>
      <c r="C46" s="2808"/>
      <c r="D46" s="2809"/>
      <c r="E46" s="2561"/>
      <c r="F46" s="2562"/>
      <c r="G46" s="1785">
        <v>30</v>
      </c>
      <c r="H46" s="524"/>
      <c r="I46" s="1409">
        <f t="shared" si="3"/>
        <v>4.7777640736176463E-2</v>
      </c>
      <c r="J46" s="1421">
        <f t="shared" si="4"/>
        <v>0</v>
      </c>
      <c r="K46" s="678">
        <v>2</v>
      </c>
      <c r="L46" s="1002"/>
      <c r="M46" s="1428">
        <f t="shared" si="5"/>
        <v>0</v>
      </c>
      <c r="N46" s="1106"/>
      <c r="O46" s="674">
        <f t="shared" si="2"/>
        <v>30</v>
      </c>
      <c r="P46" s="682"/>
      <c r="Q46" s="286"/>
      <c r="R46" s="287"/>
      <c r="S46" s="280"/>
      <c r="T46" s="280"/>
      <c r="U46" s="280"/>
      <c r="V46" s="280"/>
      <c r="W46" s="280"/>
      <c r="X46" s="280"/>
      <c r="Y46" s="280"/>
      <c r="Z46" s="284"/>
      <c r="AA46" s="284"/>
      <c r="AB46" s="284"/>
      <c r="AC46" s="284"/>
      <c r="AD46" s="284"/>
      <c r="AE46" s="284"/>
      <c r="AF46" s="447"/>
      <c r="AG46" s="447"/>
      <c r="AH46" s="447"/>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row>
    <row r="47" spans="1:68" s="88" customFormat="1" ht="10.55" customHeight="1" x14ac:dyDescent="0.2">
      <c r="A47" s="1013" t="s">
        <v>455</v>
      </c>
      <c r="B47" s="2807"/>
      <c r="C47" s="2808"/>
      <c r="D47" s="2809"/>
      <c r="E47" s="2561"/>
      <c r="F47" s="2562"/>
      <c r="G47" s="1785">
        <v>30</v>
      </c>
      <c r="H47" s="524"/>
      <c r="I47" s="1409">
        <f t="shared" si="3"/>
        <v>4.7777640736176463E-2</v>
      </c>
      <c r="J47" s="1421">
        <f t="shared" si="4"/>
        <v>0</v>
      </c>
      <c r="K47" s="678">
        <v>2</v>
      </c>
      <c r="L47" s="1002"/>
      <c r="M47" s="1428">
        <f t="shared" si="5"/>
        <v>0</v>
      </c>
      <c r="N47" s="1106"/>
      <c r="O47" s="674">
        <f t="shared" si="2"/>
        <v>30</v>
      </c>
      <c r="P47" s="682"/>
      <c r="Q47" s="286"/>
      <c r="R47" s="287"/>
      <c r="S47" s="280"/>
      <c r="T47" s="280"/>
      <c r="U47" s="280"/>
      <c r="V47" s="280"/>
      <c r="W47" s="280"/>
      <c r="X47" s="280"/>
      <c r="Y47" s="280"/>
      <c r="Z47" s="284"/>
      <c r="AA47" s="284"/>
      <c r="AB47" s="284"/>
      <c r="AC47" s="284"/>
      <c r="AD47" s="284"/>
      <c r="AE47" s="284"/>
      <c r="AF47" s="447"/>
      <c r="AG47" s="447"/>
      <c r="AH47" s="447"/>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c r="BO47" s="382"/>
    </row>
    <row r="48" spans="1:68" s="88" customFormat="1" ht="10.55" customHeight="1" x14ac:dyDescent="0.2">
      <c r="A48" s="1013" t="s">
        <v>825</v>
      </c>
      <c r="B48" s="2807"/>
      <c r="C48" s="2808"/>
      <c r="D48" s="2809"/>
      <c r="E48" s="2561"/>
      <c r="F48" s="2562"/>
      <c r="G48" s="1785">
        <v>30</v>
      </c>
      <c r="H48" s="524"/>
      <c r="I48" s="1409">
        <f t="shared" si="3"/>
        <v>4.7777640736176463E-2</v>
      </c>
      <c r="J48" s="1421">
        <f t="shared" si="4"/>
        <v>0</v>
      </c>
      <c r="K48" s="678">
        <v>0.5</v>
      </c>
      <c r="L48" s="1002"/>
      <c r="M48" s="1428">
        <f t="shared" si="5"/>
        <v>0</v>
      </c>
      <c r="N48" s="1106"/>
      <c r="O48" s="674">
        <f t="shared" si="2"/>
        <v>30</v>
      </c>
      <c r="P48" s="682"/>
      <c r="Q48" s="286"/>
      <c r="R48" s="287"/>
      <c r="S48" s="280"/>
      <c r="T48" s="280"/>
      <c r="U48" s="280"/>
      <c r="V48" s="280"/>
      <c r="W48" s="280"/>
      <c r="X48" s="280"/>
      <c r="Y48" s="280"/>
      <c r="Z48" s="284"/>
      <c r="AA48" s="284"/>
      <c r="AB48" s="284"/>
      <c r="AC48" s="284"/>
      <c r="AD48" s="284"/>
      <c r="AE48" s="284"/>
      <c r="AF48" s="447"/>
      <c r="AG48" s="447"/>
      <c r="AH48" s="447"/>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c r="BO48" s="382"/>
    </row>
    <row r="49" spans="1:67" s="88" customFormat="1" ht="10.55" customHeight="1" x14ac:dyDescent="0.2">
      <c r="A49" s="1013" t="s">
        <v>456</v>
      </c>
      <c r="B49" s="2807"/>
      <c r="C49" s="2808"/>
      <c r="D49" s="2809"/>
      <c r="E49" s="2561"/>
      <c r="F49" s="2562"/>
      <c r="G49" s="1785">
        <v>30</v>
      </c>
      <c r="H49" s="524"/>
      <c r="I49" s="1409">
        <f t="shared" si="3"/>
        <v>4.7777640736176463E-2</v>
      </c>
      <c r="J49" s="1421">
        <f t="shared" si="4"/>
        <v>0</v>
      </c>
      <c r="K49" s="678">
        <v>0</v>
      </c>
      <c r="L49" s="1002"/>
      <c r="M49" s="1428">
        <f t="shared" si="5"/>
        <v>0</v>
      </c>
      <c r="N49" s="1106"/>
      <c r="O49" s="674">
        <f t="shared" si="2"/>
        <v>30</v>
      </c>
      <c r="P49" s="682"/>
      <c r="Q49" s="286"/>
      <c r="R49" s="287"/>
      <c r="S49" s="280"/>
      <c r="T49" s="280"/>
      <c r="U49" s="280"/>
      <c r="V49" s="280"/>
      <c r="W49" s="280"/>
      <c r="X49" s="280"/>
      <c r="Y49" s="280"/>
      <c r="Z49" s="284"/>
      <c r="AA49" s="284"/>
      <c r="AB49" s="284"/>
      <c r="AC49" s="284"/>
      <c r="AD49" s="284"/>
      <c r="AE49" s="284"/>
      <c r="AF49" s="447"/>
      <c r="AG49" s="447"/>
      <c r="AH49" s="447"/>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c r="BN49" s="382"/>
      <c r="BO49" s="382"/>
    </row>
    <row r="50" spans="1:67" s="88" customFormat="1" ht="10.55" customHeight="1" x14ac:dyDescent="0.2">
      <c r="A50" s="1013" t="s">
        <v>323</v>
      </c>
      <c r="B50" s="2807"/>
      <c r="C50" s="2808"/>
      <c r="D50" s="2809"/>
      <c r="E50" s="2561"/>
      <c r="F50" s="2562"/>
      <c r="G50" s="1785">
        <v>30</v>
      </c>
      <c r="H50" s="524"/>
      <c r="I50" s="1409">
        <f t="shared" si="3"/>
        <v>4.7777640736176463E-2</v>
      </c>
      <c r="J50" s="1421">
        <f t="shared" si="4"/>
        <v>0</v>
      </c>
      <c r="K50" s="678">
        <v>1.5</v>
      </c>
      <c r="L50" s="1002"/>
      <c r="M50" s="1428">
        <f t="shared" si="5"/>
        <v>0</v>
      </c>
      <c r="N50" s="1106"/>
      <c r="O50" s="674">
        <f t="shared" si="2"/>
        <v>30</v>
      </c>
      <c r="P50" s="682"/>
      <c r="Q50" s="286"/>
      <c r="R50" s="287"/>
      <c r="S50" s="280"/>
      <c r="T50" s="280"/>
      <c r="U50" s="280"/>
      <c r="V50" s="280"/>
      <c r="W50" s="280"/>
      <c r="X50" s="280"/>
      <c r="Y50" s="280"/>
      <c r="Z50" s="284"/>
      <c r="AA50" s="284"/>
      <c r="AB50" s="284"/>
      <c r="AC50" s="284"/>
      <c r="AD50" s="284"/>
      <c r="AE50" s="284"/>
      <c r="AF50" s="447"/>
      <c r="AG50" s="447"/>
      <c r="AH50" s="447"/>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row>
    <row r="51" spans="1:67" s="88" customFormat="1" ht="10.55" customHeight="1" x14ac:dyDescent="0.2">
      <c r="A51" s="1013" t="s">
        <v>826</v>
      </c>
      <c r="B51" s="2807"/>
      <c r="C51" s="2808"/>
      <c r="D51" s="2809"/>
      <c r="E51" s="2561"/>
      <c r="F51" s="2562"/>
      <c r="G51" s="1785">
        <v>30</v>
      </c>
      <c r="H51" s="524"/>
      <c r="I51" s="1409">
        <f t="shared" si="3"/>
        <v>4.7777640736176463E-2</v>
      </c>
      <c r="J51" s="1421">
        <f t="shared" si="4"/>
        <v>0</v>
      </c>
      <c r="K51" s="678">
        <v>2.5</v>
      </c>
      <c r="L51" s="1002"/>
      <c r="M51" s="1428">
        <f t="shared" si="5"/>
        <v>0</v>
      </c>
      <c r="N51" s="1106"/>
      <c r="O51" s="674">
        <f t="shared" si="2"/>
        <v>30</v>
      </c>
      <c r="P51" s="682"/>
      <c r="Q51" s="286"/>
      <c r="R51" s="287"/>
      <c r="S51" s="280"/>
      <c r="T51" s="280"/>
      <c r="U51" s="280"/>
      <c r="V51" s="280"/>
      <c r="W51" s="280"/>
      <c r="X51" s="280"/>
      <c r="Y51" s="280"/>
      <c r="Z51" s="284"/>
      <c r="AA51" s="284"/>
      <c r="AB51" s="284"/>
      <c r="AC51" s="284"/>
      <c r="AD51" s="284"/>
      <c r="AE51" s="284"/>
      <c r="AF51" s="447"/>
      <c r="AG51" s="447"/>
      <c r="AH51" s="447"/>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row>
    <row r="52" spans="1:67" s="88" customFormat="1" ht="10.55" customHeight="1" x14ac:dyDescent="0.2">
      <c r="A52" s="675"/>
      <c r="B52" s="2807"/>
      <c r="C52" s="2808"/>
      <c r="D52" s="2809"/>
      <c r="E52" s="2561"/>
      <c r="F52" s="2562"/>
      <c r="G52" s="1015"/>
      <c r="H52" s="524"/>
      <c r="I52" s="1409">
        <f t="shared" si="3"/>
        <v>0</v>
      </c>
      <c r="J52" s="1421">
        <f t="shared" si="4"/>
        <v>0</v>
      </c>
      <c r="K52" s="679"/>
      <c r="L52" s="1002"/>
      <c r="M52" s="1428">
        <f t="shared" si="5"/>
        <v>0</v>
      </c>
      <c r="N52" s="1106"/>
      <c r="O52" s="674">
        <f t="shared" si="2"/>
        <v>0</v>
      </c>
      <c r="P52" s="682"/>
      <c r="Q52" s="286"/>
      <c r="R52" s="287"/>
      <c r="S52" s="280"/>
      <c r="T52" s="280"/>
      <c r="U52" s="280"/>
      <c r="V52" s="280"/>
      <c r="W52" s="280"/>
      <c r="X52" s="280"/>
      <c r="Y52" s="280"/>
      <c r="Z52" s="284"/>
      <c r="AA52" s="284"/>
      <c r="AB52" s="284"/>
      <c r="AC52" s="284"/>
      <c r="AD52" s="284"/>
      <c r="AE52" s="284"/>
      <c r="AF52" s="447"/>
      <c r="AG52" s="447"/>
      <c r="AH52" s="447"/>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row>
    <row r="53" spans="1:67" s="88" customFormat="1" ht="10.55" customHeight="1" x14ac:dyDescent="0.2">
      <c r="A53" s="675"/>
      <c r="B53" s="2807"/>
      <c r="C53" s="2808"/>
      <c r="D53" s="2809"/>
      <c r="E53" s="2561"/>
      <c r="F53" s="2562"/>
      <c r="G53" s="1015"/>
      <c r="H53" s="524"/>
      <c r="I53" s="1409">
        <f t="shared" si="3"/>
        <v>0</v>
      </c>
      <c r="J53" s="1421">
        <f t="shared" si="4"/>
        <v>0</v>
      </c>
      <c r="K53" s="679"/>
      <c r="L53" s="1002"/>
      <c r="M53" s="1428">
        <f t="shared" si="5"/>
        <v>0</v>
      </c>
      <c r="N53" s="1106"/>
      <c r="O53" s="674">
        <f t="shared" si="2"/>
        <v>0</v>
      </c>
      <c r="P53" s="682"/>
      <c r="Q53" s="286"/>
      <c r="R53" s="287"/>
      <c r="S53" s="280"/>
      <c r="T53" s="280"/>
      <c r="U53" s="280"/>
      <c r="V53" s="280"/>
      <c r="W53" s="280"/>
      <c r="X53" s="280"/>
      <c r="Y53" s="280"/>
      <c r="Z53" s="284"/>
      <c r="AA53" s="284"/>
      <c r="AB53" s="284"/>
      <c r="AC53" s="284"/>
      <c r="AD53" s="284"/>
      <c r="AE53" s="284"/>
      <c r="AF53" s="447"/>
      <c r="AG53" s="447"/>
      <c r="AH53" s="447"/>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row>
    <row r="54" spans="1:67" s="88" customFormat="1" ht="10.55" customHeight="1" x14ac:dyDescent="0.2">
      <c r="A54" s="675"/>
      <c r="B54" s="2807"/>
      <c r="C54" s="2808"/>
      <c r="D54" s="2809"/>
      <c r="E54" s="2561"/>
      <c r="F54" s="2562"/>
      <c r="G54" s="1015"/>
      <c r="H54" s="524"/>
      <c r="I54" s="1409">
        <f t="shared" si="3"/>
        <v>0</v>
      </c>
      <c r="J54" s="1421">
        <f t="shared" si="4"/>
        <v>0</v>
      </c>
      <c r="K54" s="679"/>
      <c r="L54" s="1002"/>
      <c r="M54" s="1428">
        <f t="shared" si="5"/>
        <v>0</v>
      </c>
      <c r="N54" s="1106"/>
      <c r="O54" s="674">
        <f t="shared" si="2"/>
        <v>0</v>
      </c>
      <c r="P54" s="682"/>
      <c r="Q54" s="286"/>
      <c r="R54" s="287"/>
      <c r="S54" s="280"/>
      <c r="T54" s="280"/>
      <c r="U54" s="280"/>
      <c r="V54" s="280"/>
      <c r="W54" s="280"/>
      <c r="X54" s="280"/>
      <c r="Y54" s="280"/>
      <c r="Z54" s="284"/>
      <c r="AA54" s="284"/>
      <c r="AB54" s="284"/>
      <c r="AC54" s="284"/>
      <c r="AD54" s="284"/>
      <c r="AE54" s="284"/>
      <c r="AF54" s="447"/>
      <c r="AG54" s="447"/>
      <c r="AH54" s="447"/>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row>
    <row r="55" spans="1:67" s="88" customFormat="1" ht="10.55" customHeight="1" x14ac:dyDescent="0.2">
      <c r="A55" s="675"/>
      <c r="B55" s="2807"/>
      <c r="C55" s="2808"/>
      <c r="D55" s="2809"/>
      <c r="E55" s="2561"/>
      <c r="F55" s="2562"/>
      <c r="G55" s="1015"/>
      <c r="H55" s="524"/>
      <c r="I55" s="1409">
        <f t="shared" si="3"/>
        <v>0</v>
      </c>
      <c r="J55" s="1421">
        <f t="shared" si="4"/>
        <v>0</v>
      </c>
      <c r="K55" s="679"/>
      <c r="L55" s="1002"/>
      <c r="M55" s="1428">
        <f t="shared" si="5"/>
        <v>0</v>
      </c>
      <c r="N55" s="1106"/>
      <c r="O55" s="674">
        <f t="shared" si="2"/>
        <v>0</v>
      </c>
      <c r="P55" s="682"/>
      <c r="Q55" s="286"/>
      <c r="R55" s="287"/>
      <c r="S55" s="280"/>
      <c r="T55" s="280"/>
      <c r="U55" s="280"/>
      <c r="V55" s="280"/>
      <c r="W55" s="280"/>
      <c r="X55" s="280"/>
      <c r="Y55" s="280"/>
      <c r="Z55" s="284"/>
      <c r="AA55" s="284"/>
      <c r="AB55" s="284"/>
      <c r="AC55" s="284"/>
      <c r="AD55" s="284"/>
      <c r="AE55" s="284"/>
      <c r="AF55" s="447"/>
      <c r="AG55" s="447"/>
      <c r="AH55" s="447"/>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row>
    <row r="56" spans="1:67" s="88" customFormat="1" ht="10.55" customHeight="1" x14ac:dyDescent="0.2">
      <c r="A56" s="675"/>
      <c r="B56" s="2807"/>
      <c r="C56" s="2808"/>
      <c r="D56" s="2809"/>
      <c r="E56" s="2561"/>
      <c r="F56" s="2562"/>
      <c r="G56" s="1015"/>
      <c r="H56" s="524"/>
      <c r="I56" s="1409">
        <f t="shared" si="3"/>
        <v>0</v>
      </c>
      <c r="J56" s="1421">
        <f t="shared" si="4"/>
        <v>0</v>
      </c>
      <c r="K56" s="679"/>
      <c r="L56" s="1002"/>
      <c r="M56" s="1428">
        <f t="shared" si="5"/>
        <v>0</v>
      </c>
      <c r="N56" s="1106"/>
      <c r="O56" s="674">
        <f t="shared" si="2"/>
        <v>0</v>
      </c>
      <c r="P56" s="682"/>
      <c r="Q56" s="286"/>
      <c r="R56" s="287"/>
      <c r="S56" s="280"/>
      <c r="T56" s="280"/>
      <c r="U56" s="280"/>
      <c r="V56" s="280"/>
      <c r="W56" s="280"/>
      <c r="X56" s="280"/>
      <c r="Y56" s="280"/>
      <c r="Z56" s="284"/>
      <c r="AA56" s="284"/>
      <c r="AB56" s="284"/>
      <c r="AC56" s="284"/>
      <c r="AD56" s="284"/>
      <c r="AE56" s="284"/>
      <c r="AF56" s="447"/>
      <c r="AG56" s="447"/>
      <c r="AH56" s="447"/>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row>
    <row r="57" spans="1:67" s="88" customFormat="1" ht="10.55" customHeight="1" x14ac:dyDescent="0.2">
      <c r="A57" s="675"/>
      <c r="B57" s="2807"/>
      <c r="C57" s="2808"/>
      <c r="D57" s="2809"/>
      <c r="E57" s="2561"/>
      <c r="F57" s="2562"/>
      <c r="G57" s="1016"/>
      <c r="H57" s="525"/>
      <c r="I57" s="1409">
        <f t="shared" si="3"/>
        <v>0</v>
      </c>
      <c r="J57" s="1421">
        <f t="shared" si="4"/>
        <v>0</v>
      </c>
      <c r="K57" s="679"/>
      <c r="L57" s="1002"/>
      <c r="M57" s="1428">
        <f t="shared" si="5"/>
        <v>0</v>
      </c>
      <c r="N57" s="1106"/>
      <c r="O57" s="674">
        <f t="shared" si="2"/>
        <v>0</v>
      </c>
      <c r="P57" s="682"/>
      <c r="Q57" s="286"/>
      <c r="R57" s="287"/>
      <c r="S57" s="280"/>
      <c r="T57" s="280"/>
      <c r="U57" s="280"/>
      <c r="V57" s="280"/>
      <c r="W57" s="280"/>
      <c r="X57" s="280"/>
      <c r="Y57" s="280"/>
      <c r="Z57" s="284"/>
      <c r="AA57" s="284"/>
      <c r="AB57" s="284"/>
      <c r="AC57" s="284"/>
      <c r="AD57" s="284"/>
      <c r="AE57" s="284"/>
      <c r="AF57" s="447"/>
      <c r="AG57" s="447"/>
      <c r="AH57" s="447"/>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row>
    <row r="58" spans="1:67" s="88" customFormat="1" ht="10.55" customHeight="1" x14ac:dyDescent="0.2">
      <c r="A58" s="1017"/>
      <c r="B58" s="2804"/>
      <c r="C58" s="2805"/>
      <c r="D58" s="2806"/>
      <c r="E58" s="2793"/>
      <c r="F58" s="2794"/>
      <c r="G58" s="1018"/>
      <c r="H58" s="1019"/>
      <c r="I58" s="1436">
        <f t="shared" si="3"/>
        <v>0</v>
      </c>
      <c r="J58" s="1422"/>
      <c r="K58" s="680"/>
      <c r="L58" s="1020"/>
      <c r="M58" s="1429">
        <f t="shared" si="5"/>
        <v>0</v>
      </c>
      <c r="N58" s="1106"/>
      <c r="O58" s="674">
        <f t="shared" si="2"/>
        <v>0</v>
      </c>
      <c r="P58" s="682"/>
      <c r="Q58" s="286"/>
      <c r="R58" s="287"/>
      <c r="S58" s="280"/>
      <c r="T58" s="280"/>
      <c r="U58" s="280"/>
      <c r="V58" s="280"/>
      <c r="W58" s="280"/>
      <c r="X58" s="280"/>
      <c r="Y58" s="280"/>
      <c r="Z58" s="284"/>
      <c r="AA58" s="284"/>
      <c r="AB58" s="284"/>
      <c r="AC58" s="284"/>
      <c r="AD58" s="284"/>
      <c r="AE58" s="284"/>
      <c r="AF58" s="447"/>
      <c r="AG58" s="447"/>
      <c r="AH58" s="447"/>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row>
    <row r="59" spans="1:67" s="88" customFormat="1" ht="10.55" customHeight="1" x14ac:dyDescent="0.2">
      <c r="A59" s="1011" t="s">
        <v>324</v>
      </c>
      <c r="B59" s="2783"/>
      <c r="C59" s="2784"/>
      <c r="D59" s="2785"/>
      <c r="E59" s="2810">
        <f>SUM(E60:E72)</f>
        <v>0</v>
      </c>
      <c r="F59" s="2811"/>
      <c r="G59" s="2747"/>
      <c r="H59" s="2748"/>
      <c r="I59" s="1435">
        <f>IF(E59=0,0,J59/E59)</f>
        <v>0</v>
      </c>
      <c r="J59" s="1423">
        <f>SUM(J60:J72)</f>
        <v>0</v>
      </c>
      <c r="K59" s="2749">
        <f>IF(E59=0,0,M59/E59*100)</f>
        <v>0</v>
      </c>
      <c r="L59" s="2750"/>
      <c r="M59" s="1430">
        <f>SUM(M60:M72)</f>
        <v>0</v>
      </c>
      <c r="N59" s="1106"/>
      <c r="O59" s="387">
        <f>IF(H59="",G59,H59)</f>
        <v>0</v>
      </c>
      <c r="P59" s="682"/>
      <c r="Q59" s="286"/>
      <c r="R59" s="287"/>
      <c r="S59" s="280"/>
      <c r="T59" s="280"/>
      <c r="U59" s="280"/>
      <c r="V59" s="280"/>
      <c r="W59" s="280"/>
      <c r="X59" s="280"/>
      <c r="Y59" s="280"/>
      <c r="Z59" s="284"/>
      <c r="AA59" s="284"/>
      <c r="AB59" s="284"/>
      <c r="AC59" s="284"/>
      <c r="AD59" s="284"/>
      <c r="AE59" s="284"/>
      <c r="AF59" s="447"/>
      <c r="AG59" s="447"/>
      <c r="AH59" s="447"/>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row>
    <row r="60" spans="1:67" s="88" customFormat="1" ht="10.55" customHeight="1" x14ac:dyDescent="0.2">
      <c r="A60" s="1013" t="s">
        <v>325</v>
      </c>
      <c r="B60" s="2790"/>
      <c r="C60" s="2791"/>
      <c r="D60" s="2792"/>
      <c r="E60" s="2734"/>
      <c r="F60" s="2735"/>
      <c r="G60" s="1785">
        <v>50</v>
      </c>
      <c r="H60" s="524"/>
      <c r="I60" s="1409">
        <f t="shared" ref="I60:I73" si="6">IF($O60&gt;0,-PMT(($I$9),$O60,1),0)</f>
        <v>3.525805693356223E-2</v>
      </c>
      <c r="J60" s="1421">
        <f t="shared" ref="J60:J72" si="7">ROUND(E60*I60,0)</f>
        <v>0</v>
      </c>
      <c r="K60" s="1784">
        <v>0</v>
      </c>
      <c r="L60" s="1002"/>
      <c r="M60" s="1428">
        <f t="shared" ref="M60:M73" si="8">ROUND(E60/100*IF(ISBLANK(L60),K60,L60),0)</f>
        <v>0</v>
      </c>
      <c r="N60" s="1106"/>
      <c r="O60" s="674">
        <f t="shared" ref="O60:O73" si="9">IF(ISBLANK(H60),G60,H60)</f>
        <v>50</v>
      </c>
      <c r="P60" s="682"/>
      <c r="Q60" s="286"/>
      <c r="R60" s="287"/>
      <c r="S60" s="280"/>
      <c r="T60" s="280"/>
      <c r="U60" s="280"/>
      <c r="V60" s="280"/>
      <c r="W60" s="280"/>
      <c r="X60" s="280"/>
      <c r="Y60" s="280"/>
      <c r="Z60" s="284"/>
      <c r="AA60" s="284"/>
      <c r="AB60" s="284"/>
      <c r="AC60" s="284"/>
      <c r="AD60" s="284"/>
      <c r="AE60" s="284"/>
      <c r="AF60" s="447"/>
      <c r="AG60" s="447"/>
      <c r="AH60" s="447"/>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row>
    <row r="61" spans="1:67" s="88" customFormat="1" ht="10.55" customHeight="1" x14ac:dyDescent="0.2">
      <c r="A61" s="1013" t="s">
        <v>326</v>
      </c>
      <c r="B61" s="2807"/>
      <c r="C61" s="2808"/>
      <c r="D61" s="2809"/>
      <c r="E61" s="2561"/>
      <c r="F61" s="2562"/>
      <c r="G61" s="1785">
        <v>30</v>
      </c>
      <c r="H61" s="524"/>
      <c r="I61" s="1409">
        <f t="shared" si="6"/>
        <v>4.7777640736176463E-2</v>
      </c>
      <c r="J61" s="1421">
        <f t="shared" si="7"/>
        <v>0</v>
      </c>
      <c r="K61" s="678"/>
      <c r="L61" s="1002"/>
      <c r="M61" s="1428">
        <f t="shared" si="8"/>
        <v>0</v>
      </c>
      <c r="N61" s="1106"/>
      <c r="O61" s="674">
        <f t="shared" si="9"/>
        <v>30</v>
      </c>
      <c r="P61" s="682"/>
      <c r="Q61" s="286"/>
      <c r="R61" s="287"/>
      <c r="S61" s="280"/>
      <c r="T61" s="280"/>
      <c r="U61" s="280"/>
      <c r="V61" s="280"/>
      <c r="W61" s="280"/>
      <c r="X61" s="280"/>
      <c r="Y61" s="280"/>
      <c r="Z61" s="284"/>
      <c r="AA61" s="284"/>
      <c r="AB61" s="284"/>
      <c r="AC61" s="284"/>
      <c r="AD61" s="284"/>
      <c r="AE61" s="284"/>
      <c r="AF61" s="447"/>
      <c r="AG61" s="447"/>
      <c r="AH61" s="447"/>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row>
    <row r="62" spans="1:67" s="88" customFormat="1" ht="10.55" customHeight="1" x14ac:dyDescent="0.2">
      <c r="A62" s="1013" t="s">
        <v>457</v>
      </c>
      <c r="B62" s="2807"/>
      <c r="C62" s="2808"/>
      <c r="D62" s="2809"/>
      <c r="E62" s="2561"/>
      <c r="F62" s="2562"/>
      <c r="G62" s="1785">
        <v>20</v>
      </c>
      <c r="H62" s="524"/>
      <c r="I62" s="1409">
        <f t="shared" si="6"/>
        <v>6.4147128734474465E-2</v>
      </c>
      <c r="J62" s="1421">
        <f t="shared" si="7"/>
        <v>0</v>
      </c>
      <c r="K62" s="678">
        <v>2.5</v>
      </c>
      <c r="L62" s="1002"/>
      <c r="M62" s="1428">
        <f t="shared" si="8"/>
        <v>0</v>
      </c>
      <c r="N62" s="1106"/>
      <c r="O62" s="674">
        <f t="shared" si="9"/>
        <v>20</v>
      </c>
      <c r="P62" s="682"/>
      <c r="Q62" s="286"/>
      <c r="R62" s="287"/>
      <c r="S62" s="280"/>
      <c r="T62" s="280"/>
      <c r="U62" s="280"/>
      <c r="V62" s="280"/>
      <c r="W62" s="280"/>
      <c r="X62" s="280"/>
      <c r="Y62" s="280"/>
      <c r="Z62" s="284"/>
      <c r="AA62" s="284"/>
      <c r="AB62" s="284"/>
      <c r="AC62" s="284"/>
      <c r="AD62" s="284"/>
      <c r="AE62" s="284"/>
      <c r="AF62" s="447"/>
      <c r="AG62" s="447"/>
      <c r="AH62" s="447"/>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c r="BO62" s="382"/>
    </row>
    <row r="63" spans="1:67" s="88" customFormat="1" ht="10.55" customHeight="1" x14ac:dyDescent="0.2">
      <c r="A63" s="1013" t="s">
        <v>327</v>
      </c>
      <c r="B63" s="2807"/>
      <c r="C63" s="2808"/>
      <c r="D63" s="2809"/>
      <c r="E63" s="2561"/>
      <c r="F63" s="2562"/>
      <c r="G63" s="1785">
        <v>20</v>
      </c>
      <c r="H63" s="524"/>
      <c r="I63" s="1409">
        <f t="shared" si="6"/>
        <v>6.4147128734474465E-2</v>
      </c>
      <c r="J63" s="1421">
        <f t="shared" si="7"/>
        <v>0</v>
      </c>
      <c r="K63" s="678">
        <v>3.5</v>
      </c>
      <c r="L63" s="1002"/>
      <c r="M63" s="1428">
        <f t="shared" si="8"/>
        <v>0</v>
      </c>
      <c r="N63" s="1106"/>
      <c r="O63" s="674">
        <f t="shared" si="9"/>
        <v>20</v>
      </c>
      <c r="P63" s="682"/>
      <c r="Q63" s="286"/>
      <c r="R63" s="287"/>
      <c r="S63" s="280"/>
      <c r="T63" s="280"/>
      <c r="U63" s="280"/>
      <c r="V63" s="280"/>
      <c r="W63" s="280"/>
      <c r="X63" s="280"/>
      <c r="Y63" s="280"/>
      <c r="Z63" s="284"/>
      <c r="AA63" s="284"/>
      <c r="AB63" s="284"/>
      <c r="AC63" s="284"/>
      <c r="AD63" s="284"/>
      <c r="AE63" s="284"/>
      <c r="AF63" s="447"/>
      <c r="AG63" s="447"/>
      <c r="AH63" s="447"/>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row>
    <row r="64" spans="1:67" s="88" customFormat="1" ht="10.55" customHeight="1" x14ac:dyDescent="0.2">
      <c r="A64" s="1013" t="s">
        <v>328</v>
      </c>
      <c r="B64" s="2807"/>
      <c r="C64" s="2808"/>
      <c r="D64" s="2809"/>
      <c r="E64" s="2561"/>
      <c r="F64" s="2562"/>
      <c r="G64" s="1785">
        <v>20</v>
      </c>
      <c r="H64" s="524"/>
      <c r="I64" s="1409">
        <f t="shared" si="6"/>
        <v>6.4147128734474465E-2</v>
      </c>
      <c r="J64" s="1421">
        <f t="shared" si="7"/>
        <v>0</v>
      </c>
      <c r="K64" s="678">
        <v>3</v>
      </c>
      <c r="L64" s="1002"/>
      <c r="M64" s="1428">
        <f t="shared" si="8"/>
        <v>0</v>
      </c>
      <c r="N64" s="1106"/>
      <c r="O64" s="674">
        <f t="shared" si="9"/>
        <v>20</v>
      </c>
      <c r="P64" s="682"/>
      <c r="Q64" s="286"/>
      <c r="R64" s="287"/>
      <c r="S64" s="280"/>
      <c r="T64" s="280"/>
      <c r="U64" s="280"/>
      <c r="V64" s="280"/>
      <c r="W64" s="280"/>
      <c r="X64" s="280"/>
      <c r="Y64" s="280"/>
      <c r="Z64" s="284"/>
      <c r="AA64" s="284"/>
      <c r="AB64" s="284"/>
      <c r="AC64" s="284"/>
      <c r="AD64" s="284"/>
      <c r="AE64" s="284"/>
      <c r="AF64" s="447"/>
      <c r="AG64" s="447"/>
      <c r="AH64" s="447"/>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row>
    <row r="65" spans="1:67" s="88" customFormat="1" ht="10.55" customHeight="1" x14ac:dyDescent="0.2">
      <c r="A65" s="1013" t="s">
        <v>329</v>
      </c>
      <c r="B65" s="2807"/>
      <c r="C65" s="2808"/>
      <c r="D65" s="2809"/>
      <c r="E65" s="2561"/>
      <c r="F65" s="2562"/>
      <c r="G65" s="1785">
        <v>20</v>
      </c>
      <c r="H65" s="524"/>
      <c r="I65" s="1409">
        <f t="shared" si="6"/>
        <v>6.4147128734474465E-2</v>
      </c>
      <c r="J65" s="1421">
        <f t="shared" si="7"/>
        <v>0</v>
      </c>
      <c r="K65" s="678">
        <v>2</v>
      </c>
      <c r="L65" s="1002"/>
      <c r="M65" s="1428">
        <f t="shared" si="8"/>
        <v>0</v>
      </c>
      <c r="N65" s="1106"/>
      <c r="O65" s="674">
        <f t="shared" si="9"/>
        <v>20</v>
      </c>
      <c r="P65" s="682"/>
      <c r="Q65" s="286"/>
      <c r="R65" s="287"/>
      <c r="S65" s="280"/>
      <c r="T65" s="280"/>
      <c r="U65" s="280"/>
      <c r="V65" s="280"/>
      <c r="W65" s="280"/>
      <c r="X65" s="280"/>
      <c r="Y65" s="280"/>
      <c r="Z65" s="284"/>
      <c r="AA65" s="284"/>
      <c r="AB65" s="284"/>
      <c r="AC65" s="284"/>
      <c r="AD65" s="284"/>
      <c r="AE65" s="284"/>
      <c r="AF65" s="447"/>
      <c r="AG65" s="447"/>
      <c r="AH65" s="447"/>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row>
    <row r="66" spans="1:67" s="88" customFormat="1" ht="10.55" customHeight="1" x14ac:dyDescent="0.2">
      <c r="A66" s="1013" t="s">
        <v>330</v>
      </c>
      <c r="B66" s="2807"/>
      <c r="C66" s="2808"/>
      <c r="D66" s="2809"/>
      <c r="E66" s="2561"/>
      <c r="F66" s="2562"/>
      <c r="G66" s="1785">
        <v>20</v>
      </c>
      <c r="H66" s="524"/>
      <c r="I66" s="1409">
        <f t="shared" si="6"/>
        <v>6.4147128734474465E-2</v>
      </c>
      <c r="J66" s="1421">
        <f t="shared" si="7"/>
        <v>0</v>
      </c>
      <c r="K66" s="678">
        <v>3</v>
      </c>
      <c r="L66" s="1002"/>
      <c r="M66" s="1428">
        <f t="shared" si="8"/>
        <v>0</v>
      </c>
      <c r="N66" s="1106"/>
      <c r="O66" s="674">
        <f t="shared" si="9"/>
        <v>20</v>
      </c>
      <c r="P66" s="682"/>
      <c r="Q66" s="286"/>
      <c r="R66" s="287"/>
      <c r="S66" s="280"/>
      <c r="T66" s="280"/>
      <c r="U66" s="280"/>
      <c r="V66" s="280"/>
      <c r="W66" s="280"/>
      <c r="X66" s="280"/>
      <c r="Y66" s="280"/>
      <c r="Z66" s="284"/>
      <c r="AA66" s="284"/>
      <c r="AB66" s="284"/>
      <c r="AC66" s="284"/>
      <c r="AD66" s="284"/>
      <c r="AE66" s="284"/>
      <c r="AF66" s="447"/>
      <c r="AG66" s="447"/>
      <c r="AH66" s="447"/>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row>
    <row r="67" spans="1:67" s="88" customFormat="1" ht="10.55" customHeight="1" x14ac:dyDescent="0.2">
      <c r="A67" s="1013" t="s">
        <v>331</v>
      </c>
      <c r="B67" s="2807"/>
      <c r="C67" s="2808"/>
      <c r="D67" s="2809"/>
      <c r="E67" s="2561"/>
      <c r="F67" s="2562"/>
      <c r="G67" s="1785">
        <v>20</v>
      </c>
      <c r="H67" s="524"/>
      <c r="I67" s="1409">
        <f t="shared" si="6"/>
        <v>6.4147128734474465E-2</v>
      </c>
      <c r="J67" s="1421">
        <f t="shared" si="7"/>
        <v>0</v>
      </c>
      <c r="K67" s="678">
        <v>3</v>
      </c>
      <c r="L67" s="1002"/>
      <c r="M67" s="1428">
        <f t="shared" si="8"/>
        <v>0</v>
      </c>
      <c r="N67" s="1106"/>
      <c r="O67" s="674">
        <f t="shared" si="9"/>
        <v>20</v>
      </c>
      <c r="P67" s="682"/>
      <c r="Q67" s="286"/>
      <c r="R67" s="287"/>
      <c r="S67" s="280"/>
      <c r="T67" s="280"/>
      <c r="U67" s="280"/>
      <c r="V67" s="280"/>
      <c r="W67" s="280"/>
      <c r="X67" s="280"/>
      <c r="Y67" s="280"/>
      <c r="Z67" s="284"/>
      <c r="AA67" s="284"/>
      <c r="AB67" s="284"/>
      <c r="AC67" s="284"/>
      <c r="AD67" s="284"/>
      <c r="AE67" s="284"/>
      <c r="AF67" s="447"/>
      <c r="AG67" s="447"/>
      <c r="AH67" s="447"/>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row>
    <row r="68" spans="1:67" s="88" customFormat="1" ht="10.55" customHeight="1" x14ac:dyDescent="0.2">
      <c r="A68" s="1013" t="s">
        <v>332</v>
      </c>
      <c r="B68" s="2807"/>
      <c r="C68" s="2808"/>
      <c r="D68" s="2809"/>
      <c r="E68" s="2561"/>
      <c r="F68" s="2562"/>
      <c r="G68" s="1785">
        <v>40</v>
      </c>
      <c r="H68" s="524"/>
      <c r="I68" s="1409">
        <f t="shared" si="6"/>
        <v>3.9836233162469814E-2</v>
      </c>
      <c r="J68" s="1421">
        <f t="shared" si="7"/>
        <v>0</v>
      </c>
      <c r="K68" s="678">
        <v>0</v>
      </c>
      <c r="L68" s="1002"/>
      <c r="M68" s="1428">
        <f t="shared" si="8"/>
        <v>0</v>
      </c>
      <c r="N68" s="1106"/>
      <c r="O68" s="674">
        <f t="shared" si="9"/>
        <v>40</v>
      </c>
      <c r="P68" s="682"/>
      <c r="Q68" s="286"/>
      <c r="R68" s="287"/>
      <c r="S68" s="280"/>
      <c r="T68" s="280"/>
      <c r="U68" s="280"/>
      <c r="V68" s="280"/>
      <c r="W68" s="280"/>
      <c r="X68" s="280"/>
      <c r="Y68" s="280"/>
      <c r="Z68" s="284"/>
      <c r="AA68" s="284"/>
      <c r="AB68" s="284"/>
      <c r="AC68" s="284"/>
      <c r="AD68" s="284"/>
      <c r="AE68" s="284"/>
      <c r="AF68" s="447"/>
      <c r="AG68" s="447"/>
      <c r="AH68" s="447"/>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row>
    <row r="69" spans="1:67" s="88" customFormat="1" ht="10.55" customHeight="1" x14ac:dyDescent="0.2">
      <c r="A69" s="1013" t="s">
        <v>333</v>
      </c>
      <c r="B69" s="2807"/>
      <c r="C69" s="2808"/>
      <c r="D69" s="2809"/>
      <c r="E69" s="2561"/>
      <c r="F69" s="2562"/>
      <c r="G69" s="1785">
        <v>20</v>
      </c>
      <c r="H69" s="524"/>
      <c r="I69" s="1409">
        <f t="shared" si="6"/>
        <v>6.4147128734474465E-2</v>
      </c>
      <c r="J69" s="1421">
        <f t="shared" si="7"/>
        <v>0</v>
      </c>
      <c r="K69" s="678">
        <v>8</v>
      </c>
      <c r="L69" s="1002"/>
      <c r="M69" s="1428">
        <f t="shared" si="8"/>
        <v>0</v>
      </c>
      <c r="N69" s="1106"/>
      <c r="O69" s="674">
        <f t="shared" si="9"/>
        <v>20</v>
      </c>
      <c r="P69" s="682"/>
      <c r="Q69" s="286"/>
      <c r="R69" s="287"/>
      <c r="S69" s="280"/>
      <c r="T69" s="280"/>
      <c r="U69" s="280"/>
      <c r="V69" s="280"/>
      <c r="W69" s="280"/>
      <c r="X69" s="280"/>
      <c r="Y69" s="280"/>
      <c r="Z69" s="284"/>
      <c r="AA69" s="284"/>
      <c r="AB69" s="284"/>
      <c r="AC69" s="284"/>
      <c r="AD69" s="284"/>
      <c r="AE69" s="284"/>
      <c r="AF69" s="447"/>
      <c r="AG69" s="447"/>
      <c r="AH69" s="447"/>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row>
    <row r="70" spans="1:67" s="88" customFormat="1" ht="10.55" customHeight="1" x14ac:dyDescent="0.2">
      <c r="A70" s="1013" t="s">
        <v>334</v>
      </c>
      <c r="B70" s="2807"/>
      <c r="C70" s="2808"/>
      <c r="D70" s="2809"/>
      <c r="E70" s="2561"/>
      <c r="F70" s="2562"/>
      <c r="G70" s="1785">
        <v>20</v>
      </c>
      <c r="H70" s="524"/>
      <c r="I70" s="1409">
        <f t="shared" si="6"/>
        <v>6.4147128734474465E-2</v>
      </c>
      <c r="J70" s="1421">
        <f t="shared" si="7"/>
        <v>0</v>
      </c>
      <c r="K70" s="1784">
        <v>0</v>
      </c>
      <c r="L70" s="1002"/>
      <c r="M70" s="1428">
        <f t="shared" si="8"/>
        <v>0</v>
      </c>
      <c r="N70" s="1106"/>
      <c r="O70" s="674">
        <f t="shared" si="9"/>
        <v>20</v>
      </c>
      <c r="P70" s="682"/>
      <c r="Q70" s="286"/>
      <c r="R70" s="287"/>
      <c r="S70" s="280"/>
      <c r="T70" s="280"/>
      <c r="U70" s="280"/>
      <c r="V70" s="280"/>
      <c r="W70" s="280"/>
      <c r="X70" s="280"/>
      <c r="Y70" s="280"/>
      <c r="Z70" s="284"/>
      <c r="AA70" s="284"/>
      <c r="AB70" s="284"/>
      <c r="AC70" s="284"/>
      <c r="AD70" s="284"/>
      <c r="AE70" s="284"/>
      <c r="AF70" s="447"/>
      <c r="AG70" s="447"/>
      <c r="AH70" s="447"/>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row>
    <row r="71" spans="1:67" s="88" customFormat="1" ht="10.55" customHeight="1" x14ac:dyDescent="0.2">
      <c r="A71" s="675"/>
      <c r="B71" s="2807"/>
      <c r="C71" s="2808"/>
      <c r="D71" s="2809"/>
      <c r="E71" s="2561"/>
      <c r="F71" s="2562"/>
      <c r="G71" s="1015"/>
      <c r="H71" s="524"/>
      <c r="I71" s="1409">
        <f t="shared" si="6"/>
        <v>0</v>
      </c>
      <c r="J71" s="1421">
        <f t="shared" si="7"/>
        <v>0</v>
      </c>
      <c r="K71" s="679"/>
      <c r="L71" s="1002"/>
      <c r="M71" s="1428">
        <f t="shared" si="8"/>
        <v>0</v>
      </c>
      <c r="N71" s="1106"/>
      <c r="O71" s="674">
        <f t="shared" si="9"/>
        <v>0</v>
      </c>
      <c r="P71" s="682"/>
      <c r="Q71" s="286"/>
      <c r="R71" s="287"/>
      <c r="S71" s="280"/>
      <c r="T71" s="280"/>
      <c r="U71" s="280"/>
      <c r="V71" s="280"/>
      <c r="W71" s="280"/>
      <c r="X71" s="280"/>
      <c r="Y71" s="280"/>
      <c r="Z71" s="284"/>
      <c r="AA71" s="284"/>
      <c r="AB71" s="284"/>
      <c r="AC71" s="284"/>
      <c r="AD71" s="284"/>
      <c r="AE71" s="284"/>
      <c r="AF71" s="447"/>
      <c r="AG71" s="447"/>
      <c r="AH71" s="447"/>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row>
    <row r="72" spans="1:67" s="88" customFormat="1" ht="10.55" customHeight="1" x14ac:dyDescent="0.2">
      <c r="A72" s="675"/>
      <c r="B72" s="2807"/>
      <c r="C72" s="2808"/>
      <c r="D72" s="2809"/>
      <c r="E72" s="2561"/>
      <c r="F72" s="2562"/>
      <c r="G72" s="1015"/>
      <c r="H72" s="524"/>
      <c r="I72" s="1409">
        <f t="shared" si="6"/>
        <v>0</v>
      </c>
      <c r="J72" s="1421">
        <f t="shared" si="7"/>
        <v>0</v>
      </c>
      <c r="K72" s="679"/>
      <c r="L72" s="1002"/>
      <c r="M72" s="1428">
        <f t="shared" si="8"/>
        <v>0</v>
      </c>
      <c r="N72" s="1106"/>
      <c r="O72" s="674">
        <f t="shared" si="9"/>
        <v>0</v>
      </c>
      <c r="P72" s="682"/>
      <c r="Q72" s="286"/>
      <c r="R72" s="287"/>
      <c r="S72" s="280"/>
      <c r="T72" s="280"/>
      <c r="U72" s="280"/>
      <c r="V72" s="280"/>
      <c r="W72" s="280"/>
      <c r="X72" s="280"/>
      <c r="Y72" s="280"/>
      <c r="Z72" s="284"/>
      <c r="AA72" s="284"/>
      <c r="AB72" s="284"/>
      <c r="AC72" s="284"/>
      <c r="AD72" s="284"/>
      <c r="AE72" s="284"/>
      <c r="AF72" s="447"/>
      <c r="AG72" s="447"/>
      <c r="AH72" s="447"/>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row>
    <row r="73" spans="1:67" s="88" customFormat="1" ht="10.55" customHeight="1" x14ac:dyDescent="0.2">
      <c r="A73" s="1085"/>
      <c r="B73" s="2804"/>
      <c r="C73" s="2805"/>
      <c r="D73" s="2806"/>
      <c r="E73" s="2793"/>
      <c r="F73" s="2794"/>
      <c r="G73" s="1086"/>
      <c r="H73" s="1087"/>
      <c r="I73" s="1437">
        <f t="shared" si="6"/>
        <v>0</v>
      </c>
      <c r="J73" s="1413"/>
      <c r="K73" s="1088"/>
      <c r="L73" s="1089"/>
      <c r="M73" s="1431">
        <f t="shared" si="8"/>
        <v>0</v>
      </c>
      <c r="N73" s="1106"/>
      <c r="O73" s="674">
        <f t="shared" si="9"/>
        <v>0</v>
      </c>
      <c r="P73" s="682"/>
      <c r="Q73" s="286"/>
      <c r="R73" s="287"/>
      <c r="S73" s="280"/>
      <c r="T73" s="280"/>
      <c r="U73" s="280"/>
      <c r="V73" s="280"/>
      <c r="W73" s="280"/>
      <c r="X73" s="280"/>
      <c r="Y73" s="280"/>
      <c r="Z73" s="284"/>
      <c r="AA73" s="284"/>
      <c r="AB73" s="284"/>
      <c r="AC73" s="284"/>
      <c r="AD73" s="284"/>
      <c r="AE73" s="284"/>
      <c r="AF73" s="447"/>
      <c r="AG73" s="447"/>
      <c r="AH73" s="447"/>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row>
    <row r="74" spans="1:67" s="88" customFormat="1" ht="10.55" customHeight="1" x14ac:dyDescent="0.2">
      <c r="A74" s="1011" t="s">
        <v>335</v>
      </c>
      <c r="B74" s="2783"/>
      <c r="C74" s="2784"/>
      <c r="D74" s="2785"/>
      <c r="E74" s="2810">
        <f>SUM(E75:E87)</f>
        <v>0</v>
      </c>
      <c r="F74" s="2811"/>
      <c r="G74" s="2747"/>
      <c r="H74" s="2748"/>
      <c r="I74" s="1435">
        <f>IF(E74=0,0,J74/E74)</f>
        <v>0</v>
      </c>
      <c r="J74" s="1423">
        <f>SUM(J75:J87)</f>
        <v>0</v>
      </c>
      <c r="K74" s="2749">
        <f>IF(E74=0,0,M74/E74*100)</f>
        <v>0</v>
      </c>
      <c r="L74" s="2750"/>
      <c r="M74" s="1430">
        <f>SUM(M75:M87)</f>
        <v>0</v>
      </c>
      <c r="N74" s="1106"/>
      <c r="O74" s="387">
        <f>IF(H74="",G74,H74)</f>
        <v>0</v>
      </c>
      <c r="P74" s="682"/>
      <c r="Q74" s="286"/>
      <c r="R74" s="287"/>
      <c r="S74" s="280"/>
      <c r="T74" s="280"/>
      <c r="U74" s="280"/>
      <c r="V74" s="280"/>
      <c r="W74" s="280"/>
      <c r="X74" s="280"/>
      <c r="Y74" s="280"/>
      <c r="Z74" s="284"/>
      <c r="AA74" s="284"/>
      <c r="AB74" s="284"/>
      <c r="AC74" s="284"/>
      <c r="AD74" s="284"/>
      <c r="AE74" s="284"/>
      <c r="AF74" s="447"/>
      <c r="AG74" s="447"/>
      <c r="AH74" s="447"/>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row>
    <row r="75" spans="1:67" s="88" customFormat="1" ht="10.55" customHeight="1" x14ac:dyDescent="0.2">
      <c r="A75" s="1013" t="s">
        <v>336</v>
      </c>
      <c r="B75" s="2790"/>
      <c r="C75" s="2791"/>
      <c r="D75" s="2792"/>
      <c r="E75" s="2734"/>
      <c r="F75" s="2735"/>
      <c r="G75" s="1785">
        <v>40</v>
      </c>
      <c r="H75" s="524"/>
      <c r="I75" s="1409">
        <f t="shared" ref="I75:I88" si="10">IF($O75&gt;0,-PMT(($I$9),$O75,1),0)</f>
        <v>3.9836233162469814E-2</v>
      </c>
      <c r="J75" s="1421">
        <f t="shared" ref="J75:J87" si="11">ROUND(E75*I75,0)</f>
        <v>0</v>
      </c>
      <c r="K75" s="678">
        <v>1.5</v>
      </c>
      <c r="L75" s="1002"/>
      <c r="M75" s="1428">
        <f t="shared" ref="M75:M88" si="12">ROUND(E75/100*IF(ISBLANK(L75),K75,L75),0)</f>
        <v>0</v>
      </c>
      <c r="N75" s="1106"/>
      <c r="O75" s="674">
        <f t="shared" ref="O75:O88" si="13">IF(ISBLANK(H75),G75,H75)</f>
        <v>40</v>
      </c>
      <c r="P75" s="682"/>
      <c r="Q75" s="286"/>
      <c r="R75" s="287"/>
      <c r="S75" s="280"/>
      <c r="T75" s="280"/>
      <c r="U75" s="280"/>
      <c r="V75" s="280"/>
      <c r="W75" s="280"/>
      <c r="X75" s="280"/>
      <c r="Y75" s="280"/>
      <c r="Z75" s="284"/>
      <c r="AA75" s="284"/>
      <c r="AB75" s="284"/>
      <c r="AC75" s="284"/>
      <c r="AD75" s="284"/>
      <c r="AE75" s="284"/>
      <c r="AF75" s="447"/>
      <c r="AG75" s="447"/>
      <c r="AH75" s="447"/>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row>
    <row r="76" spans="1:67" s="88" customFormat="1" ht="10.55" customHeight="1" x14ac:dyDescent="0.2">
      <c r="A76" s="1013" t="s">
        <v>337</v>
      </c>
      <c r="B76" s="2807"/>
      <c r="C76" s="2808"/>
      <c r="D76" s="2809"/>
      <c r="E76" s="2561"/>
      <c r="F76" s="2562"/>
      <c r="G76" s="1785">
        <v>40</v>
      </c>
      <c r="H76" s="524"/>
      <c r="I76" s="1409">
        <f t="shared" si="10"/>
        <v>3.9836233162469814E-2</v>
      </c>
      <c r="J76" s="1421">
        <f t="shared" si="11"/>
        <v>0</v>
      </c>
      <c r="K76" s="678">
        <v>0.5</v>
      </c>
      <c r="L76" s="1002"/>
      <c r="M76" s="1428">
        <f t="shared" si="12"/>
        <v>0</v>
      </c>
      <c r="N76" s="1106"/>
      <c r="O76" s="674">
        <f t="shared" si="13"/>
        <v>40</v>
      </c>
      <c r="P76" s="682"/>
      <c r="Q76" s="286"/>
      <c r="R76" s="287"/>
      <c r="S76" s="280"/>
      <c r="T76" s="280"/>
      <c r="U76" s="280"/>
      <c r="V76" s="280"/>
      <c r="W76" s="280"/>
      <c r="X76" s="280"/>
      <c r="Y76" s="280"/>
      <c r="Z76" s="284"/>
      <c r="AA76" s="284"/>
      <c r="AB76" s="284"/>
      <c r="AC76" s="284"/>
      <c r="AD76" s="284"/>
      <c r="AE76" s="284"/>
      <c r="AF76" s="447"/>
      <c r="AG76" s="447"/>
      <c r="AH76" s="447"/>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row>
    <row r="77" spans="1:67" s="88" customFormat="1" ht="10.55" customHeight="1" x14ac:dyDescent="0.2">
      <c r="A77" s="1013" t="s">
        <v>338</v>
      </c>
      <c r="B77" s="2807"/>
      <c r="C77" s="2808"/>
      <c r="D77" s="2809"/>
      <c r="E77" s="2561"/>
      <c r="F77" s="2562"/>
      <c r="G77" s="1785">
        <v>20</v>
      </c>
      <c r="H77" s="524"/>
      <c r="I77" s="1409">
        <f t="shared" si="10"/>
        <v>6.4147128734474465E-2</v>
      </c>
      <c r="J77" s="1421">
        <f t="shared" si="11"/>
        <v>0</v>
      </c>
      <c r="K77" s="678">
        <v>1</v>
      </c>
      <c r="L77" s="1002"/>
      <c r="M77" s="1428">
        <f t="shared" si="12"/>
        <v>0</v>
      </c>
      <c r="N77" s="1106"/>
      <c r="O77" s="674">
        <f t="shared" si="13"/>
        <v>20</v>
      </c>
      <c r="P77" s="682"/>
      <c r="Q77" s="286"/>
      <c r="R77" s="287"/>
      <c r="S77" s="280"/>
      <c r="T77" s="280"/>
      <c r="U77" s="280"/>
      <c r="V77" s="280"/>
      <c r="W77" s="280"/>
      <c r="X77" s="280"/>
      <c r="Y77" s="280"/>
      <c r="Z77" s="284"/>
      <c r="AA77" s="284"/>
      <c r="AB77" s="284"/>
      <c r="AC77" s="284"/>
      <c r="AD77" s="284"/>
      <c r="AE77" s="284"/>
      <c r="AF77" s="447"/>
      <c r="AG77" s="447"/>
      <c r="AH77" s="447"/>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row>
    <row r="78" spans="1:67" s="88" customFormat="1" ht="10.55" customHeight="1" x14ac:dyDescent="0.2">
      <c r="A78" s="1013" t="s">
        <v>339</v>
      </c>
      <c r="B78" s="2807"/>
      <c r="C78" s="2808"/>
      <c r="D78" s="2809"/>
      <c r="E78" s="2561"/>
      <c r="F78" s="2562"/>
      <c r="G78" s="1785">
        <v>30</v>
      </c>
      <c r="H78" s="524"/>
      <c r="I78" s="1409">
        <f t="shared" si="10"/>
        <v>4.7777640736176463E-2</v>
      </c>
      <c r="J78" s="1421">
        <f t="shared" si="11"/>
        <v>0</v>
      </c>
      <c r="K78" s="678">
        <v>2</v>
      </c>
      <c r="L78" s="1002"/>
      <c r="M78" s="1428">
        <f t="shared" si="12"/>
        <v>0</v>
      </c>
      <c r="N78" s="1106"/>
      <c r="O78" s="674">
        <f t="shared" si="13"/>
        <v>30</v>
      </c>
      <c r="P78" s="682"/>
      <c r="Q78" s="286"/>
      <c r="R78" s="287"/>
      <c r="S78" s="280"/>
      <c r="T78" s="280"/>
      <c r="U78" s="280"/>
      <c r="V78" s="280"/>
      <c r="W78" s="280"/>
      <c r="X78" s="280"/>
      <c r="Y78" s="280"/>
      <c r="Z78" s="284"/>
      <c r="AA78" s="284"/>
      <c r="AB78" s="284"/>
      <c r="AC78" s="284"/>
      <c r="AD78" s="284"/>
      <c r="AE78" s="284"/>
      <c r="AF78" s="447"/>
      <c r="AG78" s="447"/>
      <c r="AH78" s="447"/>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row>
    <row r="79" spans="1:67" s="88" customFormat="1" ht="10.55" customHeight="1" x14ac:dyDescent="0.2">
      <c r="A79" s="1013" t="s">
        <v>340</v>
      </c>
      <c r="B79" s="2807"/>
      <c r="C79" s="2808"/>
      <c r="D79" s="2809"/>
      <c r="E79" s="2561"/>
      <c r="F79" s="2562"/>
      <c r="G79" s="1785">
        <v>30</v>
      </c>
      <c r="H79" s="524"/>
      <c r="I79" s="1409">
        <f t="shared" si="10"/>
        <v>4.7777640736176463E-2</v>
      </c>
      <c r="J79" s="1421">
        <f t="shared" si="11"/>
        <v>0</v>
      </c>
      <c r="K79" s="678">
        <v>1.5</v>
      </c>
      <c r="L79" s="1002"/>
      <c r="M79" s="1428">
        <f t="shared" si="12"/>
        <v>0</v>
      </c>
      <c r="N79" s="1106"/>
      <c r="O79" s="674">
        <f t="shared" si="13"/>
        <v>30</v>
      </c>
      <c r="P79" s="682"/>
      <c r="Q79" s="286"/>
      <c r="R79" s="287"/>
      <c r="S79" s="280"/>
      <c r="T79" s="280"/>
      <c r="U79" s="280"/>
      <c r="V79" s="280"/>
      <c r="W79" s="280"/>
      <c r="X79" s="280"/>
      <c r="Y79" s="280"/>
      <c r="Z79" s="284"/>
      <c r="AA79" s="284"/>
      <c r="AB79" s="284"/>
      <c r="AC79" s="284"/>
      <c r="AD79" s="284"/>
      <c r="AE79" s="284"/>
      <c r="AF79" s="447"/>
      <c r="AG79" s="447"/>
      <c r="AH79" s="447"/>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row>
    <row r="80" spans="1:67" s="88" customFormat="1" ht="10.55" customHeight="1" x14ac:dyDescent="0.2">
      <c r="A80" s="1013" t="s">
        <v>341</v>
      </c>
      <c r="B80" s="2807"/>
      <c r="C80" s="2808"/>
      <c r="D80" s="2809"/>
      <c r="E80" s="2561"/>
      <c r="F80" s="2562"/>
      <c r="G80" s="1785">
        <v>20</v>
      </c>
      <c r="H80" s="524"/>
      <c r="I80" s="1409">
        <f t="shared" si="10"/>
        <v>6.4147128734474465E-2</v>
      </c>
      <c r="J80" s="1421">
        <f t="shared" si="11"/>
        <v>0</v>
      </c>
      <c r="K80" s="678">
        <v>1</v>
      </c>
      <c r="L80" s="1002"/>
      <c r="M80" s="1428">
        <f t="shared" si="12"/>
        <v>0</v>
      </c>
      <c r="N80" s="1106"/>
      <c r="O80" s="674">
        <f t="shared" si="13"/>
        <v>20</v>
      </c>
      <c r="P80" s="682"/>
      <c r="Q80" s="286"/>
      <c r="R80" s="287"/>
      <c r="S80" s="280"/>
      <c r="T80" s="280"/>
      <c r="U80" s="280"/>
      <c r="V80" s="280"/>
      <c r="W80" s="280"/>
      <c r="X80" s="280"/>
      <c r="Y80" s="280"/>
      <c r="Z80" s="284"/>
      <c r="AA80" s="284"/>
      <c r="AB80" s="284"/>
      <c r="AC80" s="284"/>
      <c r="AD80" s="284"/>
      <c r="AE80" s="284"/>
      <c r="AF80" s="447"/>
      <c r="AG80" s="447"/>
      <c r="AH80" s="447"/>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row>
    <row r="81" spans="1:67" s="88" customFormat="1" ht="10.55" customHeight="1" x14ac:dyDescent="0.2">
      <c r="A81" s="1013" t="s">
        <v>827</v>
      </c>
      <c r="B81" s="2807"/>
      <c r="C81" s="2808"/>
      <c r="D81" s="2809"/>
      <c r="E81" s="2561"/>
      <c r="F81" s="2562"/>
      <c r="G81" s="1785">
        <v>15</v>
      </c>
      <c r="H81" s="524"/>
      <c r="I81" s="1409">
        <f t="shared" si="10"/>
        <v>8.0766456051533542E-2</v>
      </c>
      <c r="J81" s="1421">
        <f t="shared" si="11"/>
        <v>0</v>
      </c>
      <c r="K81" s="678">
        <v>4</v>
      </c>
      <c r="L81" s="1002"/>
      <c r="M81" s="1428">
        <f t="shared" si="12"/>
        <v>0</v>
      </c>
      <c r="N81" s="1106"/>
      <c r="O81" s="674">
        <f t="shared" si="13"/>
        <v>15</v>
      </c>
      <c r="P81" s="682"/>
      <c r="Q81" s="286"/>
      <c r="R81" s="287"/>
      <c r="S81" s="280"/>
      <c r="T81" s="280"/>
      <c r="U81" s="280"/>
      <c r="V81" s="280"/>
      <c r="W81" s="280"/>
      <c r="X81" s="280"/>
      <c r="Y81" s="280"/>
      <c r="Z81" s="284"/>
      <c r="AA81" s="284"/>
      <c r="AB81" s="284"/>
      <c r="AC81" s="284"/>
      <c r="AD81" s="284"/>
      <c r="AE81" s="284"/>
      <c r="AF81" s="447"/>
      <c r="AG81" s="447"/>
      <c r="AH81" s="447"/>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row>
    <row r="82" spans="1:67" s="88" customFormat="1" ht="10.55" customHeight="1" x14ac:dyDescent="0.2">
      <c r="A82" s="675"/>
      <c r="B82" s="2807"/>
      <c r="C82" s="2808"/>
      <c r="D82" s="2809"/>
      <c r="E82" s="2561"/>
      <c r="F82" s="2562"/>
      <c r="G82" s="1015"/>
      <c r="H82" s="524"/>
      <c r="I82" s="1409">
        <f t="shared" si="10"/>
        <v>0</v>
      </c>
      <c r="J82" s="1421">
        <f t="shared" si="11"/>
        <v>0</v>
      </c>
      <c r="K82" s="679"/>
      <c r="L82" s="1002"/>
      <c r="M82" s="1428">
        <f t="shared" si="12"/>
        <v>0</v>
      </c>
      <c r="N82" s="1106"/>
      <c r="O82" s="674">
        <f t="shared" si="13"/>
        <v>0</v>
      </c>
      <c r="P82" s="682"/>
      <c r="Q82" s="286"/>
      <c r="R82" s="287"/>
      <c r="S82" s="280"/>
      <c r="T82" s="280"/>
      <c r="U82" s="280"/>
      <c r="V82" s="280"/>
      <c r="W82" s="280"/>
      <c r="X82" s="280"/>
      <c r="Y82" s="280"/>
      <c r="Z82" s="284"/>
      <c r="AA82" s="284"/>
      <c r="AB82" s="284"/>
      <c r="AC82" s="284"/>
      <c r="AD82" s="284"/>
      <c r="AE82" s="284"/>
      <c r="AF82" s="447"/>
      <c r="AG82" s="447"/>
      <c r="AH82" s="447"/>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row>
    <row r="83" spans="1:67" s="88" customFormat="1" ht="10.55" customHeight="1" x14ac:dyDescent="0.2">
      <c r="A83" s="675"/>
      <c r="B83" s="2807"/>
      <c r="C83" s="2808"/>
      <c r="D83" s="2809"/>
      <c r="E83" s="2561"/>
      <c r="F83" s="2562"/>
      <c r="G83" s="1015"/>
      <c r="H83" s="524"/>
      <c r="I83" s="1409">
        <f t="shared" si="10"/>
        <v>0</v>
      </c>
      <c r="J83" s="1421">
        <f t="shared" si="11"/>
        <v>0</v>
      </c>
      <c r="K83" s="679"/>
      <c r="L83" s="1002"/>
      <c r="M83" s="1428">
        <f t="shared" si="12"/>
        <v>0</v>
      </c>
      <c r="N83" s="1106"/>
      <c r="O83" s="674">
        <f t="shared" si="13"/>
        <v>0</v>
      </c>
      <c r="P83" s="682"/>
      <c r="Q83" s="286"/>
      <c r="R83" s="287"/>
      <c r="S83" s="280"/>
      <c r="T83" s="280"/>
      <c r="U83" s="280"/>
      <c r="V83" s="280"/>
      <c r="W83" s="280"/>
      <c r="X83" s="280"/>
      <c r="Y83" s="280"/>
      <c r="Z83" s="284"/>
      <c r="AA83" s="284"/>
      <c r="AB83" s="284"/>
      <c r="AC83" s="284"/>
      <c r="AD83" s="284"/>
      <c r="AE83" s="284"/>
      <c r="AF83" s="447"/>
      <c r="AG83" s="447"/>
      <c r="AH83" s="447"/>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row>
    <row r="84" spans="1:67" s="88" customFormat="1" ht="10.55" customHeight="1" x14ac:dyDescent="0.2">
      <c r="A84" s="675"/>
      <c r="B84" s="2807"/>
      <c r="C84" s="2808"/>
      <c r="D84" s="2809"/>
      <c r="E84" s="2561"/>
      <c r="F84" s="2562"/>
      <c r="G84" s="1015"/>
      <c r="H84" s="524"/>
      <c r="I84" s="1409">
        <f t="shared" si="10"/>
        <v>0</v>
      </c>
      <c r="J84" s="1421">
        <f t="shared" si="11"/>
        <v>0</v>
      </c>
      <c r="K84" s="679"/>
      <c r="L84" s="1002"/>
      <c r="M84" s="1428">
        <f t="shared" si="12"/>
        <v>0</v>
      </c>
      <c r="N84" s="1106"/>
      <c r="O84" s="674">
        <f t="shared" si="13"/>
        <v>0</v>
      </c>
      <c r="P84" s="682"/>
      <c r="Q84" s="286"/>
      <c r="R84" s="287"/>
      <c r="S84" s="280"/>
      <c r="T84" s="280"/>
      <c r="U84" s="280"/>
      <c r="V84" s="280"/>
      <c r="W84" s="280"/>
      <c r="X84" s="280"/>
      <c r="Y84" s="280"/>
      <c r="Z84" s="284"/>
      <c r="AA84" s="284"/>
      <c r="AB84" s="284"/>
      <c r="AC84" s="284"/>
      <c r="AD84" s="284"/>
      <c r="AE84" s="284"/>
      <c r="AF84" s="447"/>
      <c r="AG84" s="447"/>
      <c r="AH84" s="447"/>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row>
    <row r="85" spans="1:67" s="88" customFormat="1" ht="10.55" customHeight="1" x14ac:dyDescent="0.2">
      <c r="A85" s="675"/>
      <c r="B85" s="2807"/>
      <c r="C85" s="2808"/>
      <c r="D85" s="2809"/>
      <c r="E85" s="2561"/>
      <c r="F85" s="2562"/>
      <c r="G85" s="1015"/>
      <c r="H85" s="524"/>
      <c r="I85" s="1409">
        <f t="shared" si="10"/>
        <v>0</v>
      </c>
      <c r="J85" s="1421">
        <f t="shared" si="11"/>
        <v>0</v>
      </c>
      <c r="K85" s="679"/>
      <c r="L85" s="1002"/>
      <c r="M85" s="1428">
        <f t="shared" si="12"/>
        <v>0</v>
      </c>
      <c r="N85" s="1106"/>
      <c r="O85" s="674">
        <f t="shared" si="13"/>
        <v>0</v>
      </c>
      <c r="P85" s="682"/>
      <c r="Q85" s="286"/>
      <c r="R85" s="287"/>
      <c r="S85" s="280"/>
      <c r="T85" s="280"/>
      <c r="U85" s="280"/>
      <c r="V85" s="280"/>
      <c r="W85" s="280"/>
      <c r="X85" s="280"/>
      <c r="Y85" s="280"/>
      <c r="Z85" s="284"/>
      <c r="AA85" s="284"/>
      <c r="AB85" s="284"/>
      <c r="AC85" s="284"/>
      <c r="AD85" s="284"/>
      <c r="AE85" s="284"/>
      <c r="AF85" s="447"/>
      <c r="AG85" s="447"/>
      <c r="AH85" s="447"/>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row>
    <row r="86" spans="1:67" s="88" customFormat="1" ht="10.55" customHeight="1" x14ac:dyDescent="0.2">
      <c r="A86" s="675"/>
      <c r="B86" s="2807"/>
      <c r="C86" s="2808"/>
      <c r="D86" s="2809"/>
      <c r="E86" s="2561"/>
      <c r="F86" s="2562"/>
      <c r="G86" s="1015"/>
      <c r="H86" s="524"/>
      <c r="I86" s="1409">
        <f t="shared" si="10"/>
        <v>0</v>
      </c>
      <c r="J86" s="1421">
        <f t="shared" si="11"/>
        <v>0</v>
      </c>
      <c r="K86" s="679"/>
      <c r="L86" s="1002"/>
      <c r="M86" s="1428">
        <f t="shared" si="12"/>
        <v>0</v>
      </c>
      <c r="N86" s="1106"/>
      <c r="O86" s="674">
        <f t="shared" si="13"/>
        <v>0</v>
      </c>
      <c r="P86" s="682"/>
      <c r="Q86" s="286"/>
      <c r="R86" s="287"/>
      <c r="S86" s="280"/>
      <c r="T86" s="280"/>
      <c r="U86" s="280"/>
      <c r="V86" s="280"/>
      <c r="W86" s="280"/>
      <c r="X86" s="280"/>
      <c r="Y86" s="280"/>
      <c r="Z86" s="284"/>
      <c r="AA86" s="284"/>
      <c r="AB86" s="284"/>
      <c r="AC86" s="284"/>
      <c r="AD86" s="284"/>
      <c r="AE86" s="284"/>
      <c r="AF86" s="447"/>
      <c r="AG86" s="447"/>
      <c r="AH86" s="447"/>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row>
    <row r="87" spans="1:67" s="88" customFormat="1" ht="10.55" customHeight="1" x14ac:dyDescent="0.2">
      <c r="A87" s="675"/>
      <c r="B87" s="2807"/>
      <c r="C87" s="2808"/>
      <c r="D87" s="2809"/>
      <c r="E87" s="2561"/>
      <c r="F87" s="2562"/>
      <c r="G87" s="1015"/>
      <c r="H87" s="524"/>
      <c r="I87" s="1409">
        <f t="shared" si="10"/>
        <v>0</v>
      </c>
      <c r="J87" s="1421">
        <f t="shared" si="11"/>
        <v>0</v>
      </c>
      <c r="K87" s="679"/>
      <c r="L87" s="1002"/>
      <c r="M87" s="1428">
        <f t="shared" si="12"/>
        <v>0</v>
      </c>
      <c r="N87" s="1106"/>
      <c r="O87" s="674">
        <f t="shared" si="13"/>
        <v>0</v>
      </c>
      <c r="P87" s="682"/>
      <c r="Q87" s="286"/>
      <c r="R87" s="287"/>
      <c r="S87" s="280"/>
      <c r="T87" s="280"/>
      <c r="U87" s="280"/>
      <c r="V87" s="280"/>
      <c r="W87" s="280"/>
      <c r="X87" s="280"/>
      <c r="Y87" s="280"/>
      <c r="Z87" s="284"/>
      <c r="AA87" s="284"/>
      <c r="AB87" s="284"/>
      <c r="AC87" s="284"/>
      <c r="AD87" s="284"/>
      <c r="AE87" s="284"/>
      <c r="AF87" s="447"/>
      <c r="AG87" s="447"/>
      <c r="AH87" s="447"/>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row>
    <row r="88" spans="1:67" s="88" customFormat="1" ht="10.55" customHeight="1" x14ac:dyDescent="0.2">
      <c r="A88" s="1017"/>
      <c r="B88" s="2804"/>
      <c r="C88" s="2805"/>
      <c r="D88" s="2806"/>
      <c r="E88" s="2793"/>
      <c r="F88" s="2794"/>
      <c r="G88" s="1018"/>
      <c r="H88" s="1019"/>
      <c r="I88" s="1436">
        <f t="shared" si="10"/>
        <v>0</v>
      </c>
      <c r="J88" s="1422"/>
      <c r="K88" s="680"/>
      <c r="L88" s="1020"/>
      <c r="M88" s="1429">
        <f t="shared" si="12"/>
        <v>0</v>
      </c>
      <c r="N88" s="1106"/>
      <c r="O88" s="674">
        <f t="shared" si="13"/>
        <v>0</v>
      </c>
      <c r="P88" s="682"/>
      <c r="Q88" s="286"/>
      <c r="R88" s="287"/>
      <c r="S88" s="280"/>
      <c r="T88" s="280"/>
      <c r="U88" s="280"/>
      <c r="V88" s="280"/>
      <c r="W88" s="280"/>
      <c r="X88" s="280"/>
      <c r="Y88" s="280"/>
      <c r="Z88" s="284"/>
      <c r="AA88" s="284"/>
      <c r="AB88" s="284"/>
      <c r="AC88" s="284"/>
      <c r="AD88" s="284"/>
      <c r="AE88" s="284"/>
      <c r="AF88" s="447"/>
      <c r="AG88" s="447"/>
      <c r="AH88" s="447"/>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row>
    <row r="89" spans="1:67" s="88" customFormat="1" ht="10.55" customHeight="1" x14ac:dyDescent="0.2">
      <c r="A89" s="1011" t="s">
        <v>342</v>
      </c>
      <c r="B89" s="2783"/>
      <c r="C89" s="2784"/>
      <c r="D89" s="2785"/>
      <c r="E89" s="2810">
        <f>SUM(E90:E104)</f>
        <v>0</v>
      </c>
      <c r="F89" s="2811"/>
      <c r="G89" s="2747"/>
      <c r="H89" s="2748"/>
      <c r="I89" s="1435">
        <f>IF(E89=0,0,J89/E89)</f>
        <v>0</v>
      </c>
      <c r="J89" s="1423">
        <f>SUM(J90:J104)</f>
        <v>0</v>
      </c>
      <c r="K89" s="2749">
        <f>IF(E89=0,0,M89/E89*100)</f>
        <v>0</v>
      </c>
      <c r="L89" s="2750"/>
      <c r="M89" s="1430">
        <f>SUM(M90:M104)</f>
        <v>0</v>
      </c>
      <c r="N89" s="1106"/>
      <c r="O89" s="387">
        <f>IF(H89="",G89,H89)</f>
        <v>0</v>
      </c>
      <c r="P89" s="682"/>
      <c r="Q89" s="286"/>
      <c r="R89" s="287"/>
      <c r="S89" s="280"/>
      <c r="T89" s="280"/>
      <c r="U89" s="280"/>
      <c r="V89" s="280"/>
      <c r="W89" s="280"/>
      <c r="X89" s="280"/>
      <c r="Y89" s="280"/>
      <c r="Z89" s="284"/>
      <c r="AA89" s="284"/>
      <c r="AB89" s="284"/>
      <c r="AC89" s="284"/>
      <c r="AD89" s="284"/>
      <c r="AE89" s="284"/>
      <c r="AF89" s="447"/>
      <c r="AG89" s="447"/>
      <c r="AH89" s="447"/>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row>
    <row r="90" spans="1:67" s="88" customFormat="1" ht="10.55" customHeight="1" x14ac:dyDescent="0.2">
      <c r="A90" s="1013" t="s">
        <v>58</v>
      </c>
      <c r="B90" s="2790"/>
      <c r="C90" s="2791"/>
      <c r="D90" s="2792"/>
      <c r="E90" s="2734"/>
      <c r="F90" s="2735"/>
      <c r="G90" s="1785">
        <v>20</v>
      </c>
      <c r="H90" s="524"/>
      <c r="I90" s="1409">
        <f t="shared" ref="I90:I105" si="14">IF($O90&gt;0,-PMT(($I$9),$O90,1),0)</f>
        <v>6.4147128734474465E-2</v>
      </c>
      <c r="J90" s="1421">
        <f t="shared" ref="J90:J104" si="15">ROUND(E90*I90,0)</f>
        <v>0</v>
      </c>
      <c r="K90" s="678">
        <v>2.5</v>
      </c>
      <c r="L90" s="1002"/>
      <c r="M90" s="1428">
        <f t="shared" ref="M90:M105" si="16">ROUND(E90/100*IF(ISBLANK(L90),K90,L90),0)</f>
        <v>0</v>
      </c>
      <c r="N90" s="1106"/>
      <c r="O90" s="674">
        <f t="shared" ref="O90:O105" si="17">IF(ISBLANK(H90),G90,H90)</f>
        <v>20</v>
      </c>
      <c r="P90" s="682"/>
      <c r="Q90" s="286"/>
      <c r="R90" s="287"/>
      <c r="S90" s="280"/>
      <c r="T90" s="280"/>
      <c r="U90" s="280"/>
      <c r="V90" s="280"/>
      <c r="W90" s="280"/>
      <c r="X90" s="280"/>
      <c r="Y90" s="280"/>
      <c r="Z90" s="284"/>
      <c r="AA90" s="284"/>
      <c r="AB90" s="284"/>
      <c r="AC90" s="284"/>
      <c r="AD90" s="284"/>
      <c r="AE90" s="284"/>
      <c r="AF90" s="447"/>
      <c r="AG90" s="447"/>
      <c r="AH90" s="447"/>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row>
    <row r="91" spans="1:67" s="88" customFormat="1" ht="10.55" customHeight="1" x14ac:dyDescent="0.2">
      <c r="A91" s="1013" t="s">
        <v>59</v>
      </c>
      <c r="B91" s="2807"/>
      <c r="C91" s="2808"/>
      <c r="D91" s="2809"/>
      <c r="E91" s="2561"/>
      <c r="F91" s="2562"/>
      <c r="G91" s="1785">
        <v>20</v>
      </c>
      <c r="H91" s="524"/>
      <c r="I91" s="1409">
        <f t="shared" si="14"/>
        <v>6.4147128734474465E-2</v>
      </c>
      <c r="J91" s="1421">
        <f t="shared" si="15"/>
        <v>0</v>
      </c>
      <c r="K91" s="678">
        <v>2.5</v>
      </c>
      <c r="L91" s="1002"/>
      <c r="M91" s="1428">
        <f t="shared" si="16"/>
        <v>0</v>
      </c>
      <c r="N91" s="1106"/>
      <c r="O91" s="674">
        <f t="shared" si="17"/>
        <v>20</v>
      </c>
      <c r="P91" s="682"/>
      <c r="Q91" s="286"/>
      <c r="R91" s="287"/>
      <c r="S91" s="280"/>
      <c r="T91" s="280"/>
      <c r="U91" s="280"/>
      <c r="V91" s="280"/>
      <c r="W91" s="280"/>
      <c r="X91" s="280"/>
      <c r="Y91" s="280"/>
      <c r="Z91" s="284"/>
      <c r="AA91" s="284"/>
      <c r="AB91" s="284"/>
      <c r="AC91" s="284"/>
      <c r="AD91" s="284"/>
      <c r="AE91" s="284"/>
      <c r="AF91" s="447"/>
      <c r="AG91" s="447"/>
      <c r="AH91" s="447"/>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row>
    <row r="92" spans="1:67" s="88" customFormat="1" ht="10.55" customHeight="1" x14ac:dyDescent="0.2">
      <c r="A92" s="1013" t="s">
        <v>830</v>
      </c>
      <c r="B92" s="2807"/>
      <c r="C92" s="2808"/>
      <c r="D92" s="2809"/>
      <c r="E92" s="2561"/>
      <c r="F92" s="2562"/>
      <c r="G92" s="1785">
        <v>20</v>
      </c>
      <c r="H92" s="524"/>
      <c r="I92" s="1409">
        <f t="shared" si="14"/>
        <v>6.4147128734474465E-2</v>
      </c>
      <c r="J92" s="1421">
        <f t="shared" si="15"/>
        <v>0</v>
      </c>
      <c r="K92" s="678">
        <v>5</v>
      </c>
      <c r="L92" s="1002"/>
      <c r="M92" s="1428">
        <f t="shared" si="16"/>
        <v>0</v>
      </c>
      <c r="N92" s="1106"/>
      <c r="O92" s="674">
        <f t="shared" si="17"/>
        <v>20</v>
      </c>
      <c r="P92" s="682"/>
      <c r="Q92" s="286"/>
      <c r="R92" s="287"/>
      <c r="S92" s="280"/>
      <c r="T92" s="280"/>
      <c r="U92" s="280"/>
      <c r="V92" s="280"/>
      <c r="W92" s="280"/>
      <c r="X92" s="280"/>
      <c r="Y92" s="280"/>
      <c r="Z92" s="284"/>
      <c r="AA92" s="284"/>
      <c r="AB92" s="284"/>
      <c r="AC92" s="284"/>
      <c r="AD92" s="284"/>
      <c r="AE92" s="284"/>
      <c r="AF92" s="447"/>
      <c r="AG92" s="447"/>
      <c r="AH92" s="447"/>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row>
    <row r="93" spans="1:67" s="88" customFormat="1" ht="10.55" customHeight="1" x14ac:dyDescent="0.2">
      <c r="A93" s="1013" t="s">
        <v>75</v>
      </c>
      <c r="B93" s="2807"/>
      <c r="C93" s="2808"/>
      <c r="D93" s="2809"/>
      <c r="E93" s="2561"/>
      <c r="F93" s="2562"/>
      <c r="G93" s="1785">
        <v>20</v>
      </c>
      <c r="H93" s="524"/>
      <c r="I93" s="1409">
        <f t="shared" si="14"/>
        <v>6.4147128734474465E-2</v>
      </c>
      <c r="J93" s="1421">
        <f t="shared" si="15"/>
        <v>0</v>
      </c>
      <c r="K93" s="678">
        <v>3.5</v>
      </c>
      <c r="L93" s="1002"/>
      <c r="M93" s="1428">
        <f t="shared" si="16"/>
        <v>0</v>
      </c>
      <c r="N93" s="1106"/>
      <c r="O93" s="674">
        <f t="shared" si="17"/>
        <v>20</v>
      </c>
      <c r="P93" s="682"/>
      <c r="Q93" s="286"/>
      <c r="R93" s="287"/>
      <c r="S93" s="280"/>
      <c r="T93" s="280"/>
      <c r="U93" s="280"/>
      <c r="V93" s="280"/>
      <c r="W93" s="280"/>
      <c r="X93" s="280"/>
      <c r="Y93" s="280"/>
      <c r="Z93" s="284"/>
      <c r="AA93" s="284"/>
      <c r="AB93" s="284"/>
      <c r="AC93" s="284"/>
      <c r="AD93" s="284"/>
      <c r="AE93" s="284"/>
      <c r="AF93" s="447"/>
      <c r="AG93" s="447"/>
      <c r="AH93" s="447"/>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row>
    <row r="94" spans="1:67" s="88" customFormat="1" ht="10.55" customHeight="1" x14ac:dyDescent="0.2">
      <c r="A94" s="1013" t="s">
        <v>82</v>
      </c>
      <c r="B94" s="2807"/>
      <c r="C94" s="2808"/>
      <c r="D94" s="2809"/>
      <c r="E94" s="2561"/>
      <c r="F94" s="2562"/>
      <c r="G94" s="1785">
        <v>20</v>
      </c>
      <c r="H94" s="524"/>
      <c r="I94" s="1409">
        <f t="shared" si="14"/>
        <v>6.4147128734474465E-2</v>
      </c>
      <c r="J94" s="1421">
        <f t="shared" ref="J94" si="18">ROUND(E94*I94,0)</f>
        <v>0</v>
      </c>
      <c r="K94" s="678">
        <v>3.5</v>
      </c>
      <c r="L94" s="1002"/>
      <c r="M94" s="1428">
        <f t="shared" ref="M94" si="19">ROUND(E94/100*IF(ISBLANK(L94),K94,L94),0)</f>
        <v>0</v>
      </c>
      <c r="N94" s="1776"/>
      <c r="O94" s="674">
        <f t="shared" ref="O94" si="20">IF(ISBLANK(H94),G94,H94)</f>
        <v>20</v>
      </c>
      <c r="P94" s="682"/>
      <c r="Q94" s="286"/>
      <c r="R94" s="287"/>
      <c r="S94" s="280"/>
      <c r="T94" s="280"/>
      <c r="U94" s="280"/>
      <c r="V94" s="280"/>
      <c r="W94" s="280"/>
      <c r="X94" s="280"/>
      <c r="Y94" s="280"/>
      <c r="Z94" s="284"/>
      <c r="AA94" s="284"/>
      <c r="AB94" s="284"/>
      <c r="AC94" s="284"/>
      <c r="AD94" s="284"/>
      <c r="AE94" s="284"/>
      <c r="AF94" s="447"/>
      <c r="AG94" s="447"/>
      <c r="AH94" s="447"/>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row>
    <row r="95" spans="1:67" s="88" customFormat="1" ht="10.55" customHeight="1" x14ac:dyDescent="0.2">
      <c r="A95" s="1013" t="s">
        <v>831</v>
      </c>
      <c r="B95" s="2807"/>
      <c r="C95" s="2808"/>
      <c r="D95" s="2809"/>
      <c r="E95" s="2561"/>
      <c r="F95" s="2562"/>
      <c r="G95" s="1785">
        <v>20</v>
      </c>
      <c r="H95" s="524"/>
      <c r="I95" s="1409">
        <f t="shared" si="14"/>
        <v>6.4147128734474465E-2</v>
      </c>
      <c r="J95" s="1421">
        <f t="shared" si="15"/>
        <v>0</v>
      </c>
      <c r="K95" s="678">
        <v>3.5</v>
      </c>
      <c r="L95" s="1002"/>
      <c r="M95" s="1428">
        <f t="shared" si="16"/>
        <v>0</v>
      </c>
      <c r="N95" s="1106"/>
      <c r="O95" s="674">
        <f t="shared" si="17"/>
        <v>20</v>
      </c>
      <c r="P95" s="682"/>
      <c r="Q95" s="286"/>
      <c r="R95" s="287"/>
      <c r="S95" s="280"/>
      <c r="T95" s="280"/>
      <c r="U95" s="280"/>
      <c r="V95" s="280"/>
      <c r="W95" s="280"/>
      <c r="X95" s="280"/>
      <c r="Y95" s="280"/>
      <c r="Z95" s="284"/>
      <c r="AA95" s="284"/>
      <c r="AB95" s="284"/>
      <c r="AC95" s="284"/>
      <c r="AD95" s="284"/>
      <c r="AE95" s="284"/>
      <c r="AF95" s="447"/>
      <c r="AG95" s="447"/>
      <c r="AH95" s="447"/>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row>
    <row r="96" spans="1:67" s="88" customFormat="1" ht="10.55" customHeight="1" x14ac:dyDescent="0.2">
      <c r="A96" s="1013" t="s">
        <v>90</v>
      </c>
      <c r="B96" s="2807"/>
      <c r="C96" s="2808"/>
      <c r="D96" s="2809"/>
      <c r="E96" s="2561"/>
      <c r="F96" s="2562"/>
      <c r="G96" s="1785">
        <v>20</v>
      </c>
      <c r="H96" s="524"/>
      <c r="I96" s="1409">
        <f t="shared" si="14"/>
        <v>6.4147128734474465E-2</v>
      </c>
      <c r="J96" s="1421">
        <f t="shared" ref="J96" si="21">ROUND(E96*I96,0)</f>
        <v>0</v>
      </c>
      <c r="K96" s="678">
        <v>3.5</v>
      </c>
      <c r="L96" s="1002"/>
      <c r="M96" s="1428">
        <f t="shared" ref="M96" si="22">ROUND(E96/100*IF(ISBLANK(L96),K96,L96),0)</f>
        <v>0</v>
      </c>
      <c r="N96" s="1776"/>
      <c r="O96" s="674">
        <f t="shared" ref="O96" si="23">IF(ISBLANK(H96),G96,H96)</f>
        <v>20</v>
      </c>
      <c r="P96" s="682"/>
      <c r="Q96" s="286"/>
      <c r="R96" s="287"/>
      <c r="S96" s="280"/>
      <c r="T96" s="280"/>
      <c r="U96" s="280"/>
      <c r="V96" s="280"/>
      <c r="W96" s="280"/>
      <c r="X96" s="280"/>
      <c r="Y96" s="280"/>
      <c r="Z96" s="284"/>
      <c r="AA96" s="284"/>
      <c r="AB96" s="284"/>
      <c r="AC96" s="284"/>
      <c r="AD96" s="284"/>
      <c r="AE96" s="284"/>
      <c r="AF96" s="447"/>
      <c r="AG96" s="447"/>
      <c r="AH96" s="447"/>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row>
    <row r="97" spans="1:67" s="88" customFormat="1" ht="10.55" customHeight="1" x14ac:dyDescent="0.2">
      <c r="A97" s="1013" t="s">
        <v>177</v>
      </c>
      <c r="B97" s="2807"/>
      <c r="C97" s="2808"/>
      <c r="D97" s="2809"/>
      <c r="E97" s="2561"/>
      <c r="F97" s="2562"/>
      <c r="G97" s="1785">
        <v>20</v>
      </c>
      <c r="H97" s="524"/>
      <c r="I97" s="1409">
        <f t="shared" si="14"/>
        <v>6.4147128734474465E-2</v>
      </c>
      <c r="J97" s="1421">
        <f t="shared" ref="J97" si="24">ROUND(E97*I97,0)</f>
        <v>0</v>
      </c>
      <c r="K97" s="678">
        <v>3.5</v>
      </c>
      <c r="L97" s="1002"/>
      <c r="M97" s="1428">
        <f t="shared" ref="M97" si="25">ROUND(E97/100*IF(ISBLANK(L97),K97,L97),0)</f>
        <v>0</v>
      </c>
      <c r="N97" s="1776"/>
      <c r="O97" s="674">
        <f t="shared" ref="O97" si="26">IF(ISBLANK(H97),G97,H97)</f>
        <v>20</v>
      </c>
      <c r="P97" s="682"/>
      <c r="Q97" s="286"/>
      <c r="R97" s="287"/>
      <c r="S97" s="280"/>
      <c r="T97" s="280"/>
      <c r="U97" s="280"/>
      <c r="V97" s="280"/>
      <c r="W97" s="280"/>
      <c r="X97" s="280"/>
      <c r="Y97" s="280"/>
      <c r="Z97" s="284"/>
      <c r="AA97" s="284"/>
      <c r="AB97" s="284"/>
      <c r="AC97" s="284"/>
      <c r="AD97" s="284"/>
      <c r="AE97" s="284"/>
      <c r="AF97" s="447"/>
      <c r="AG97" s="447"/>
      <c r="AH97" s="447"/>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row>
    <row r="98" spans="1:67" s="88" customFormat="1" ht="10.55" customHeight="1" x14ac:dyDescent="0.2">
      <c r="A98" s="1013" t="s">
        <v>828</v>
      </c>
      <c r="B98" s="2807"/>
      <c r="C98" s="2808"/>
      <c r="D98" s="2809"/>
      <c r="E98" s="2561"/>
      <c r="F98" s="2562"/>
      <c r="G98" s="1785">
        <v>20</v>
      </c>
      <c r="H98" s="524"/>
      <c r="I98" s="1409">
        <f t="shared" si="14"/>
        <v>6.4147128734474465E-2</v>
      </c>
      <c r="J98" s="1421">
        <f t="shared" si="15"/>
        <v>0</v>
      </c>
      <c r="K98" s="678">
        <v>1.5</v>
      </c>
      <c r="L98" s="1002"/>
      <c r="M98" s="1428">
        <f t="shared" si="16"/>
        <v>0</v>
      </c>
      <c r="N98" s="1106"/>
      <c r="O98" s="674">
        <f t="shared" si="17"/>
        <v>20</v>
      </c>
      <c r="P98" s="682"/>
      <c r="Q98" s="286"/>
      <c r="R98" s="287"/>
      <c r="S98" s="280"/>
      <c r="T98" s="280"/>
      <c r="U98" s="280"/>
      <c r="V98" s="280"/>
      <c r="W98" s="280"/>
      <c r="X98" s="280"/>
      <c r="Y98" s="280"/>
      <c r="Z98" s="284"/>
      <c r="AA98" s="284"/>
      <c r="AB98" s="284"/>
      <c r="AC98" s="284"/>
      <c r="AD98" s="284"/>
      <c r="AE98" s="284"/>
      <c r="AF98" s="447"/>
      <c r="AG98" s="447"/>
      <c r="AH98" s="447"/>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row>
    <row r="99" spans="1:67" s="88" customFormat="1" ht="10.55" customHeight="1" x14ac:dyDescent="0.2">
      <c r="A99" s="1013" t="s">
        <v>829</v>
      </c>
      <c r="B99" s="2807"/>
      <c r="C99" s="2808"/>
      <c r="D99" s="2809"/>
      <c r="E99" s="2561"/>
      <c r="F99" s="2562"/>
      <c r="G99" s="1785">
        <v>20</v>
      </c>
      <c r="H99" s="524"/>
      <c r="I99" s="1409">
        <f t="shared" si="14"/>
        <v>6.4147128734474465E-2</v>
      </c>
      <c r="J99" s="1421">
        <f t="shared" si="15"/>
        <v>0</v>
      </c>
      <c r="K99" s="678">
        <v>1.5</v>
      </c>
      <c r="L99" s="1002"/>
      <c r="M99" s="1428">
        <f t="shared" si="16"/>
        <v>0</v>
      </c>
      <c r="N99" s="1106"/>
      <c r="O99" s="674">
        <f t="shared" si="17"/>
        <v>20</v>
      </c>
      <c r="P99" s="682"/>
      <c r="Q99" s="286"/>
      <c r="R99" s="287"/>
      <c r="S99" s="280"/>
      <c r="T99" s="280"/>
      <c r="U99" s="280"/>
      <c r="V99" s="280"/>
      <c r="W99" s="280"/>
      <c r="X99" s="280"/>
      <c r="Y99" s="280"/>
      <c r="Z99" s="284"/>
      <c r="AA99" s="284"/>
      <c r="AB99" s="284"/>
      <c r="AC99" s="284"/>
      <c r="AD99" s="284"/>
      <c r="AE99" s="284"/>
      <c r="AF99" s="447"/>
      <c r="AG99" s="447"/>
      <c r="AH99" s="447"/>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row>
    <row r="100" spans="1:67" s="88" customFormat="1" ht="10.55" customHeight="1" x14ac:dyDescent="0.2">
      <c r="A100" s="1013" t="s">
        <v>343</v>
      </c>
      <c r="B100" s="2807"/>
      <c r="C100" s="2808"/>
      <c r="D100" s="2809"/>
      <c r="E100" s="2561"/>
      <c r="F100" s="2562"/>
      <c r="G100" s="1785">
        <v>30</v>
      </c>
      <c r="H100" s="524"/>
      <c r="I100" s="1409">
        <f t="shared" si="14"/>
        <v>4.7777640736176463E-2</v>
      </c>
      <c r="J100" s="1421">
        <f t="shared" si="15"/>
        <v>0</v>
      </c>
      <c r="K100" s="678">
        <v>0.5</v>
      </c>
      <c r="L100" s="1002"/>
      <c r="M100" s="1428">
        <f t="shared" si="16"/>
        <v>0</v>
      </c>
      <c r="N100" s="1106"/>
      <c r="O100" s="674">
        <f t="shared" si="17"/>
        <v>30</v>
      </c>
      <c r="P100" s="682"/>
      <c r="Q100" s="286"/>
      <c r="R100" s="287"/>
      <c r="S100" s="280"/>
      <c r="T100" s="280"/>
      <c r="U100" s="280"/>
      <c r="V100" s="280"/>
      <c r="W100" s="280"/>
      <c r="X100" s="280"/>
      <c r="Y100" s="280"/>
      <c r="Z100" s="284"/>
      <c r="AA100" s="284"/>
      <c r="AB100" s="284"/>
      <c r="AC100" s="284"/>
      <c r="AD100" s="284"/>
      <c r="AE100" s="284"/>
      <c r="AF100" s="447"/>
      <c r="AG100" s="447"/>
      <c r="AH100" s="447"/>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row>
    <row r="101" spans="1:67" s="88" customFormat="1" ht="10.55" customHeight="1" x14ac:dyDescent="0.2">
      <c r="A101" s="1013" t="s">
        <v>344</v>
      </c>
      <c r="B101" s="2807"/>
      <c r="C101" s="2808"/>
      <c r="D101" s="2809"/>
      <c r="E101" s="2561"/>
      <c r="F101" s="2562"/>
      <c r="G101" s="1785">
        <v>30</v>
      </c>
      <c r="H101" s="524"/>
      <c r="I101" s="1409">
        <f t="shared" si="14"/>
        <v>4.7777640736176463E-2</v>
      </c>
      <c r="J101" s="1421">
        <f t="shared" si="15"/>
        <v>0</v>
      </c>
      <c r="K101" s="678">
        <v>0.5</v>
      </c>
      <c r="L101" s="1002"/>
      <c r="M101" s="1428">
        <f t="shared" si="16"/>
        <v>0</v>
      </c>
      <c r="N101" s="1106"/>
      <c r="O101" s="674">
        <f t="shared" si="17"/>
        <v>30</v>
      </c>
      <c r="P101" s="682"/>
      <c r="Q101" s="286"/>
      <c r="R101" s="287"/>
      <c r="S101" s="280"/>
      <c r="T101" s="280"/>
      <c r="U101" s="280"/>
      <c r="V101" s="280"/>
      <c r="W101" s="280"/>
      <c r="X101" s="280"/>
      <c r="Y101" s="280"/>
      <c r="Z101" s="284"/>
      <c r="AA101" s="284"/>
      <c r="AB101" s="284"/>
      <c r="AC101" s="284"/>
      <c r="AD101" s="284"/>
      <c r="AE101" s="284"/>
      <c r="AF101" s="447"/>
      <c r="AG101" s="447"/>
      <c r="AH101" s="447"/>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row>
    <row r="102" spans="1:67" s="88" customFormat="1" ht="10.55" customHeight="1" x14ac:dyDescent="0.2">
      <c r="A102" s="1013" t="s">
        <v>334</v>
      </c>
      <c r="B102" s="2807"/>
      <c r="C102" s="2808"/>
      <c r="D102" s="2809"/>
      <c r="E102" s="2561"/>
      <c r="F102" s="2562"/>
      <c r="G102" s="1785">
        <v>30</v>
      </c>
      <c r="H102" s="524"/>
      <c r="I102" s="1409">
        <f t="shared" si="14"/>
        <v>4.7777640736176463E-2</v>
      </c>
      <c r="J102" s="1421">
        <f t="shared" si="15"/>
        <v>0</v>
      </c>
      <c r="K102" s="678">
        <v>0</v>
      </c>
      <c r="L102" s="1002"/>
      <c r="M102" s="1428">
        <f t="shared" si="16"/>
        <v>0</v>
      </c>
      <c r="N102" s="1106"/>
      <c r="O102" s="674">
        <f t="shared" si="17"/>
        <v>30</v>
      </c>
      <c r="P102" s="682"/>
      <c r="Q102" s="286"/>
      <c r="R102" s="287"/>
      <c r="S102" s="280"/>
      <c r="T102" s="280"/>
      <c r="U102" s="280"/>
      <c r="V102" s="280"/>
      <c r="W102" s="280"/>
      <c r="X102" s="280"/>
      <c r="Y102" s="280"/>
      <c r="Z102" s="284"/>
      <c r="AA102" s="284"/>
      <c r="AB102" s="284"/>
      <c r="AC102" s="284"/>
      <c r="AD102" s="284"/>
      <c r="AE102" s="284"/>
      <c r="AF102" s="447"/>
      <c r="AG102" s="447"/>
      <c r="AH102" s="447"/>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row>
    <row r="103" spans="1:67" s="88" customFormat="1" ht="10.55" customHeight="1" x14ac:dyDescent="0.2">
      <c r="A103" s="675"/>
      <c r="B103" s="2807"/>
      <c r="C103" s="2808"/>
      <c r="D103" s="2809"/>
      <c r="E103" s="2561"/>
      <c r="F103" s="2562"/>
      <c r="G103" s="1015"/>
      <c r="H103" s="524"/>
      <c r="I103" s="1409">
        <f t="shared" si="14"/>
        <v>0</v>
      </c>
      <c r="J103" s="1421">
        <f t="shared" si="15"/>
        <v>0</v>
      </c>
      <c r="K103" s="679"/>
      <c r="L103" s="1002"/>
      <c r="M103" s="1428">
        <f t="shared" si="16"/>
        <v>0</v>
      </c>
      <c r="N103" s="1106"/>
      <c r="O103" s="674">
        <f t="shared" si="17"/>
        <v>0</v>
      </c>
      <c r="P103" s="682"/>
      <c r="Q103" s="286"/>
      <c r="R103" s="287"/>
      <c r="S103" s="280"/>
      <c r="T103" s="280"/>
      <c r="U103" s="280"/>
      <c r="V103" s="280"/>
      <c r="W103" s="280"/>
      <c r="X103" s="280"/>
      <c r="Y103" s="280"/>
      <c r="Z103" s="284"/>
      <c r="AA103" s="284"/>
      <c r="AB103" s="284"/>
      <c r="AC103" s="284"/>
      <c r="AD103" s="284"/>
      <c r="AE103" s="284"/>
      <c r="AF103" s="447"/>
      <c r="AG103" s="447"/>
      <c r="AH103" s="447"/>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row>
    <row r="104" spans="1:67" s="88" customFormat="1" ht="10.55" customHeight="1" x14ac:dyDescent="0.2">
      <c r="A104" s="675"/>
      <c r="B104" s="2807"/>
      <c r="C104" s="2808"/>
      <c r="D104" s="2809"/>
      <c r="E104" s="2561"/>
      <c r="F104" s="2562"/>
      <c r="G104" s="1015"/>
      <c r="H104" s="524"/>
      <c r="I104" s="1409">
        <f t="shared" si="14"/>
        <v>0</v>
      </c>
      <c r="J104" s="1421">
        <f t="shared" si="15"/>
        <v>0</v>
      </c>
      <c r="K104" s="679"/>
      <c r="L104" s="1002"/>
      <c r="M104" s="1428">
        <f t="shared" si="16"/>
        <v>0</v>
      </c>
      <c r="N104" s="1106"/>
      <c r="O104" s="674">
        <f t="shared" si="17"/>
        <v>0</v>
      </c>
      <c r="P104" s="682"/>
      <c r="Q104" s="286"/>
      <c r="R104" s="287"/>
      <c r="S104" s="280"/>
      <c r="T104" s="280"/>
      <c r="U104" s="280"/>
      <c r="V104" s="280"/>
      <c r="W104" s="280"/>
      <c r="X104" s="280"/>
      <c r="Y104" s="280"/>
      <c r="Z104" s="284"/>
      <c r="AA104" s="284"/>
      <c r="AB104" s="284"/>
      <c r="AC104" s="284"/>
      <c r="AD104" s="284"/>
      <c r="AE104" s="284"/>
      <c r="AF104" s="447"/>
      <c r="AG104" s="447"/>
      <c r="AH104" s="447"/>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row>
    <row r="105" spans="1:67" s="88" customFormat="1" ht="10.55" customHeight="1" x14ac:dyDescent="0.2">
      <c r="A105" s="1085"/>
      <c r="B105" s="2804"/>
      <c r="C105" s="2805"/>
      <c r="D105" s="2806"/>
      <c r="E105" s="2793"/>
      <c r="F105" s="2794"/>
      <c r="G105" s="1086"/>
      <c r="H105" s="1087"/>
      <c r="I105" s="1437">
        <f t="shared" si="14"/>
        <v>0</v>
      </c>
      <c r="J105" s="1413"/>
      <c r="K105" s="1088"/>
      <c r="L105" s="1089"/>
      <c r="M105" s="1431">
        <f t="shared" si="16"/>
        <v>0</v>
      </c>
      <c r="N105" s="1106"/>
      <c r="O105" s="674">
        <f t="shared" si="17"/>
        <v>0</v>
      </c>
      <c r="P105" s="682"/>
      <c r="Q105" s="286"/>
      <c r="R105" s="287"/>
      <c r="S105" s="280"/>
      <c r="T105" s="280"/>
      <c r="U105" s="280"/>
      <c r="V105" s="280"/>
      <c r="W105" s="280"/>
      <c r="X105" s="280"/>
      <c r="Y105" s="280"/>
      <c r="Z105" s="284"/>
      <c r="AA105" s="284"/>
      <c r="AB105" s="284"/>
      <c r="AC105" s="284"/>
      <c r="AD105" s="284"/>
      <c r="AE105" s="284"/>
      <c r="AF105" s="447"/>
      <c r="AG105" s="447"/>
      <c r="AH105" s="447"/>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row>
    <row r="106" spans="1:67" s="88" customFormat="1" ht="10.55" customHeight="1" x14ac:dyDescent="0.2">
      <c r="A106" s="1011" t="s">
        <v>345</v>
      </c>
      <c r="B106" s="2783"/>
      <c r="C106" s="2784"/>
      <c r="D106" s="2785"/>
      <c r="E106" s="2810">
        <f>SUM(E107:E119)</f>
        <v>0</v>
      </c>
      <c r="F106" s="2811"/>
      <c r="G106" s="2747"/>
      <c r="H106" s="2748"/>
      <c r="I106" s="1435">
        <f>IF(E106=0,0,J106/E106)</f>
        <v>0</v>
      </c>
      <c r="J106" s="1423">
        <f>SUM(J107:J119)</f>
        <v>0</v>
      </c>
      <c r="K106" s="2749">
        <f>IF(E106=0,0,M106/E106*100)</f>
        <v>0</v>
      </c>
      <c r="L106" s="2750"/>
      <c r="M106" s="1430">
        <f>SUM(M107:M119)</f>
        <v>0</v>
      </c>
      <c r="N106" s="1106"/>
      <c r="O106" s="387">
        <f>IF(H106="",G106,H106)</f>
        <v>0</v>
      </c>
      <c r="P106" s="682"/>
      <c r="Q106" s="286"/>
      <c r="R106" s="287"/>
      <c r="S106" s="280"/>
      <c r="T106" s="280"/>
      <c r="U106" s="280"/>
      <c r="V106" s="280"/>
      <c r="W106" s="280"/>
      <c r="X106" s="280"/>
      <c r="Y106" s="280"/>
      <c r="Z106" s="284"/>
      <c r="AA106" s="284"/>
      <c r="AB106" s="284"/>
      <c r="AC106" s="284"/>
      <c r="AD106" s="284"/>
      <c r="AE106" s="284"/>
      <c r="AF106" s="447"/>
      <c r="AG106" s="447"/>
      <c r="AH106" s="447"/>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row>
    <row r="107" spans="1:67" s="88" customFormat="1" ht="10.55" customHeight="1" x14ac:dyDescent="0.2">
      <c r="A107" s="1013" t="s">
        <v>458</v>
      </c>
      <c r="B107" s="2790"/>
      <c r="C107" s="2791"/>
      <c r="D107" s="2792"/>
      <c r="E107" s="2734"/>
      <c r="F107" s="2735"/>
      <c r="G107" s="1785">
        <v>20</v>
      </c>
      <c r="H107" s="524"/>
      <c r="I107" s="1409">
        <f t="shared" ref="I107:I120" si="27">IF($O107&gt;0,-PMT(($I$9),$O107,1),0)</f>
        <v>6.4147128734474465E-2</v>
      </c>
      <c r="J107" s="1421">
        <f t="shared" ref="J107:J119" si="28">ROUND(E107*I107,0)</f>
        <v>0</v>
      </c>
      <c r="K107" s="678">
        <v>2.5</v>
      </c>
      <c r="L107" s="1002"/>
      <c r="M107" s="1428">
        <f t="shared" ref="M107:M120" si="29">ROUND(E107/100*IF(ISBLANK(L107),K107,L107),0)</f>
        <v>0</v>
      </c>
      <c r="N107" s="1106"/>
      <c r="O107" s="674">
        <f t="shared" ref="O107:O120" si="30">IF(ISBLANK(H107),G107,H107)</f>
        <v>20</v>
      </c>
      <c r="P107" s="682"/>
      <c r="Q107" s="286"/>
      <c r="R107" s="287"/>
      <c r="S107" s="280"/>
      <c r="T107" s="280"/>
      <c r="U107" s="280"/>
      <c r="V107" s="280"/>
      <c r="W107" s="280"/>
      <c r="X107" s="280"/>
      <c r="Y107" s="280"/>
      <c r="Z107" s="284"/>
      <c r="AA107" s="284"/>
      <c r="AB107" s="284"/>
      <c r="AC107" s="284"/>
      <c r="AD107" s="284"/>
      <c r="AE107" s="284"/>
      <c r="AF107" s="447"/>
      <c r="AG107" s="447"/>
      <c r="AH107" s="447"/>
      <c r="AI107" s="382"/>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row>
    <row r="108" spans="1:67" s="88" customFormat="1" ht="10.55" customHeight="1" x14ac:dyDescent="0.2">
      <c r="A108" s="1013" t="s">
        <v>459</v>
      </c>
      <c r="B108" s="2807"/>
      <c r="C108" s="2808"/>
      <c r="D108" s="2809"/>
      <c r="E108" s="2561"/>
      <c r="F108" s="2562"/>
      <c r="G108" s="1785">
        <v>20</v>
      </c>
      <c r="H108" s="524"/>
      <c r="I108" s="1409">
        <f t="shared" si="27"/>
        <v>6.4147128734474465E-2</v>
      </c>
      <c r="J108" s="1421">
        <f t="shared" si="28"/>
        <v>0</v>
      </c>
      <c r="K108" s="678">
        <v>2.5</v>
      </c>
      <c r="L108" s="1002"/>
      <c r="M108" s="1428">
        <f t="shared" si="29"/>
        <v>0</v>
      </c>
      <c r="N108" s="1106"/>
      <c r="O108" s="674">
        <f t="shared" si="30"/>
        <v>20</v>
      </c>
      <c r="P108" s="682"/>
      <c r="Q108" s="286"/>
      <c r="R108" s="287"/>
      <c r="S108" s="280"/>
      <c r="T108" s="280"/>
      <c r="U108" s="280"/>
      <c r="V108" s="280"/>
      <c r="W108" s="280"/>
      <c r="X108" s="280"/>
      <c r="Y108" s="280"/>
      <c r="Z108" s="284"/>
      <c r="AA108" s="284"/>
      <c r="AB108" s="284"/>
      <c r="AC108" s="284"/>
      <c r="AD108" s="284"/>
      <c r="AE108" s="284"/>
      <c r="AF108" s="447"/>
      <c r="AG108" s="447"/>
      <c r="AH108" s="447"/>
      <c r="AI108" s="382"/>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row>
    <row r="109" spans="1:67" s="88" customFormat="1" ht="10.55" customHeight="1" x14ac:dyDescent="0.2">
      <c r="A109" s="1013" t="s">
        <v>346</v>
      </c>
      <c r="B109" s="2807"/>
      <c r="C109" s="2808"/>
      <c r="D109" s="2809"/>
      <c r="E109" s="2561"/>
      <c r="F109" s="2562"/>
      <c r="G109" s="1785">
        <v>15</v>
      </c>
      <c r="H109" s="524"/>
      <c r="I109" s="1409">
        <f t="shared" si="27"/>
        <v>8.0766456051533542E-2</v>
      </c>
      <c r="J109" s="1421">
        <f t="shared" si="28"/>
        <v>0</v>
      </c>
      <c r="K109" s="678">
        <v>3.5</v>
      </c>
      <c r="L109" s="1002"/>
      <c r="M109" s="1428">
        <f t="shared" si="29"/>
        <v>0</v>
      </c>
      <c r="N109" s="1106"/>
      <c r="O109" s="674">
        <f t="shared" si="30"/>
        <v>15</v>
      </c>
      <c r="P109" s="682"/>
      <c r="Q109" s="286"/>
      <c r="R109" s="287"/>
      <c r="S109" s="280"/>
      <c r="T109" s="280"/>
      <c r="U109" s="280"/>
      <c r="V109" s="280"/>
      <c r="W109" s="280"/>
      <c r="X109" s="280"/>
      <c r="Y109" s="280"/>
      <c r="Z109" s="284"/>
      <c r="AA109" s="284"/>
      <c r="AB109" s="284"/>
      <c r="AC109" s="284"/>
      <c r="AD109" s="284"/>
      <c r="AE109" s="284"/>
      <c r="AF109" s="447"/>
      <c r="AG109" s="447"/>
      <c r="AH109" s="447"/>
      <c r="AI109" s="382"/>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row>
    <row r="110" spans="1:67" s="88" customFormat="1" ht="10.55" customHeight="1" x14ac:dyDescent="0.2">
      <c r="A110" s="1013" t="s">
        <v>347</v>
      </c>
      <c r="B110" s="2807"/>
      <c r="C110" s="2808"/>
      <c r="D110" s="2809"/>
      <c r="E110" s="2561"/>
      <c r="F110" s="2562"/>
      <c r="G110" s="1785">
        <v>15</v>
      </c>
      <c r="H110" s="524"/>
      <c r="I110" s="1409">
        <f t="shared" si="27"/>
        <v>8.0766456051533542E-2</v>
      </c>
      <c r="J110" s="1421">
        <f t="shared" si="28"/>
        <v>0</v>
      </c>
      <c r="K110" s="678">
        <v>3.5</v>
      </c>
      <c r="L110" s="1002"/>
      <c r="M110" s="1428">
        <f t="shared" si="29"/>
        <v>0</v>
      </c>
      <c r="N110" s="1106"/>
      <c r="O110" s="674">
        <f t="shared" si="30"/>
        <v>15</v>
      </c>
      <c r="P110" s="682"/>
      <c r="Q110" s="286"/>
      <c r="R110" s="287"/>
      <c r="S110" s="280"/>
      <c r="T110" s="280"/>
      <c r="U110" s="280"/>
      <c r="V110" s="280"/>
      <c r="W110" s="280"/>
      <c r="X110" s="280"/>
      <c r="Y110" s="280"/>
      <c r="Z110" s="284"/>
      <c r="AA110" s="284"/>
      <c r="AB110" s="284"/>
      <c r="AC110" s="284"/>
      <c r="AD110" s="284"/>
      <c r="AE110" s="284"/>
      <c r="AF110" s="447"/>
      <c r="AG110" s="447"/>
      <c r="AH110" s="447"/>
      <c r="AI110" s="382"/>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row>
    <row r="111" spans="1:67" s="88" customFormat="1" ht="10.55" customHeight="1" x14ac:dyDescent="0.2">
      <c r="A111" s="675"/>
      <c r="B111" s="2807"/>
      <c r="C111" s="2808"/>
      <c r="D111" s="2809"/>
      <c r="E111" s="2561"/>
      <c r="F111" s="2562"/>
      <c r="G111" s="1015"/>
      <c r="H111" s="524"/>
      <c r="I111" s="1409">
        <f t="shared" si="27"/>
        <v>0</v>
      </c>
      <c r="J111" s="1421">
        <f t="shared" si="28"/>
        <v>0</v>
      </c>
      <c r="K111" s="679"/>
      <c r="L111" s="1002"/>
      <c r="M111" s="1428">
        <f t="shared" si="29"/>
        <v>0</v>
      </c>
      <c r="N111" s="1106"/>
      <c r="O111" s="674">
        <f t="shared" si="30"/>
        <v>0</v>
      </c>
      <c r="P111" s="682"/>
      <c r="Q111" s="286"/>
      <c r="R111" s="287"/>
      <c r="S111" s="280"/>
      <c r="T111" s="280"/>
      <c r="U111" s="280"/>
      <c r="V111" s="280"/>
      <c r="W111" s="280"/>
      <c r="X111" s="280"/>
      <c r="Y111" s="280"/>
      <c r="Z111" s="284"/>
      <c r="AA111" s="284"/>
      <c r="AB111" s="284"/>
      <c r="AC111" s="284"/>
      <c r="AD111" s="284"/>
      <c r="AE111" s="284"/>
      <c r="AF111" s="447"/>
      <c r="AG111" s="447"/>
      <c r="AH111" s="447"/>
      <c r="AI111" s="382"/>
      <c r="AJ111" s="382"/>
      <c r="AK111" s="382"/>
      <c r="AL111" s="382"/>
      <c r="AM111" s="382"/>
      <c r="AN111" s="382"/>
      <c r="AO111" s="382"/>
      <c r="AP111" s="382"/>
      <c r="AQ111" s="382"/>
      <c r="AR111" s="382"/>
      <c r="AS111" s="382"/>
      <c r="AT111" s="382"/>
      <c r="AU111" s="382"/>
      <c r="AV111" s="382"/>
      <c r="AW111" s="382"/>
      <c r="AX111" s="382"/>
      <c r="AY111" s="382"/>
      <c r="AZ111" s="382"/>
      <c r="BA111" s="382"/>
      <c r="BB111" s="382"/>
      <c r="BC111" s="382"/>
      <c r="BD111" s="382"/>
      <c r="BE111" s="382"/>
      <c r="BF111" s="382"/>
      <c r="BG111" s="382"/>
      <c r="BH111" s="382"/>
      <c r="BI111" s="382"/>
      <c r="BJ111" s="382"/>
      <c r="BK111" s="382"/>
      <c r="BL111" s="382"/>
      <c r="BM111" s="382"/>
      <c r="BN111" s="382"/>
      <c r="BO111" s="382"/>
    </row>
    <row r="112" spans="1:67" s="88" customFormat="1" ht="10.55" customHeight="1" x14ac:dyDescent="0.2">
      <c r="A112" s="675"/>
      <c r="B112" s="2807"/>
      <c r="C112" s="2808"/>
      <c r="D112" s="2809"/>
      <c r="E112" s="2561"/>
      <c r="F112" s="2562"/>
      <c r="G112" s="1015"/>
      <c r="H112" s="524"/>
      <c r="I112" s="1409">
        <f t="shared" si="27"/>
        <v>0</v>
      </c>
      <c r="J112" s="1421">
        <f t="shared" si="28"/>
        <v>0</v>
      </c>
      <c r="K112" s="679"/>
      <c r="L112" s="1002"/>
      <c r="M112" s="1428">
        <f t="shared" si="29"/>
        <v>0</v>
      </c>
      <c r="N112" s="1106"/>
      <c r="O112" s="674">
        <f t="shared" si="30"/>
        <v>0</v>
      </c>
      <c r="P112" s="682"/>
      <c r="Q112" s="286"/>
      <c r="R112" s="287"/>
      <c r="S112" s="280"/>
      <c r="T112" s="280"/>
      <c r="U112" s="280"/>
      <c r="V112" s="280"/>
      <c r="W112" s="280"/>
      <c r="X112" s="280"/>
      <c r="Y112" s="280"/>
      <c r="Z112" s="284"/>
      <c r="AA112" s="284"/>
      <c r="AB112" s="284"/>
      <c r="AC112" s="284"/>
      <c r="AD112" s="284"/>
      <c r="AE112" s="284"/>
      <c r="AF112" s="447"/>
      <c r="AG112" s="447"/>
      <c r="AH112" s="447"/>
      <c r="AI112" s="382"/>
      <c r="AJ112" s="382"/>
      <c r="AK112" s="382"/>
      <c r="AL112" s="382"/>
      <c r="AM112" s="382"/>
      <c r="AN112" s="382"/>
      <c r="AO112" s="382"/>
      <c r="AP112" s="382"/>
      <c r="AQ112" s="382"/>
      <c r="AR112" s="382"/>
      <c r="AS112" s="382"/>
      <c r="AT112" s="382"/>
      <c r="AU112" s="382"/>
      <c r="AV112" s="382"/>
      <c r="AW112" s="382"/>
      <c r="AX112" s="382"/>
      <c r="AY112" s="382"/>
      <c r="AZ112" s="382"/>
      <c r="BA112" s="382"/>
      <c r="BB112" s="382"/>
      <c r="BC112" s="382"/>
      <c r="BD112" s="382"/>
      <c r="BE112" s="382"/>
      <c r="BF112" s="382"/>
      <c r="BG112" s="382"/>
      <c r="BH112" s="382"/>
      <c r="BI112" s="382"/>
      <c r="BJ112" s="382"/>
      <c r="BK112" s="382"/>
      <c r="BL112" s="382"/>
      <c r="BM112" s="382"/>
      <c r="BN112" s="382"/>
      <c r="BO112" s="382"/>
    </row>
    <row r="113" spans="1:67" s="88" customFormat="1" ht="10.55" customHeight="1" x14ac:dyDescent="0.2">
      <c r="A113" s="675"/>
      <c r="B113" s="2807"/>
      <c r="C113" s="2808"/>
      <c r="D113" s="2809"/>
      <c r="E113" s="2561"/>
      <c r="F113" s="2562"/>
      <c r="G113" s="1015"/>
      <c r="H113" s="524"/>
      <c r="I113" s="1409">
        <f t="shared" si="27"/>
        <v>0</v>
      </c>
      <c r="J113" s="1421">
        <f t="shared" si="28"/>
        <v>0</v>
      </c>
      <c r="K113" s="679"/>
      <c r="L113" s="1002"/>
      <c r="M113" s="1428">
        <f t="shared" si="29"/>
        <v>0</v>
      </c>
      <c r="N113" s="1106"/>
      <c r="O113" s="674">
        <f t="shared" si="30"/>
        <v>0</v>
      </c>
      <c r="P113" s="682"/>
      <c r="Q113" s="286"/>
      <c r="R113" s="287"/>
      <c r="S113" s="280"/>
      <c r="T113" s="280"/>
      <c r="U113" s="280"/>
      <c r="V113" s="280"/>
      <c r="W113" s="280"/>
      <c r="X113" s="280"/>
      <c r="Y113" s="280"/>
      <c r="Z113" s="284"/>
      <c r="AA113" s="284"/>
      <c r="AB113" s="284"/>
      <c r="AC113" s="284"/>
      <c r="AD113" s="284"/>
      <c r="AE113" s="284"/>
      <c r="AF113" s="447"/>
      <c r="AG113" s="447"/>
      <c r="AH113" s="447"/>
      <c r="AI113" s="382"/>
      <c r="AJ113" s="382"/>
      <c r="AK113" s="382"/>
      <c r="AL113" s="382"/>
      <c r="AM113" s="382"/>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c r="BH113" s="382"/>
      <c r="BI113" s="382"/>
      <c r="BJ113" s="382"/>
      <c r="BK113" s="382"/>
      <c r="BL113" s="382"/>
      <c r="BM113" s="382"/>
      <c r="BN113" s="382"/>
      <c r="BO113" s="382"/>
    </row>
    <row r="114" spans="1:67" s="88" customFormat="1" ht="10.55" customHeight="1" x14ac:dyDescent="0.2">
      <c r="A114" s="675"/>
      <c r="B114" s="2807"/>
      <c r="C114" s="2808"/>
      <c r="D114" s="2809"/>
      <c r="E114" s="2561"/>
      <c r="F114" s="2562"/>
      <c r="G114" s="1015"/>
      <c r="H114" s="524"/>
      <c r="I114" s="1409">
        <f t="shared" si="27"/>
        <v>0</v>
      </c>
      <c r="J114" s="1421">
        <f t="shared" si="28"/>
        <v>0</v>
      </c>
      <c r="K114" s="679"/>
      <c r="L114" s="1002"/>
      <c r="M114" s="1428">
        <f t="shared" si="29"/>
        <v>0</v>
      </c>
      <c r="N114" s="1106"/>
      <c r="O114" s="674">
        <f t="shared" si="30"/>
        <v>0</v>
      </c>
      <c r="P114" s="682"/>
      <c r="Q114" s="286"/>
      <c r="R114" s="287"/>
      <c r="S114" s="280"/>
      <c r="T114" s="280"/>
      <c r="U114" s="280"/>
      <c r="V114" s="280"/>
      <c r="W114" s="280"/>
      <c r="X114" s="280"/>
      <c r="Y114" s="280"/>
      <c r="Z114" s="284"/>
      <c r="AA114" s="284"/>
      <c r="AB114" s="284"/>
      <c r="AC114" s="284"/>
      <c r="AD114" s="284"/>
      <c r="AE114" s="284"/>
      <c r="AF114" s="447"/>
      <c r="AG114" s="447"/>
      <c r="AH114" s="447"/>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82"/>
      <c r="BE114" s="382"/>
      <c r="BF114" s="382"/>
      <c r="BG114" s="382"/>
      <c r="BH114" s="382"/>
      <c r="BI114" s="382"/>
      <c r="BJ114" s="382"/>
      <c r="BK114" s="382"/>
      <c r="BL114" s="382"/>
      <c r="BM114" s="382"/>
      <c r="BN114" s="382"/>
      <c r="BO114" s="382"/>
    </row>
    <row r="115" spans="1:67" s="88" customFormat="1" ht="10.55" customHeight="1" x14ac:dyDescent="0.2">
      <c r="A115" s="675"/>
      <c r="B115" s="2807"/>
      <c r="C115" s="2808"/>
      <c r="D115" s="2809"/>
      <c r="E115" s="2561"/>
      <c r="F115" s="2562"/>
      <c r="G115" s="1015"/>
      <c r="H115" s="524"/>
      <c r="I115" s="1409">
        <f t="shared" si="27"/>
        <v>0</v>
      </c>
      <c r="J115" s="1421">
        <f t="shared" si="28"/>
        <v>0</v>
      </c>
      <c r="K115" s="679"/>
      <c r="L115" s="1002"/>
      <c r="M115" s="1428">
        <f t="shared" si="29"/>
        <v>0</v>
      </c>
      <c r="N115" s="1106"/>
      <c r="O115" s="674">
        <f t="shared" si="30"/>
        <v>0</v>
      </c>
      <c r="P115" s="682"/>
      <c r="Q115" s="286"/>
      <c r="R115" s="287"/>
      <c r="S115" s="280"/>
      <c r="T115" s="280"/>
      <c r="U115" s="280"/>
      <c r="V115" s="280"/>
      <c r="W115" s="280"/>
      <c r="X115" s="280"/>
      <c r="Y115" s="280"/>
      <c r="Z115" s="284"/>
      <c r="AA115" s="284"/>
      <c r="AB115" s="284"/>
      <c r="AC115" s="284"/>
      <c r="AD115" s="284"/>
      <c r="AE115" s="284"/>
      <c r="AF115" s="447"/>
      <c r="AG115" s="447"/>
      <c r="AH115" s="447"/>
      <c r="AI115" s="382"/>
      <c r="AJ115" s="382"/>
      <c r="AK115" s="382"/>
      <c r="AL115" s="382"/>
      <c r="AM115" s="382"/>
      <c r="AN115" s="382"/>
      <c r="AO115" s="382"/>
      <c r="AP115" s="382"/>
      <c r="AQ115" s="382"/>
      <c r="AR115" s="382"/>
      <c r="AS115" s="382"/>
      <c r="AT115" s="382"/>
      <c r="AU115" s="382"/>
      <c r="AV115" s="382"/>
      <c r="AW115" s="382"/>
      <c r="AX115" s="382"/>
      <c r="AY115" s="382"/>
      <c r="AZ115" s="382"/>
      <c r="BA115" s="382"/>
      <c r="BB115" s="382"/>
      <c r="BC115" s="382"/>
      <c r="BD115" s="382"/>
      <c r="BE115" s="382"/>
      <c r="BF115" s="382"/>
      <c r="BG115" s="382"/>
      <c r="BH115" s="382"/>
      <c r="BI115" s="382"/>
      <c r="BJ115" s="382"/>
      <c r="BK115" s="382"/>
      <c r="BL115" s="382"/>
      <c r="BM115" s="382"/>
      <c r="BN115" s="382"/>
      <c r="BO115" s="382"/>
    </row>
    <row r="116" spans="1:67" s="88" customFormat="1" ht="10.55" customHeight="1" x14ac:dyDescent="0.2">
      <c r="A116" s="675"/>
      <c r="B116" s="2807"/>
      <c r="C116" s="2808"/>
      <c r="D116" s="2809"/>
      <c r="E116" s="2561"/>
      <c r="F116" s="2562"/>
      <c r="G116" s="1015"/>
      <c r="H116" s="524"/>
      <c r="I116" s="1409">
        <f t="shared" si="27"/>
        <v>0</v>
      </c>
      <c r="J116" s="1421">
        <f t="shared" si="28"/>
        <v>0</v>
      </c>
      <c r="K116" s="679"/>
      <c r="L116" s="1002"/>
      <c r="M116" s="1428">
        <f t="shared" si="29"/>
        <v>0</v>
      </c>
      <c r="N116" s="1106"/>
      <c r="O116" s="674">
        <f t="shared" si="30"/>
        <v>0</v>
      </c>
      <c r="P116" s="682"/>
      <c r="Q116" s="286"/>
      <c r="R116" s="287"/>
      <c r="S116" s="280"/>
      <c r="T116" s="280"/>
      <c r="U116" s="280"/>
      <c r="V116" s="280"/>
      <c r="W116" s="280"/>
      <c r="X116" s="280"/>
      <c r="Y116" s="280"/>
      <c r="Z116" s="284"/>
      <c r="AA116" s="284"/>
      <c r="AB116" s="284"/>
      <c r="AC116" s="284"/>
      <c r="AD116" s="284"/>
      <c r="AE116" s="284"/>
      <c r="AF116" s="447"/>
      <c r="AG116" s="447"/>
      <c r="AH116" s="447"/>
      <c r="AI116" s="382"/>
      <c r="AJ116" s="382"/>
      <c r="AK116" s="382"/>
      <c r="AL116" s="382"/>
      <c r="AM116" s="382"/>
      <c r="AN116" s="382"/>
      <c r="AO116" s="382"/>
      <c r="AP116" s="382"/>
      <c r="AQ116" s="382"/>
      <c r="AR116" s="382"/>
      <c r="AS116" s="382"/>
      <c r="AT116" s="382"/>
      <c r="AU116" s="382"/>
      <c r="AV116" s="382"/>
      <c r="AW116" s="382"/>
      <c r="AX116" s="382"/>
      <c r="AY116" s="382"/>
      <c r="AZ116" s="382"/>
      <c r="BA116" s="382"/>
      <c r="BB116" s="382"/>
      <c r="BC116" s="382"/>
      <c r="BD116" s="382"/>
      <c r="BE116" s="382"/>
      <c r="BF116" s="382"/>
      <c r="BG116" s="382"/>
      <c r="BH116" s="382"/>
      <c r="BI116" s="382"/>
      <c r="BJ116" s="382"/>
      <c r="BK116" s="382"/>
      <c r="BL116" s="382"/>
      <c r="BM116" s="382"/>
      <c r="BN116" s="382"/>
      <c r="BO116" s="382"/>
    </row>
    <row r="117" spans="1:67" s="88" customFormat="1" ht="10.55" customHeight="1" x14ac:dyDescent="0.2">
      <c r="A117" s="675"/>
      <c r="B117" s="2807"/>
      <c r="C117" s="2808"/>
      <c r="D117" s="2809"/>
      <c r="E117" s="2561"/>
      <c r="F117" s="2562"/>
      <c r="G117" s="1015"/>
      <c r="H117" s="524"/>
      <c r="I117" s="1409">
        <f t="shared" si="27"/>
        <v>0</v>
      </c>
      <c r="J117" s="1421">
        <f t="shared" si="28"/>
        <v>0</v>
      </c>
      <c r="K117" s="679"/>
      <c r="L117" s="1002"/>
      <c r="M117" s="1428">
        <f t="shared" si="29"/>
        <v>0</v>
      </c>
      <c r="N117" s="1106"/>
      <c r="O117" s="674">
        <f t="shared" si="30"/>
        <v>0</v>
      </c>
      <c r="P117" s="682"/>
      <c r="Q117" s="286"/>
      <c r="R117" s="287"/>
      <c r="S117" s="280"/>
      <c r="T117" s="280"/>
      <c r="U117" s="280"/>
      <c r="V117" s="280"/>
      <c r="W117" s="280"/>
      <c r="X117" s="280"/>
      <c r="Y117" s="280"/>
      <c r="Z117" s="284"/>
      <c r="AA117" s="284"/>
      <c r="AB117" s="284"/>
      <c r="AC117" s="284"/>
      <c r="AD117" s="284"/>
      <c r="AE117" s="284"/>
      <c r="AF117" s="447"/>
      <c r="AG117" s="447"/>
      <c r="AH117" s="447"/>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c r="BH117" s="382"/>
      <c r="BI117" s="382"/>
      <c r="BJ117" s="382"/>
      <c r="BK117" s="382"/>
      <c r="BL117" s="382"/>
      <c r="BM117" s="382"/>
      <c r="BN117" s="382"/>
      <c r="BO117" s="382"/>
    </row>
    <row r="118" spans="1:67" s="88" customFormat="1" ht="10.55" customHeight="1" x14ac:dyDescent="0.2">
      <c r="A118" s="675"/>
      <c r="B118" s="2807"/>
      <c r="C118" s="2808"/>
      <c r="D118" s="2809"/>
      <c r="E118" s="2561"/>
      <c r="F118" s="2562"/>
      <c r="G118" s="1015"/>
      <c r="H118" s="524"/>
      <c r="I118" s="1409">
        <f t="shared" si="27"/>
        <v>0</v>
      </c>
      <c r="J118" s="1421">
        <f t="shared" si="28"/>
        <v>0</v>
      </c>
      <c r="K118" s="679"/>
      <c r="L118" s="1002"/>
      <c r="M118" s="1428">
        <f t="shared" si="29"/>
        <v>0</v>
      </c>
      <c r="N118" s="1106"/>
      <c r="O118" s="674">
        <f t="shared" si="30"/>
        <v>0</v>
      </c>
      <c r="P118" s="682"/>
      <c r="Q118" s="286"/>
      <c r="R118" s="287"/>
      <c r="S118" s="280"/>
      <c r="T118" s="280"/>
      <c r="U118" s="280"/>
      <c r="V118" s="280"/>
      <c r="W118" s="280"/>
      <c r="X118" s="280"/>
      <c r="Y118" s="280"/>
      <c r="Z118" s="284"/>
      <c r="AA118" s="284"/>
      <c r="AB118" s="284"/>
      <c r="AC118" s="284"/>
      <c r="AD118" s="284"/>
      <c r="AE118" s="284"/>
      <c r="AF118" s="447"/>
      <c r="AG118" s="447"/>
      <c r="AH118" s="447"/>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row>
    <row r="119" spans="1:67" s="88" customFormat="1" ht="10.55" customHeight="1" x14ac:dyDescent="0.2">
      <c r="A119" s="675"/>
      <c r="B119" s="2807"/>
      <c r="C119" s="2808"/>
      <c r="D119" s="2809"/>
      <c r="E119" s="2561"/>
      <c r="F119" s="2562"/>
      <c r="G119" s="1015"/>
      <c r="H119" s="524"/>
      <c r="I119" s="1409">
        <f t="shared" si="27"/>
        <v>0</v>
      </c>
      <c r="J119" s="1421">
        <f t="shared" si="28"/>
        <v>0</v>
      </c>
      <c r="K119" s="679"/>
      <c r="L119" s="1002"/>
      <c r="M119" s="1428">
        <f t="shared" si="29"/>
        <v>0</v>
      </c>
      <c r="N119" s="1106"/>
      <c r="O119" s="674">
        <f t="shared" si="30"/>
        <v>0</v>
      </c>
      <c r="P119" s="682"/>
      <c r="Q119" s="286"/>
      <c r="R119" s="287"/>
      <c r="S119" s="280"/>
      <c r="T119" s="280"/>
      <c r="U119" s="280"/>
      <c r="V119" s="280"/>
      <c r="W119" s="280"/>
      <c r="X119" s="280"/>
      <c r="Y119" s="280"/>
      <c r="Z119" s="284"/>
      <c r="AA119" s="284"/>
      <c r="AB119" s="284"/>
      <c r="AC119" s="284"/>
      <c r="AD119" s="284"/>
      <c r="AE119" s="284"/>
      <c r="AF119" s="447"/>
      <c r="AG119" s="447"/>
      <c r="AH119" s="447"/>
      <c r="AI119" s="382"/>
      <c r="AJ119" s="382"/>
      <c r="AK119" s="382"/>
      <c r="AL119" s="382"/>
      <c r="AM119" s="382"/>
      <c r="AN119" s="382"/>
      <c r="AO119" s="382"/>
      <c r="AP119" s="382"/>
      <c r="AQ119" s="382"/>
      <c r="AR119" s="382"/>
      <c r="AS119" s="382"/>
      <c r="AT119" s="382"/>
      <c r="AU119" s="382"/>
      <c r="AV119" s="382"/>
      <c r="AW119" s="382"/>
      <c r="AX119" s="382"/>
      <c r="AY119" s="382"/>
      <c r="AZ119" s="382"/>
      <c r="BA119" s="382"/>
      <c r="BB119" s="382"/>
      <c r="BC119" s="382"/>
      <c r="BD119" s="382"/>
      <c r="BE119" s="382"/>
      <c r="BF119" s="382"/>
      <c r="BG119" s="382"/>
      <c r="BH119" s="382"/>
      <c r="BI119" s="382"/>
      <c r="BJ119" s="382"/>
      <c r="BK119" s="382"/>
      <c r="BL119" s="382"/>
      <c r="BM119" s="382"/>
      <c r="BN119" s="382"/>
      <c r="BO119" s="382"/>
    </row>
    <row r="120" spans="1:67" s="88" customFormat="1" ht="10.55" customHeight="1" x14ac:dyDescent="0.2">
      <c r="A120" s="1017"/>
      <c r="B120" s="2804"/>
      <c r="C120" s="2805"/>
      <c r="D120" s="2806"/>
      <c r="E120" s="2793"/>
      <c r="F120" s="2794"/>
      <c r="G120" s="1018"/>
      <c r="H120" s="1019"/>
      <c r="I120" s="1436">
        <f t="shared" si="27"/>
        <v>0</v>
      </c>
      <c r="J120" s="1422"/>
      <c r="K120" s="680"/>
      <c r="L120" s="1020"/>
      <c r="M120" s="1429">
        <f t="shared" si="29"/>
        <v>0</v>
      </c>
      <c r="N120" s="1106"/>
      <c r="O120" s="674">
        <f t="shared" si="30"/>
        <v>0</v>
      </c>
      <c r="P120" s="682"/>
      <c r="Q120" s="286"/>
      <c r="R120" s="287"/>
      <c r="S120" s="280"/>
      <c r="T120" s="280"/>
      <c r="U120" s="280"/>
      <c r="V120" s="280"/>
      <c r="W120" s="280"/>
      <c r="X120" s="280"/>
      <c r="Y120" s="280"/>
      <c r="Z120" s="284"/>
      <c r="AA120" s="284"/>
      <c r="AB120" s="284"/>
      <c r="AC120" s="284"/>
      <c r="AD120" s="284"/>
      <c r="AE120" s="284"/>
      <c r="AF120" s="447"/>
      <c r="AG120" s="447"/>
      <c r="AH120" s="447"/>
      <c r="AI120" s="382"/>
      <c r="AJ120" s="382"/>
      <c r="AK120" s="382"/>
      <c r="AL120" s="382"/>
      <c r="AM120" s="382"/>
      <c r="AN120" s="382"/>
      <c r="AO120" s="382"/>
      <c r="AP120" s="382"/>
      <c r="AQ120" s="382"/>
      <c r="AR120" s="382"/>
      <c r="AS120" s="382"/>
      <c r="AT120" s="382"/>
      <c r="AU120" s="382"/>
      <c r="AV120" s="382"/>
      <c r="AW120" s="382"/>
      <c r="AX120" s="382"/>
      <c r="AY120" s="382"/>
      <c r="AZ120" s="382"/>
      <c r="BA120" s="382"/>
      <c r="BB120" s="382"/>
      <c r="BC120" s="382"/>
      <c r="BD120" s="382"/>
      <c r="BE120" s="382"/>
      <c r="BF120" s="382"/>
      <c r="BG120" s="382"/>
      <c r="BH120" s="382"/>
      <c r="BI120" s="382"/>
      <c r="BJ120" s="382"/>
      <c r="BK120" s="382"/>
      <c r="BL120" s="382"/>
      <c r="BM120" s="382"/>
      <c r="BN120" s="382"/>
      <c r="BO120" s="382"/>
    </row>
    <row r="121" spans="1:67" s="88" customFormat="1" ht="10.55" customHeight="1" x14ac:dyDescent="0.2">
      <c r="A121" s="1011" t="s">
        <v>348</v>
      </c>
      <c r="B121" s="2783"/>
      <c r="C121" s="2784"/>
      <c r="D121" s="2785"/>
      <c r="E121" s="2810">
        <f>SUM(E122:E134)</f>
        <v>0</v>
      </c>
      <c r="F121" s="2811"/>
      <c r="G121" s="2747"/>
      <c r="H121" s="2748"/>
      <c r="I121" s="1435">
        <f>IF(E121=0,0,J121/E121)</f>
        <v>0</v>
      </c>
      <c r="J121" s="1423">
        <f>SUM(J122:J134)</f>
        <v>0</v>
      </c>
      <c r="K121" s="2749">
        <f>IF(E121=0,0,M121/E121*100)</f>
        <v>0</v>
      </c>
      <c r="L121" s="2750"/>
      <c r="M121" s="1430">
        <f>SUM(M122:M134)</f>
        <v>0</v>
      </c>
      <c r="N121" s="1106"/>
      <c r="O121" s="387">
        <f>IF(H121="",G121,H121)</f>
        <v>0</v>
      </c>
      <c r="P121" s="682"/>
      <c r="Q121" s="286"/>
      <c r="R121" s="287"/>
      <c r="S121" s="280"/>
      <c r="T121" s="280"/>
      <c r="U121" s="280"/>
      <c r="V121" s="280"/>
      <c r="W121" s="280"/>
      <c r="X121" s="280"/>
      <c r="Y121" s="280"/>
      <c r="Z121" s="284"/>
      <c r="AA121" s="284"/>
      <c r="AB121" s="284"/>
      <c r="AC121" s="284"/>
      <c r="AD121" s="284"/>
      <c r="AE121" s="284"/>
      <c r="AF121" s="447"/>
      <c r="AG121" s="447"/>
      <c r="AH121" s="447"/>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2"/>
      <c r="BK121" s="382"/>
      <c r="BL121" s="382"/>
      <c r="BM121" s="382"/>
      <c r="BN121" s="382"/>
      <c r="BO121" s="382"/>
    </row>
    <row r="122" spans="1:67" s="88" customFormat="1" ht="10.55" customHeight="1" x14ac:dyDescent="0.2">
      <c r="A122" s="1013" t="s">
        <v>349</v>
      </c>
      <c r="B122" s="2790"/>
      <c r="C122" s="2791"/>
      <c r="D122" s="2792"/>
      <c r="E122" s="2734"/>
      <c r="F122" s="2735"/>
      <c r="G122" s="1785">
        <v>30</v>
      </c>
      <c r="H122" s="524"/>
      <c r="I122" s="1409">
        <f t="shared" ref="I122:I135" si="31">IF($O122&gt;0,-PMT(($I$9),$O122,1),0)</f>
        <v>4.7777640736176463E-2</v>
      </c>
      <c r="J122" s="1421">
        <f t="shared" ref="J122:J134" si="32">ROUND(E122*I122,0)</f>
        <v>0</v>
      </c>
      <c r="K122" s="678">
        <v>1</v>
      </c>
      <c r="L122" s="1002"/>
      <c r="M122" s="1428">
        <f t="shared" ref="M122:M135" si="33">ROUND(E122/100*IF(ISBLANK(L122),K122,L122),0)</f>
        <v>0</v>
      </c>
      <c r="N122" s="1106"/>
      <c r="O122" s="674">
        <f t="shared" ref="O122:O135" si="34">IF(ISBLANK(H122),G122,H122)</f>
        <v>30</v>
      </c>
      <c r="P122" s="682"/>
      <c r="Q122" s="286"/>
      <c r="R122" s="287"/>
      <c r="S122" s="280"/>
      <c r="T122" s="280"/>
      <c r="U122" s="280"/>
      <c r="V122" s="280"/>
      <c r="W122" s="280"/>
      <c r="X122" s="280"/>
      <c r="Y122" s="280"/>
      <c r="Z122" s="284"/>
      <c r="AA122" s="284"/>
      <c r="AB122" s="284"/>
      <c r="AC122" s="284"/>
      <c r="AD122" s="284"/>
      <c r="AE122" s="284"/>
      <c r="AF122" s="447"/>
      <c r="AG122" s="447"/>
      <c r="AH122" s="447"/>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c r="BF122" s="382"/>
      <c r="BG122" s="382"/>
      <c r="BH122" s="382"/>
      <c r="BI122" s="382"/>
      <c r="BJ122" s="382"/>
      <c r="BK122" s="382"/>
      <c r="BL122" s="382"/>
      <c r="BM122" s="382"/>
      <c r="BN122" s="382"/>
      <c r="BO122" s="382"/>
    </row>
    <row r="123" spans="1:67" s="88" customFormat="1" ht="10.55" customHeight="1" x14ac:dyDescent="0.2">
      <c r="A123" s="1013" t="s">
        <v>350</v>
      </c>
      <c r="B123" s="2807"/>
      <c r="C123" s="2808"/>
      <c r="D123" s="2809"/>
      <c r="E123" s="2561"/>
      <c r="F123" s="2562"/>
      <c r="G123" s="1785">
        <v>20</v>
      </c>
      <c r="H123" s="524"/>
      <c r="I123" s="1409">
        <f t="shared" si="31"/>
        <v>6.4147128734474465E-2</v>
      </c>
      <c r="J123" s="1421">
        <f t="shared" si="32"/>
        <v>0</v>
      </c>
      <c r="K123" s="678">
        <v>1</v>
      </c>
      <c r="L123" s="1002"/>
      <c r="M123" s="1428">
        <f t="shared" si="33"/>
        <v>0</v>
      </c>
      <c r="N123" s="1106"/>
      <c r="O123" s="674">
        <f t="shared" si="34"/>
        <v>20</v>
      </c>
      <c r="P123" s="682"/>
      <c r="Q123" s="286"/>
      <c r="R123" s="287"/>
      <c r="S123" s="280"/>
      <c r="T123" s="280"/>
      <c r="U123" s="280"/>
      <c r="V123" s="280"/>
      <c r="W123" s="280"/>
      <c r="X123" s="280"/>
      <c r="Y123" s="280"/>
      <c r="Z123" s="284"/>
      <c r="AA123" s="284"/>
      <c r="AB123" s="284"/>
      <c r="AC123" s="284"/>
      <c r="AD123" s="284"/>
      <c r="AE123" s="284"/>
      <c r="AF123" s="447"/>
      <c r="AG123" s="447"/>
      <c r="AH123" s="447"/>
      <c r="AI123" s="382"/>
      <c r="AJ123" s="382"/>
      <c r="AK123" s="382"/>
      <c r="AL123" s="382"/>
      <c r="AM123" s="382"/>
      <c r="AN123" s="382"/>
      <c r="AO123" s="382"/>
      <c r="AP123" s="382"/>
      <c r="AQ123" s="382"/>
      <c r="AR123" s="382"/>
      <c r="AS123" s="382"/>
      <c r="AT123" s="382"/>
      <c r="AU123" s="382"/>
      <c r="AV123" s="382"/>
      <c r="AW123" s="382"/>
      <c r="AX123" s="382"/>
      <c r="AY123" s="382"/>
      <c r="AZ123" s="382"/>
      <c r="BA123" s="382"/>
      <c r="BB123" s="382"/>
      <c r="BC123" s="382"/>
      <c r="BD123" s="382"/>
      <c r="BE123" s="382"/>
      <c r="BF123" s="382"/>
      <c r="BG123" s="382"/>
      <c r="BH123" s="382"/>
      <c r="BI123" s="382"/>
      <c r="BJ123" s="382"/>
      <c r="BK123" s="382"/>
      <c r="BL123" s="382"/>
      <c r="BM123" s="382"/>
      <c r="BN123" s="382"/>
      <c r="BO123" s="382"/>
    </row>
    <row r="124" spans="1:67" s="88" customFormat="1" ht="10.55" customHeight="1" x14ac:dyDescent="0.2">
      <c r="A124" s="1013" t="s">
        <v>351</v>
      </c>
      <c r="B124" s="2807"/>
      <c r="C124" s="2808"/>
      <c r="D124" s="2809"/>
      <c r="E124" s="2561"/>
      <c r="F124" s="2562"/>
      <c r="G124" s="1785">
        <v>30</v>
      </c>
      <c r="H124" s="524"/>
      <c r="I124" s="1409">
        <f t="shared" si="31"/>
        <v>4.7777640736176463E-2</v>
      </c>
      <c r="J124" s="1421">
        <f t="shared" si="32"/>
        <v>0</v>
      </c>
      <c r="K124" s="678">
        <v>1</v>
      </c>
      <c r="L124" s="1002"/>
      <c r="M124" s="1428">
        <f t="shared" si="33"/>
        <v>0</v>
      </c>
      <c r="N124" s="1106"/>
      <c r="O124" s="674">
        <f t="shared" si="34"/>
        <v>30</v>
      </c>
      <c r="P124" s="682"/>
      <c r="Q124" s="286"/>
      <c r="R124" s="287"/>
      <c r="S124" s="280"/>
      <c r="T124" s="280"/>
      <c r="U124" s="280"/>
      <c r="V124" s="280"/>
      <c r="W124" s="280"/>
      <c r="X124" s="280"/>
      <c r="Y124" s="280"/>
      <c r="Z124" s="284"/>
      <c r="AA124" s="284"/>
      <c r="AB124" s="284"/>
      <c r="AC124" s="284"/>
      <c r="AD124" s="284"/>
      <c r="AE124" s="284"/>
      <c r="AF124" s="447"/>
      <c r="AG124" s="447"/>
      <c r="AH124" s="447"/>
      <c r="AI124" s="382"/>
      <c r="AJ124" s="382"/>
      <c r="AK124" s="382"/>
      <c r="AL124" s="382"/>
      <c r="AM124" s="382"/>
      <c r="AN124" s="382"/>
      <c r="AO124" s="382"/>
      <c r="AP124" s="382"/>
      <c r="AQ124" s="382"/>
      <c r="AR124" s="382"/>
      <c r="AS124" s="382"/>
      <c r="AT124" s="382"/>
      <c r="AU124" s="382"/>
      <c r="AV124" s="382"/>
      <c r="AW124" s="382"/>
      <c r="AX124" s="382"/>
      <c r="AY124" s="382"/>
      <c r="AZ124" s="382"/>
      <c r="BA124" s="382"/>
      <c r="BB124" s="382"/>
      <c r="BC124" s="382"/>
      <c r="BD124" s="382"/>
      <c r="BE124" s="382"/>
      <c r="BF124" s="382"/>
      <c r="BG124" s="382"/>
      <c r="BH124" s="382"/>
      <c r="BI124" s="382"/>
      <c r="BJ124" s="382"/>
      <c r="BK124" s="382"/>
      <c r="BL124" s="382"/>
      <c r="BM124" s="382"/>
      <c r="BN124" s="382"/>
      <c r="BO124" s="382"/>
    </row>
    <row r="125" spans="1:67" s="88" customFormat="1" ht="10.55" customHeight="1" x14ac:dyDescent="0.2">
      <c r="A125" s="1013" t="s">
        <v>352</v>
      </c>
      <c r="B125" s="2807"/>
      <c r="C125" s="2808"/>
      <c r="D125" s="2809"/>
      <c r="E125" s="2561"/>
      <c r="F125" s="2562"/>
      <c r="G125" s="1785">
        <v>20</v>
      </c>
      <c r="H125" s="524"/>
      <c r="I125" s="1409">
        <f t="shared" si="31"/>
        <v>6.4147128734474465E-2</v>
      </c>
      <c r="J125" s="1421">
        <f t="shared" si="32"/>
        <v>0</v>
      </c>
      <c r="K125" s="678">
        <v>1.5</v>
      </c>
      <c r="L125" s="1002"/>
      <c r="M125" s="1428">
        <f t="shared" si="33"/>
        <v>0</v>
      </c>
      <c r="N125" s="1106"/>
      <c r="O125" s="674">
        <f t="shared" si="34"/>
        <v>20</v>
      </c>
      <c r="P125" s="682"/>
      <c r="Q125" s="286"/>
      <c r="R125" s="287"/>
      <c r="S125" s="280"/>
      <c r="T125" s="280"/>
      <c r="U125" s="280"/>
      <c r="V125" s="280"/>
      <c r="W125" s="280"/>
      <c r="X125" s="280"/>
      <c r="Y125" s="280"/>
      <c r="Z125" s="284"/>
      <c r="AA125" s="284"/>
      <c r="AB125" s="284"/>
      <c r="AC125" s="284"/>
      <c r="AD125" s="284"/>
      <c r="AE125" s="284"/>
      <c r="AF125" s="447"/>
      <c r="AG125" s="447"/>
      <c r="AH125" s="447"/>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82"/>
      <c r="BH125" s="382"/>
      <c r="BI125" s="382"/>
      <c r="BJ125" s="382"/>
      <c r="BK125" s="382"/>
      <c r="BL125" s="382"/>
      <c r="BM125" s="382"/>
      <c r="BN125" s="382"/>
      <c r="BO125" s="382"/>
    </row>
    <row r="126" spans="1:67" s="88" customFormat="1" ht="10.55" customHeight="1" x14ac:dyDescent="0.2">
      <c r="A126" s="1013" t="s">
        <v>353</v>
      </c>
      <c r="B126" s="2807"/>
      <c r="C126" s="2808"/>
      <c r="D126" s="2809"/>
      <c r="E126" s="2561"/>
      <c r="F126" s="2562"/>
      <c r="G126" s="1785">
        <v>30</v>
      </c>
      <c r="H126" s="524"/>
      <c r="I126" s="1409">
        <f t="shared" si="31"/>
        <v>4.7777640736176463E-2</v>
      </c>
      <c r="J126" s="1421">
        <f t="shared" si="32"/>
        <v>0</v>
      </c>
      <c r="K126" s="678">
        <v>1</v>
      </c>
      <c r="L126" s="1002"/>
      <c r="M126" s="1428">
        <f t="shared" si="33"/>
        <v>0</v>
      </c>
      <c r="N126" s="1106"/>
      <c r="O126" s="674">
        <f t="shared" si="34"/>
        <v>30</v>
      </c>
      <c r="P126" s="682"/>
      <c r="Q126" s="286"/>
      <c r="R126" s="287"/>
      <c r="S126" s="280"/>
      <c r="T126" s="280"/>
      <c r="U126" s="280"/>
      <c r="V126" s="280"/>
      <c r="W126" s="280"/>
      <c r="X126" s="280"/>
      <c r="Y126" s="280"/>
      <c r="Z126" s="284"/>
      <c r="AA126" s="284"/>
      <c r="AB126" s="284"/>
      <c r="AC126" s="284"/>
      <c r="AD126" s="284"/>
      <c r="AE126" s="284"/>
      <c r="AF126" s="447"/>
      <c r="AG126" s="447"/>
      <c r="AH126" s="447"/>
      <c r="AI126" s="382"/>
      <c r="AJ126" s="382"/>
      <c r="AK126" s="382"/>
      <c r="AL126" s="382"/>
      <c r="AM126" s="382"/>
      <c r="AN126" s="382"/>
      <c r="AO126" s="382"/>
      <c r="AP126" s="382"/>
      <c r="AQ126" s="382"/>
      <c r="AR126" s="382"/>
      <c r="AS126" s="382"/>
      <c r="AT126" s="382"/>
      <c r="AU126" s="382"/>
      <c r="AV126" s="382"/>
      <c r="AW126" s="382"/>
      <c r="AX126" s="382"/>
      <c r="AY126" s="382"/>
      <c r="AZ126" s="382"/>
      <c r="BA126" s="382"/>
      <c r="BB126" s="382"/>
      <c r="BC126" s="382"/>
      <c r="BD126" s="382"/>
      <c r="BE126" s="382"/>
      <c r="BF126" s="382"/>
      <c r="BG126" s="382"/>
      <c r="BH126" s="382"/>
      <c r="BI126" s="382"/>
      <c r="BJ126" s="382"/>
      <c r="BK126" s="382"/>
      <c r="BL126" s="382"/>
      <c r="BM126" s="382"/>
      <c r="BN126" s="382"/>
      <c r="BO126" s="382"/>
    </row>
    <row r="127" spans="1:67" s="88" customFormat="1" ht="10.55" customHeight="1" x14ac:dyDescent="0.2">
      <c r="A127" s="1013" t="s">
        <v>354</v>
      </c>
      <c r="B127" s="2807"/>
      <c r="C127" s="2808"/>
      <c r="D127" s="2809"/>
      <c r="E127" s="2561"/>
      <c r="F127" s="2562"/>
      <c r="G127" s="1785">
        <v>20</v>
      </c>
      <c r="H127" s="524"/>
      <c r="I127" s="1409">
        <f t="shared" si="31"/>
        <v>6.4147128734474465E-2</v>
      </c>
      <c r="J127" s="1421">
        <f t="shared" si="32"/>
        <v>0</v>
      </c>
      <c r="K127" s="678">
        <v>1</v>
      </c>
      <c r="L127" s="1002"/>
      <c r="M127" s="1428">
        <f t="shared" si="33"/>
        <v>0</v>
      </c>
      <c r="N127" s="1106"/>
      <c r="O127" s="674">
        <f t="shared" si="34"/>
        <v>20</v>
      </c>
      <c r="P127" s="682"/>
      <c r="Q127" s="286"/>
      <c r="R127" s="287"/>
      <c r="S127" s="280"/>
      <c r="T127" s="280"/>
      <c r="U127" s="280"/>
      <c r="V127" s="280"/>
      <c r="W127" s="280"/>
      <c r="X127" s="280"/>
      <c r="Y127" s="280"/>
      <c r="Z127" s="284"/>
      <c r="AA127" s="284"/>
      <c r="AB127" s="284"/>
      <c r="AC127" s="284"/>
      <c r="AD127" s="284"/>
      <c r="AE127" s="284"/>
      <c r="AF127" s="447"/>
      <c r="AG127" s="447"/>
      <c r="AH127" s="447"/>
      <c r="AI127" s="382"/>
      <c r="AJ127" s="382"/>
      <c r="AK127" s="382"/>
      <c r="AL127" s="382"/>
      <c r="AM127" s="382"/>
      <c r="AN127" s="382"/>
      <c r="AO127" s="382"/>
      <c r="AP127" s="382"/>
      <c r="AQ127" s="382"/>
      <c r="AR127" s="382"/>
      <c r="AS127" s="382"/>
      <c r="AT127" s="382"/>
      <c r="AU127" s="382"/>
      <c r="AV127" s="382"/>
      <c r="AW127" s="382"/>
      <c r="AX127" s="382"/>
      <c r="AY127" s="382"/>
      <c r="AZ127" s="382"/>
      <c r="BA127" s="382"/>
      <c r="BB127" s="382"/>
      <c r="BC127" s="382"/>
      <c r="BD127" s="382"/>
      <c r="BE127" s="382"/>
      <c r="BF127" s="382"/>
      <c r="BG127" s="382"/>
      <c r="BH127" s="382"/>
      <c r="BI127" s="382"/>
      <c r="BJ127" s="382"/>
      <c r="BK127" s="382"/>
      <c r="BL127" s="382"/>
      <c r="BM127" s="382"/>
      <c r="BN127" s="382"/>
      <c r="BO127" s="382"/>
    </row>
    <row r="128" spans="1:67" s="88" customFormat="1" ht="10.55" customHeight="1" x14ac:dyDescent="0.2">
      <c r="A128" s="1013" t="s">
        <v>832</v>
      </c>
      <c r="B128" s="2807"/>
      <c r="C128" s="2808"/>
      <c r="D128" s="2809"/>
      <c r="E128" s="2561"/>
      <c r="F128" s="2562"/>
      <c r="G128" s="1785">
        <v>30</v>
      </c>
      <c r="H128" s="524"/>
      <c r="I128" s="1409">
        <f t="shared" si="31"/>
        <v>4.7777640736176463E-2</v>
      </c>
      <c r="J128" s="1421">
        <f t="shared" si="32"/>
        <v>0</v>
      </c>
      <c r="K128" s="678">
        <v>1</v>
      </c>
      <c r="L128" s="1002"/>
      <c r="M128" s="1428">
        <f t="shared" si="33"/>
        <v>0</v>
      </c>
      <c r="N128" s="1106"/>
      <c r="O128" s="674">
        <f t="shared" si="34"/>
        <v>30</v>
      </c>
      <c r="P128" s="682"/>
      <c r="Q128" s="286"/>
      <c r="R128" s="287"/>
      <c r="S128" s="280"/>
      <c r="T128" s="280"/>
      <c r="U128" s="280"/>
      <c r="V128" s="280"/>
      <c r="W128" s="280"/>
      <c r="X128" s="280"/>
      <c r="Y128" s="280"/>
      <c r="Z128" s="284"/>
      <c r="AA128" s="284"/>
      <c r="AB128" s="284"/>
      <c r="AC128" s="284"/>
      <c r="AD128" s="284"/>
      <c r="AE128" s="284"/>
      <c r="AF128" s="447"/>
      <c r="AG128" s="447"/>
      <c r="AH128" s="447"/>
      <c r="AI128" s="382"/>
      <c r="AJ128" s="382"/>
      <c r="AK128" s="382"/>
      <c r="AL128" s="382"/>
      <c r="AM128" s="382"/>
      <c r="AN128" s="382"/>
      <c r="AO128" s="382"/>
      <c r="AP128" s="382"/>
      <c r="AQ128" s="382"/>
      <c r="AR128" s="382"/>
      <c r="AS128" s="382"/>
      <c r="AT128" s="382"/>
      <c r="AU128" s="382"/>
      <c r="AV128" s="382"/>
      <c r="AW128" s="382"/>
      <c r="AX128" s="382"/>
      <c r="AY128" s="382"/>
      <c r="AZ128" s="382"/>
      <c r="BA128" s="382"/>
      <c r="BB128" s="382"/>
      <c r="BC128" s="382"/>
      <c r="BD128" s="382"/>
      <c r="BE128" s="382"/>
      <c r="BF128" s="382"/>
      <c r="BG128" s="382"/>
      <c r="BH128" s="382"/>
      <c r="BI128" s="382"/>
      <c r="BJ128" s="382"/>
      <c r="BK128" s="382"/>
      <c r="BL128" s="382"/>
      <c r="BM128" s="382"/>
      <c r="BN128" s="382"/>
      <c r="BO128" s="382"/>
    </row>
    <row r="129" spans="1:67" s="88" customFormat="1" ht="10.55" customHeight="1" x14ac:dyDescent="0.2">
      <c r="A129" s="1013" t="s">
        <v>355</v>
      </c>
      <c r="B129" s="2807"/>
      <c r="C129" s="2808"/>
      <c r="D129" s="2809"/>
      <c r="E129" s="2561"/>
      <c r="F129" s="2562"/>
      <c r="G129" s="1785">
        <v>20</v>
      </c>
      <c r="H129" s="524"/>
      <c r="I129" s="1409">
        <f t="shared" si="31"/>
        <v>6.4147128734474465E-2</v>
      </c>
      <c r="J129" s="1421">
        <f t="shared" si="32"/>
        <v>0</v>
      </c>
      <c r="K129" s="678">
        <v>1.5</v>
      </c>
      <c r="L129" s="1002"/>
      <c r="M129" s="1428">
        <f t="shared" si="33"/>
        <v>0</v>
      </c>
      <c r="N129" s="1106"/>
      <c r="O129" s="674">
        <f t="shared" si="34"/>
        <v>20</v>
      </c>
      <c r="P129" s="682"/>
      <c r="Q129" s="286"/>
      <c r="R129" s="287"/>
      <c r="S129" s="280"/>
      <c r="T129" s="280"/>
      <c r="U129" s="280"/>
      <c r="V129" s="280"/>
      <c r="W129" s="280"/>
      <c r="X129" s="280"/>
      <c r="Y129" s="280"/>
      <c r="Z129" s="284"/>
      <c r="AA129" s="284"/>
      <c r="AB129" s="284"/>
      <c r="AC129" s="284"/>
      <c r="AD129" s="284"/>
      <c r="AE129" s="284"/>
      <c r="AF129" s="447"/>
      <c r="AG129" s="447"/>
      <c r="AH129" s="447"/>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c r="BH129" s="382"/>
      <c r="BI129" s="382"/>
      <c r="BJ129" s="382"/>
      <c r="BK129" s="382"/>
      <c r="BL129" s="382"/>
      <c r="BM129" s="382"/>
      <c r="BN129" s="382"/>
      <c r="BO129" s="382"/>
    </row>
    <row r="130" spans="1:67" s="88" customFormat="1" ht="10.55" customHeight="1" x14ac:dyDescent="0.2">
      <c r="A130" s="1013" t="s">
        <v>333</v>
      </c>
      <c r="B130" s="2807"/>
      <c r="C130" s="2808"/>
      <c r="D130" s="2809"/>
      <c r="E130" s="2561"/>
      <c r="F130" s="2562"/>
      <c r="G130" s="1785">
        <v>20</v>
      </c>
      <c r="H130" s="524"/>
      <c r="I130" s="1409">
        <f t="shared" si="31"/>
        <v>6.4147128734474465E-2</v>
      </c>
      <c r="J130" s="1421">
        <f t="shared" si="32"/>
        <v>0</v>
      </c>
      <c r="K130" s="678">
        <v>8</v>
      </c>
      <c r="L130" s="1002"/>
      <c r="M130" s="1428">
        <f t="shared" si="33"/>
        <v>0</v>
      </c>
      <c r="N130" s="1106"/>
      <c r="O130" s="674">
        <f t="shared" si="34"/>
        <v>20</v>
      </c>
      <c r="P130" s="682"/>
      <c r="Q130" s="286"/>
      <c r="R130" s="287"/>
      <c r="S130" s="280"/>
      <c r="T130" s="280"/>
      <c r="U130" s="280"/>
      <c r="V130" s="280"/>
      <c r="W130" s="280"/>
      <c r="X130" s="280"/>
      <c r="Y130" s="280"/>
      <c r="Z130" s="284"/>
      <c r="AA130" s="284"/>
      <c r="AB130" s="284"/>
      <c r="AC130" s="284"/>
      <c r="AD130" s="284"/>
      <c r="AE130" s="284"/>
      <c r="AF130" s="447"/>
      <c r="AG130" s="447"/>
      <c r="AH130" s="447"/>
      <c r="AI130" s="382"/>
      <c r="AJ130" s="382"/>
      <c r="AK130" s="382"/>
      <c r="AL130" s="382"/>
      <c r="AM130" s="382"/>
      <c r="AN130" s="382"/>
      <c r="AO130" s="382"/>
      <c r="AP130" s="382"/>
      <c r="AQ130" s="382"/>
      <c r="AR130" s="382"/>
      <c r="AS130" s="382"/>
      <c r="AT130" s="382"/>
      <c r="AU130" s="382"/>
      <c r="AV130" s="382"/>
      <c r="AW130" s="382"/>
      <c r="AX130" s="382"/>
      <c r="AY130" s="382"/>
      <c r="AZ130" s="382"/>
      <c r="BA130" s="382"/>
      <c r="BB130" s="382"/>
      <c r="BC130" s="382"/>
      <c r="BD130" s="382"/>
      <c r="BE130" s="382"/>
      <c r="BF130" s="382"/>
      <c r="BG130" s="382"/>
      <c r="BH130" s="382"/>
      <c r="BI130" s="382"/>
      <c r="BJ130" s="382"/>
      <c r="BK130" s="382"/>
      <c r="BL130" s="382"/>
      <c r="BM130" s="382"/>
      <c r="BN130" s="382"/>
      <c r="BO130" s="382"/>
    </row>
    <row r="131" spans="1:67" s="88" customFormat="1" ht="10.55" customHeight="1" x14ac:dyDescent="0.2">
      <c r="A131" s="1013" t="s">
        <v>334</v>
      </c>
      <c r="B131" s="2807"/>
      <c r="C131" s="2808"/>
      <c r="D131" s="2809"/>
      <c r="E131" s="2561"/>
      <c r="F131" s="2562"/>
      <c r="G131" s="1785">
        <v>30</v>
      </c>
      <c r="H131" s="524"/>
      <c r="I131" s="1409">
        <f t="shared" si="31"/>
        <v>4.7777640736176463E-2</v>
      </c>
      <c r="J131" s="1421">
        <f t="shared" si="32"/>
        <v>0</v>
      </c>
      <c r="K131" s="678"/>
      <c r="L131" s="1002"/>
      <c r="M131" s="1428">
        <f t="shared" si="33"/>
        <v>0</v>
      </c>
      <c r="N131" s="1106"/>
      <c r="O131" s="674">
        <f t="shared" si="34"/>
        <v>30</v>
      </c>
      <c r="P131" s="682"/>
      <c r="Q131" s="286"/>
      <c r="R131" s="287"/>
      <c r="S131" s="280"/>
      <c r="T131" s="280"/>
      <c r="U131" s="280"/>
      <c r="V131" s="280"/>
      <c r="W131" s="280"/>
      <c r="X131" s="280"/>
      <c r="Y131" s="280"/>
      <c r="Z131" s="284"/>
      <c r="AA131" s="284"/>
      <c r="AB131" s="284"/>
      <c r="AC131" s="284"/>
      <c r="AD131" s="284"/>
      <c r="AE131" s="284"/>
      <c r="AF131" s="447"/>
      <c r="AG131" s="447"/>
      <c r="AH131" s="447"/>
      <c r="AI131" s="382"/>
      <c r="AJ131" s="382"/>
      <c r="AK131" s="382"/>
      <c r="AL131" s="382"/>
      <c r="AM131" s="382"/>
      <c r="AN131" s="382"/>
      <c r="AO131" s="382"/>
      <c r="AP131" s="382"/>
      <c r="AQ131" s="382"/>
      <c r="AR131" s="382"/>
      <c r="AS131" s="382"/>
      <c r="AT131" s="382"/>
      <c r="AU131" s="382"/>
      <c r="AV131" s="382"/>
      <c r="AW131" s="382"/>
      <c r="AX131" s="382"/>
      <c r="AY131" s="382"/>
      <c r="AZ131" s="382"/>
      <c r="BA131" s="382"/>
      <c r="BB131" s="382"/>
      <c r="BC131" s="382"/>
      <c r="BD131" s="382"/>
      <c r="BE131" s="382"/>
      <c r="BF131" s="382"/>
      <c r="BG131" s="382"/>
      <c r="BH131" s="382"/>
      <c r="BI131" s="382"/>
      <c r="BJ131" s="382"/>
      <c r="BK131" s="382"/>
      <c r="BL131" s="382"/>
      <c r="BM131" s="382"/>
      <c r="BN131" s="382"/>
      <c r="BO131" s="382"/>
    </row>
    <row r="132" spans="1:67" s="88" customFormat="1" ht="10.55" customHeight="1" x14ac:dyDescent="0.2">
      <c r="A132" s="675"/>
      <c r="B132" s="2807"/>
      <c r="C132" s="2808"/>
      <c r="D132" s="2809"/>
      <c r="E132" s="2561"/>
      <c r="F132" s="2562"/>
      <c r="G132" s="1015"/>
      <c r="H132" s="524"/>
      <c r="I132" s="1409">
        <f t="shared" si="31"/>
        <v>0</v>
      </c>
      <c r="J132" s="1421">
        <f t="shared" si="32"/>
        <v>0</v>
      </c>
      <c r="K132" s="679"/>
      <c r="L132" s="1002"/>
      <c r="M132" s="1428">
        <f t="shared" si="33"/>
        <v>0</v>
      </c>
      <c r="N132" s="1106"/>
      <c r="O132" s="674">
        <f t="shared" si="34"/>
        <v>0</v>
      </c>
      <c r="P132" s="682"/>
      <c r="Q132" s="286"/>
      <c r="R132" s="287"/>
      <c r="S132" s="280"/>
      <c r="T132" s="280"/>
      <c r="U132" s="280"/>
      <c r="V132" s="280"/>
      <c r="W132" s="280"/>
      <c r="X132" s="280"/>
      <c r="Y132" s="280"/>
      <c r="Z132" s="284"/>
      <c r="AA132" s="284"/>
      <c r="AB132" s="284"/>
      <c r="AC132" s="284"/>
      <c r="AD132" s="284"/>
      <c r="AE132" s="284"/>
      <c r="AF132" s="447"/>
      <c r="AG132" s="447"/>
      <c r="AH132" s="447"/>
      <c r="AI132" s="382"/>
      <c r="AJ132" s="382"/>
      <c r="AK132" s="382"/>
      <c r="AL132" s="382"/>
      <c r="AM132" s="382"/>
      <c r="AN132" s="382"/>
      <c r="AO132" s="382"/>
      <c r="AP132" s="382"/>
      <c r="AQ132" s="382"/>
      <c r="AR132" s="382"/>
      <c r="AS132" s="382"/>
      <c r="AT132" s="382"/>
      <c r="AU132" s="382"/>
      <c r="AV132" s="382"/>
      <c r="AW132" s="382"/>
      <c r="AX132" s="382"/>
      <c r="AY132" s="382"/>
      <c r="AZ132" s="382"/>
      <c r="BA132" s="382"/>
      <c r="BB132" s="382"/>
      <c r="BC132" s="382"/>
      <c r="BD132" s="382"/>
      <c r="BE132" s="382"/>
      <c r="BF132" s="382"/>
      <c r="BG132" s="382"/>
      <c r="BH132" s="382"/>
      <c r="BI132" s="382"/>
      <c r="BJ132" s="382"/>
      <c r="BK132" s="382"/>
      <c r="BL132" s="382"/>
      <c r="BM132" s="382"/>
      <c r="BN132" s="382"/>
      <c r="BO132" s="382"/>
    </row>
    <row r="133" spans="1:67" s="88" customFormat="1" ht="10.55" customHeight="1" x14ac:dyDescent="0.2">
      <c r="A133" s="675"/>
      <c r="B133" s="2807"/>
      <c r="C133" s="2808"/>
      <c r="D133" s="2809"/>
      <c r="E133" s="2561"/>
      <c r="F133" s="2562"/>
      <c r="G133" s="1015"/>
      <c r="H133" s="524"/>
      <c r="I133" s="1409">
        <f t="shared" si="31"/>
        <v>0</v>
      </c>
      <c r="J133" s="1421">
        <f t="shared" si="32"/>
        <v>0</v>
      </c>
      <c r="K133" s="679"/>
      <c r="L133" s="1002"/>
      <c r="M133" s="1428">
        <f t="shared" si="33"/>
        <v>0</v>
      </c>
      <c r="N133" s="1106"/>
      <c r="O133" s="674">
        <f t="shared" si="34"/>
        <v>0</v>
      </c>
      <c r="P133" s="682"/>
      <c r="Q133" s="286"/>
      <c r="R133" s="287"/>
      <c r="S133" s="280"/>
      <c r="T133" s="280"/>
      <c r="U133" s="280"/>
      <c r="V133" s="280"/>
      <c r="W133" s="280"/>
      <c r="X133" s="280"/>
      <c r="Y133" s="280"/>
      <c r="Z133" s="284"/>
      <c r="AA133" s="284"/>
      <c r="AB133" s="284"/>
      <c r="AC133" s="284"/>
      <c r="AD133" s="284"/>
      <c r="AE133" s="284"/>
      <c r="AF133" s="447"/>
      <c r="AG133" s="447"/>
      <c r="AH133" s="447"/>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c r="BH133" s="382"/>
      <c r="BI133" s="382"/>
      <c r="BJ133" s="382"/>
      <c r="BK133" s="382"/>
      <c r="BL133" s="382"/>
      <c r="BM133" s="382"/>
      <c r="BN133" s="382"/>
      <c r="BO133" s="382"/>
    </row>
    <row r="134" spans="1:67" s="88" customFormat="1" ht="10.55" customHeight="1" x14ac:dyDescent="0.2">
      <c r="A134" s="675"/>
      <c r="B134" s="2807"/>
      <c r="C134" s="2808"/>
      <c r="D134" s="2809"/>
      <c r="E134" s="2561"/>
      <c r="F134" s="2562"/>
      <c r="G134" s="1015"/>
      <c r="H134" s="524"/>
      <c r="I134" s="1409">
        <f t="shared" si="31"/>
        <v>0</v>
      </c>
      <c r="J134" s="1421">
        <f t="shared" si="32"/>
        <v>0</v>
      </c>
      <c r="K134" s="679"/>
      <c r="L134" s="1002"/>
      <c r="M134" s="1428">
        <f t="shared" si="33"/>
        <v>0</v>
      </c>
      <c r="N134" s="1106"/>
      <c r="O134" s="674">
        <f t="shared" si="34"/>
        <v>0</v>
      </c>
      <c r="P134" s="682"/>
      <c r="Q134" s="286"/>
      <c r="R134" s="287"/>
      <c r="S134" s="280"/>
      <c r="T134" s="280"/>
      <c r="U134" s="280"/>
      <c r="V134" s="280"/>
      <c r="W134" s="280"/>
      <c r="X134" s="280"/>
      <c r="Y134" s="280"/>
      <c r="Z134" s="284"/>
      <c r="AA134" s="284"/>
      <c r="AB134" s="284"/>
      <c r="AC134" s="284"/>
      <c r="AD134" s="284"/>
      <c r="AE134" s="284"/>
      <c r="AF134" s="447"/>
      <c r="AG134" s="447"/>
      <c r="AH134" s="447"/>
      <c r="AI134" s="382"/>
      <c r="AJ134" s="382"/>
      <c r="AK134" s="382"/>
      <c r="AL134" s="382"/>
      <c r="AM134" s="382"/>
      <c r="AN134" s="382"/>
      <c r="AO134" s="382"/>
      <c r="AP134" s="382"/>
      <c r="AQ134" s="382"/>
      <c r="AR134" s="382"/>
      <c r="AS134" s="382"/>
      <c r="AT134" s="382"/>
      <c r="AU134" s="382"/>
      <c r="AV134" s="382"/>
      <c r="AW134" s="382"/>
      <c r="AX134" s="382"/>
      <c r="AY134" s="382"/>
      <c r="AZ134" s="382"/>
      <c r="BA134" s="382"/>
      <c r="BB134" s="382"/>
      <c r="BC134" s="382"/>
      <c r="BD134" s="382"/>
      <c r="BE134" s="382"/>
      <c r="BF134" s="382"/>
      <c r="BG134" s="382"/>
      <c r="BH134" s="382"/>
      <c r="BI134" s="382"/>
      <c r="BJ134" s="382"/>
      <c r="BK134" s="382"/>
      <c r="BL134" s="382"/>
      <c r="BM134" s="382"/>
      <c r="BN134" s="382"/>
      <c r="BO134" s="382"/>
    </row>
    <row r="135" spans="1:67" s="88" customFormat="1" ht="10.55" customHeight="1" x14ac:dyDescent="0.2">
      <c r="A135" s="1017"/>
      <c r="B135" s="2804"/>
      <c r="C135" s="2805"/>
      <c r="D135" s="2806"/>
      <c r="E135" s="2793"/>
      <c r="F135" s="2794"/>
      <c r="G135" s="1018"/>
      <c r="H135" s="1019"/>
      <c r="I135" s="1436">
        <f t="shared" si="31"/>
        <v>0</v>
      </c>
      <c r="J135" s="1422"/>
      <c r="K135" s="680"/>
      <c r="L135" s="1020"/>
      <c r="M135" s="1429">
        <f t="shared" si="33"/>
        <v>0</v>
      </c>
      <c r="N135" s="1106"/>
      <c r="O135" s="674">
        <f t="shared" si="34"/>
        <v>0</v>
      </c>
      <c r="P135" s="682"/>
      <c r="Q135" s="286"/>
      <c r="R135" s="287"/>
      <c r="S135" s="280"/>
      <c r="T135" s="280"/>
      <c r="U135" s="280"/>
      <c r="V135" s="280"/>
      <c r="W135" s="280"/>
      <c r="X135" s="280"/>
      <c r="Y135" s="280"/>
      <c r="Z135" s="284"/>
      <c r="AA135" s="284"/>
      <c r="AB135" s="284"/>
      <c r="AC135" s="284"/>
      <c r="AD135" s="284"/>
      <c r="AE135" s="284"/>
      <c r="AF135" s="447"/>
      <c r="AG135" s="447"/>
      <c r="AH135" s="447"/>
      <c r="AI135" s="382"/>
      <c r="AJ135" s="382"/>
      <c r="AK135" s="382"/>
      <c r="AL135" s="382"/>
      <c r="AM135" s="382"/>
      <c r="AN135" s="382"/>
      <c r="AO135" s="382"/>
      <c r="AP135" s="382"/>
      <c r="AQ135" s="382"/>
      <c r="AR135" s="382"/>
      <c r="AS135" s="382"/>
      <c r="AT135" s="382"/>
      <c r="AU135" s="382"/>
      <c r="AV135" s="382"/>
      <c r="AW135" s="382"/>
      <c r="AX135" s="382"/>
      <c r="AY135" s="382"/>
      <c r="AZ135" s="382"/>
      <c r="BA135" s="382"/>
      <c r="BB135" s="382"/>
      <c r="BC135" s="382"/>
      <c r="BD135" s="382"/>
      <c r="BE135" s="382"/>
      <c r="BF135" s="382"/>
      <c r="BG135" s="382"/>
      <c r="BH135" s="382"/>
      <c r="BI135" s="382"/>
      <c r="BJ135" s="382"/>
      <c r="BK135" s="382"/>
      <c r="BL135" s="382"/>
      <c r="BM135" s="382"/>
      <c r="BN135" s="382"/>
      <c r="BO135" s="382"/>
    </row>
    <row r="136" spans="1:67" s="88" customFormat="1" ht="10.55" customHeight="1" x14ac:dyDescent="0.2">
      <c r="A136" s="1011" t="s">
        <v>356</v>
      </c>
      <c r="B136" s="2783"/>
      <c r="C136" s="2784"/>
      <c r="D136" s="2785"/>
      <c r="E136" s="2810">
        <f>SUM(E137:E149)</f>
        <v>0</v>
      </c>
      <c r="F136" s="2811"/>
      <c r="G136" s="2747"/>
      <c r="H136" s="2748"/>
      <c r="I136" s="1435">
        <f>IF(E136=0,0,J136/E136)</f>
        <v>0</v>
      </c>
      <c r="J136" s="1423">
        <f>SUM(J137:J149)</f>
        <v>0</v>
      </c>
      <c r="K136" s="2749">
        <f>IF(E136=0,0,M136/E136*100)</f>
        <v>0</v>
      </c>
      <c r="L136" s="2750"/>
      <c r="M136" s="1430">
        <f>SUM(M137:M149)</f>
        <v>0</v>
      </c>
      <c r="N136" s="1106"/>
      <c r="O136" s="387">
        <f>IF(H136="",G136,H136)</f>
        <v>0</v>
      </c>
      <c r="P136" s="682"/>
      <c r="Q136" s="286"/>
      <c r="R136" s="287"/>
      <c r="S136" s="280"/>
      <c r="T136" s="280"/>
      <c r="U136" s="280"/>
      <c r="V136" s="280"/>
      <c r="W136" s="280"/>
      <c r="X136" s="280"/>
      <c r="Y136" s="280"/>
      <c r="Z136" s="284"/>
      <c r="AA136" s="284"/>
      <c r="AB136" s="284"/>
      <c r="AC136" s="284"/>
      <c r="AD136" s="284"/>
      <c r="AE136" s="284"/>
      <c r="AF136" s="447"/>
      <c r="AG136" s="447"/>
      <c r="AH136" s="447"/>
      <c r="AI136" s="382"/>
      <c r="AJ136" s="382"/>
      <c r="AK136" s="382"/>
      <c r="AL136" s="382"/>
      <c r="AM136" s="382"/>
      <c r="AN136" s="382"/>
      <c r="AO136" s="382"/>
      <c r="AP136" s="382"/>
      <c r="AQ136" s="382"/>
      <c r="AR136" s="382"/>
      <c r="AS136" s="382"/>
      <c r="AT136" s="382"/>
      <c r="AU136" s="382"/>
      <c r="AV136" s="382"/>
      <c r="AW136" s="382"/>
      <c r="AX136" s="382"/>
      <c r="AY136" s="382"/>
      <c r="AZ136" s="382"/>
      <c r="BA136" s="382"/>
      <c r="BB136" s="382"/>
      <c r="BC136" s="382"/>
      <c r="BD136" s="382"/>
      <c r="BE136" s="382"/>
      <c r="BF136" s="382"/>
      <c r="BG136" s="382"/>
      <c r="BH136" s="382"/>
      <c r="BI136" s="382"/>
      <c r="BJ136" s="382"/>
      <c r="BK136" s="382"/>
      <c r="BL136" s="382"/>
      <c r="BM136" s="382"/>
      <c r="BN136" s="382"/>
      <c r="BO136" s="382"/>
    </row>
    <row r="137" spans="1:67" s="88" customFormat="1" ht="10.55" customHeight="1" x14ac:dyDescent="0.2">
      <c r="A137" s="1013" t="s">
        <v>357</v>
      </c>
      <c r="B137" s="2790"/>
      <c r="C137" s="2791"/>
      <c r="D137" s="2792"/>
      <c r="E137" s="2734"/>
      <c r="F137" s="2735"/>
      <c r="G137" s="1785">
        <v>40</v>
      </c>
      <c r="H137" s="524"/>
      <c r="I137" s="1409">
        <f t="shared" ref="I137:I150" si="35">IF($O137&gt;0,-PMT(($I$9),$O137,1),0)</f>
        <v>3.9836233162469814E-2</v>
      </c>
      <c r="J137" s="1421">
        <f t="shared" ref="J137:J149" si="36">ROUND(E137*I137,0)</f>
        <v>0</v>
      </c>
      <c r="K137" s="678">
        <v>1</v>
      </c>
      <c r="L137" s="1002"/>
      <c r="M137" s="1428">
        <f t="shared" ref="M137:M150" si="37">ROUND(E137/100*IF(ISBLANK(L137),K137,L137),0)</f>
        <v>0</v>
      </c>
      <c r="N137" s="1106"/>
      <c r="O137" s="674">
        <f t="shared" ref="O137:O150" si="38">IF(ISBLANK(H137),G137,H137)</f>
        <v>40</v>
      </c>
      <c r="P137" s="682"/>
      <c r="Q137" s="286"/>
      <c r="R137" s="287"/>
      <c r="S137" s="280"/>
      <c r="T137" s="280"/>
      <c r="U137" s="280"/>
      <c r="V137" s="280"/>
      <c r="W137" s="280"/>
      <c r="X137" s="280"/>
      <c r="Y137" s="280"/>
      <c r="Z137" s="284"/>
      <c r="AA137" s="284"/>
      <c r="AB137" s="284"/>
      <c r="AC137" s="284"/>
      <c r="AD137" s="284"/>
      <c r="AE137" s="284"/>
      <c r="AF137" s="447"/>
      <c r="AG137" s="447"/>
      <c r="AH137" s="447"/>
      <c r="AI137" s="382"/>
      <c r="AJ137" s="382"/>
      <c r="AK137" s="382"/>
      <c r="AL137" s="38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2"/>
      <c r="BG137" s="382"/>
      <c r="BH137" s="382"/>
      <c r="BI137" s="382"/>
      <c r="BJ137" s="382"/>
      <c r="BK137" s="382"/>
      <c r="BL137" s="382"/>
      <c r="BM137" s="382"/>
      <c r="BN137" s="382"/>
      <c r="BO137" s="382"/>
    </row>
    <row r="138" spans="1:67" s="88" customFormat="1" ht="10.55" customHeight="1" x14ac:dyDescent="0.2">
      <c r="A138" s="1013" t="s">
        <v>358</v>
      </c>
      <c r="B138" s="2807"/>
      <c r="C138" s="2808"/>
      <c r="D138" s="2809"/>
      <c r="E138" s="2561"/>
      <c r="F138" s="2562"/>
      <c r="G138" s="1785">
        <v>30</v>
      </c>
      <c r="H138" s="524"/>
      <c r="I138" s="1409">
        <f t="shared" si="35"/>
        <v>4.7777640736176463E-2</v>
      </c>
      <c r="J138" s="1421">
        <f t="shared" si="36"/>
        <v>0</v>
      </c>
      <c r="K138" s="678">
        <v>1</v>
      </c>
      <c r="L138" s="1002"/>
      <c r="M138" s="1428">
        <f t="shared" si="37"/>
        <v>0</v>
      </c>
      <c r="N138" s="1106"/>
      <c r="O138" s="674">
        <f t="shared" si="38"/>
        <v>30</v>
      </c>
      <c r="P138" s="682"/>
      <c r="Q138" s="286"/>
      <c r="R138" s="287"/>
      <c r="S138" s="280"/>
      <c r="T138" s="280"/>
      <c r="U138" s="280"/>
      <c r="V138" s="280"/>
      <c r="W138" s="280"/>
      <c r="X138" s="280"/>
      <c r="Y138" s="280"/>
      <c r="Z138" s="284"/>
      <c r="AA138" s="284"/>
      <c r="AB138" s="284"/>
      <c r="AC138" s="284"/>
      <c r="AD138" s="284"/>
      <c r="AE138" s="284"/>
      <c r="AF138" s="447"/>
      <c r="AG138" s="447"/>
      <c r="AH138" s="447"/>
      <c r="AI138" s="382"/>
      <c r="AJ138" s="382"/>
      <c r="AK138" s="382"/>
      <c r="AL138" s="382"/>
      <c r="AM138" s="382"/>
      <c r="AN138" s="382"/>
      <c r="AO138" s="382"/>
      <c r="AP138" s="382"/>
      <c r="AQ138" s="382"/>
      <c r="AR138" s="382"/>
      <c r="AS138" s="382"/>
      <c r="AT138" s="382"/>
      <c r="AU138" s="382"/>
      <c r="AV138" s="382"/>
      <c r="AW138" s="382"/>
      <c r="AX138" s="382"/>
      <c r="AY138" s="382"/>
      <c r="AZ138" s="382"/>
      <c r="BA138" s="382"/>
      <c r="BB138" s="382"/>
      <c r="BC138" s="382"/>
      <c r="BD138" s="382"/>
      <c r="BE138" s="382"/>
      <c r="BF138" s="382"/>
      <c r="BG138" s="382"/>
      <c r="BH138" s="382"/>
      <c r="BI138" s="382"/>
      <c r="BJ138" s="382"/>
      <c r="BK138" s="382"/>
      <c r="BL138" s="382"/>
      <c r="BM138" s="382"/>
      <c r="BN138" s="382"/>
      <c r="BO138" s="382"/>
    </row>
    <row r="139" spans="1:67" s="88" customFormat="1" ht="10.55" customHeight="1" x14ac:dyDescent="0.2">
      <c r="A139" s="1013" t="s">
        <v>359</v>
      </c>
      <c r="B139" s="2807"/>
      <c r="C139" s="2808"/>
      <c r="D139" s="2809"/>
      <c r="E139" s="2561"/>
      <c r="F139" s="2562"/>
      <c r="G139" s="1785">
        <v>40</v>
      </c>
      <c r="H139" s="524"/>
      <c r="I139" s="1409">
        <f t="shared" si="35"/>
        <v>3.9836233162469814E-2</v>
      </c>
      <c r="J139" s="1421">
        <f t="shared" si="36"/>
        <v>0</v>
      </c>
      <c r="K139" s="678">
        <v>1</v>
      </c>
      <c r="L139" s="1002"/>
      <c r="M139" s="1428">
        <f t="shared" si="37"/>
        <v>0</v>
      </c>
      <c r="N139" s="1106"/>
      <c r="O139" s="674">
        <f t="shared" si="38"/>
        <v>40</v>
      </c>
      <c r="P139" s="682"/>
      <c r="Q139" s="286"/>
      <c r="R139" s="287"/>
      <c r="S139" s="280"/>
      <c r="T139" s="280"/>
      <c r="U139" s="280"/>
      <c r="V139" s="280"/>
      <c r="W139" s="280"/>
      <c r="X139" s="280"/>
      <c r="Y139" s="280"/>
      <c r="Z139" s="284"/>
      <c r="AA139" s="284"/>
      <c r="AB139" s="284"/>
      <c r="AC139" s="284"/>
      <c r="AD139" s="284"/>
      <c r="AE139" s="284"/>
      <c r="AF139" s="447"/>
      <c r="AG139" s="447"/>
      <c r="AH139" s="447"/>
      <c r="AI139" s="382"/>
      <c r="AJ139" s="382"/>
      <c r="AK139" s="382"/>
      <c r="AL139" s="382"/>
      <c r="AM139" s="382"/>
      <c r="AN139" s="382"/>
      <c r="AO139" s="382"/>
      <c r="AP139" s="382"/>
      <c r="AQ139" s="382"/>
      <c r="AR139" s="382"/>
      <c r="AS139" s="382"/>
      <c r="AT139" s="382"/>
      <c r="AU139" s="382"/>
      <c r="AV139" s="382"/>
      <c r="AW139" s="382"/>
      <c r="AX139" s="382"/>
      <c r="AY139" s="382"/>
      <c r="AZ139" s="382"/>
      <c r="BA139" s="382"/>
      <c r="BB139" s="382"/>
      <c r="BC139" s="382"/>
      <c r="BD139" s="382"/>
      <c r="BE139" s="382"/>
      <c r="BF139" s="382"/>
      <c r="BG139" s="382"/>
      <c r="BH139" s="382"/>
      <c r="BI139" s="382"/>
      <c r="BJ139" s="382"/>
      <c r="BK139" s="382"/>
      <c r="BL139" s="382"/>
      <c r="BM139" s="382"/>
      <c r="BN139" s="382"/>
      <c r="BO139" s="382"/>
    </row>
    <row r="140" spans="1:67" s="88" customFormat="1" ht="10.55" customHeight="1" x14ac:dyDescent="0.2">
      <c r="A140" s="1013" t="s">
        <v>360</v>
      </c>
      <c r="B140" s="2807"/>
      <c r="C140" s="2808"/>
      <c r="D140" s="2809"/>
      <c r="E140" s="2561"/>
      <c r="F140" s="2562"/>
      <c r="G140" s="1785">
        <v>20</v>
      </c>
      <c r="H140" s="524"/>
      <c r="I140" s="1409">
        <f t="shared" si="35"/>
        <v>6.4147128734474465E-2</v>
      </c>
      <c r="J140" s="1421">
        <f t="shared" si="36"/>
        <v>0</v>
      </c>
      <c r="K140" s="678">
        <v>2</v>
      </c>
      <c r="L140" s="1002"/>
      <c r="M140" s="1428">
        <f t="shared" si="37"/>
        <v>0</v>
      </c>
      <c r="N140" s="1106"/>
      <c r="O140" s="674">
        <f t="shared" si="38"/>
        <v>20</v>
      </c>
      <c r="P140" s="682"/>
      <c r="Q140" s="286"/>
      <c r="R140" s="287"/>
      <c r="S140" s="280"/>
      <c r="T140" s="280"/>
      <c r="U140" s="280"/>
      <c r="V140" s="280"/>
      <c r="W140" s="280"/>
      <c r="X140" s="280"/>
      <c r="Y140" s="280"/>
      <c r="Z140" s="284"/>
      <c r="AA140" s="284"/>
      <c r="AB140" s="284"/>
      <c r="AC140" s="284"/>
      <c r="AD140" s="284"/>
      <c r="AE140" s="284"/>
      <c r="AF140" s="447"/>
      <c r="AG140" s="447"/>
      <c r="AH140" s="447"/>
      <c r="AI140" s="382"/>
      <c r="AJ140" s="382"/>
      <c r="AK140" s="382"/>
      <c r="AL140" s="382"/>
      <c r="AM140" s="382"/>
      <c r="AN140" s="382"/>
      <c r="AO140" s="382"/>
      <c r="AP140" s="382"/>
      <c r="AQ140" s="382"/>
      <c r="AR140" s="382"/>
      <c r="AS140" s="382"/>
      <c r="AT140" s="382"/>
      <c r="AU140" s="382"/>
      <c r="AV140" s="382"/>
      <c r="AW140" s="382"/>
      <c r="AX140" s="382"/>
      <c r="AY140" s="382"/>
      <c r="AZ140" s="382"/>
      <c r="BA140" s="382"/>
      <c r="BB140" s="382"/>
      <c r="BC140" s="382"/>
      <c r="BD140" s="382"/>
      <c r="BE140" s="382"/>
      <c r="BF140" s="382"/>
      <c r="BG140" s="382"/>
      <c r="BH140" s="382"/>
      <c r="BI140" s="382"/>
      <c r="BJ140" s="382"/>
      <c r="BK140" s="382"/>
      <c r="BL140" s="382"/>
      <c r="BM140" s="382"/>
      <c r="BN140" s="382"/>
      <c r="BO140" s="382"/>
    </row>
    <row r="141" spans="1:67" s="88" customFormat="1" ht="10.55" customHeight="1" x14ac:dyDescent="0.2">
      <c r="A141" s="1013" t="s">
        <v>361</v>
      </c>
      <c r="B141" s="2807"/>
      <c r="C141" s="2808"/>
      <c r="D141" s="2809"/>
      <c r="E141" s="2561"/>
      <c r="F141" s="2562"/>
      <c r="G141" s="1785">
        <v>20</v>
      </c>
      <c r="H141" s="524"/>
      <c r="I141" s="1409">
        <f t="shared" si="35"/>
        <v>6.4147128734474465E-2</v>
      </c>
      <c r="J141" s="1421">
        <f t="shared" si="36"/>
        <v>0</v>
      </c>
      <c r="K141" s="678">
        <v>1.5</v>
      </c>
      <c r="L141" s="1002"/>
      <c r="M141" s="1428">
        <f t="shared" si="37"/>
        <v>0</v>
      </c>
      <c r="N141" s="1106"/>
      <c r="O141" s="674">
        <f t="shared" si="38"/>
        <v>20</v>
      </c>
      <c r="P141" s="682"/>
      <c r="Q141" s="286"/>
      <c r="R141" s="287"/>
      <c r="S141" s="280"/>
      <c r="T141" s="280"/>
      <c r="U141" s="280"/>
      <c r="V141" s="280"/>
      <c r="W141" s="280"/>
      <c r="X141" s="280"/>
      <c r="Y141" s="280"/>
      <c r="Z141" s="284"/>
      <c r="AA141" s="284"/>
      <c r="AB141" s="284"/>
      <c r="AC141" s="284"/>
      <c r="AD141" s="284"/>
      <c r="AE141" s="284"/>
      <c r="AF141" s="447"/>
      <c r="AG141" s="447"/>
      <c r="AH141" s="447"/>
      <c r="AI141" s="382"/>
      <c r="AJ141" s="382"/>
      <c r="AK141" s="382"/>
      <c r="AL141" s="38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2"/>
      <c r="BG141" s="382"/>
      <c r="BH141" s="382"/>
      <c r="BI141" s="382"/>
      <c r="BJ141" s="382"/>
      <c r="BK141" s="382"/>
      <c r="BL141" s="382"/>
      <c r="BM141" s="382"/>
      <c r="BN141" s="382"/>
      <c r="BO141" s="382"/>
    </row>
    <row r="142" spans="1:67" s="88" customFormat="1" ht="10.55" customHeight="1" x14ac:dyDescent="0.2">
      <c r="A142" s="1013" t="s">
        <v>362</v>
      </c>
      <c r="B142" s="2807"/>
      <c r="C142" s="2808"/>
      <c r="D142" s="2809"/>
      <c r="E142" s="2561"/>
      <c r="F142" s="2562"/>
      <c r="G142" s="1785">
        <v>20</v>
      </c>
      <c r="H142" s="524"/>
      <c r="I142" s="1409">
        <f t="shared" si="35"/>
        <v>6.4147128734474465E-2</v>
      </c>
      <c r="J142" s="1421">
        <f t="shared" si="36"/>
        <v>0</v>
      </c>
      <c r="K142" s="678">
        <v>1.5</v>
      </c>
      <c r="L142" s="1002"/>
      <c r="M142" s="1428">
        <f t="shared" si="37"/>
        <v>0</v>
      </c>
      <c r="N142" s="1106"/>
      <c r="O142" s="674">
        <f t="shared" si="38"/>
        <v>20</v>
      </c>
      <c r="P142" s="682"/>
      <c r="Q142" s="286"/>
      <c r="R142" s="287"/>
      <c r="S142" s="280"/>
      <c r="T142" s="280"/>
      <c r="U142" s="280"/>
      <c r="V142" s="280"/>
      <c r="W142" s="280"/>
      <c r="X142" s="280"/>
      <c r="Y142" s="280"/>
      <c r="Z142" s="284"/>
      <c r="AA142" s="284"/>
      <c r="AB142" s="284"/>
      <c r="AC142" s="284"/>
      <c r="AD142" s="284"/>
      <c r="AE142" s="284"/>
      <c r="AF142" s="447"/>
      <c r="AG142" s="447"/>
      <c r="AH142" s="447"/>
      <c r="AI142" s="382"/>
      <c r="AJ142" s="382"/>
      <c r="AK142" s="382"/>
      <c r="AL142" s="38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2"/>
      <c r="BG142" s="382"/>
      <c r="BH142" s="382"/>
      <c r="BI142" s="382"/>
      <c r="BJ142" s="382"/>
      <c r="BK142" s="382"/>
      <c r="BL142" s="382"/>
      <c r="BM142" s="382"/>
      <c r="BN142" s="382"/>
      <c r="BO142" s="382"/>
    </row>
    <row r="143" spans="1:67" s="88" customFormat="1" ht="10.55" customHeight="1" x14ac:dyDescent="0.2">
      <c r="A143" s="1013" t="s">
        <v>833</v>
      </c>
      <c r="B143" s="2807"/>
      <c r="C143" s="2808"/>
      <c r="D143" s="2809"/>
      <c r="E143" s="2561"/>
      <c r="F143" s="2562"/>
      <c r="G143" s="1785">
        <v>20</v>
      </c>
      <c r="H143" s="524"/>
      <c r="I143" s="1409">
        <f t="shared" si="35"/>
        <v>6.4147128734474465E-2</v>
      </c>
      <c r="J143" s="1421">
        <f t="shared" si="36"/>
        <v>0</v>
      </c>
      <c r="K143" s="678">
        <v>2.5</v>
      </c>
      <c r="L143" s="1002"/>
      <c r="M143" s="1428">
        <f t="shared" si="37"/>
        <v>0</v>
      </c>
      <c r="N143" s="1106"/>
      <c r="O143" s="674">
        <f t="shared" si="38"/>
        <v>20</v>
      </c>
      <c r="P143" s="682"/>
      <c r="Q143" s="286"/>
      <c r="R143" s="287"/>
      <c r="S143" s="280"/>
      <c r="T143" s="280"/>
      <c r="U143" s="280"/>
      <c r="V143" s="280"/>
      <c r="W143" s="280"/>
      <c r="X143" s="280"/>
      <c r="Y143" s="280"/>
      <c r="Z143" s="284"/>
      <c r="AA143" s="284"/>
      <c r="AB143" s="284"/>
      <c r="AC143" s="284"/>
      <c r="AD143" s="284"/>
      <c r="AE143" s="284"/>
      <c r="AF143" s="447"/>
      <c r="AG143" s="447"/>
      <c r="AH143" s="447"/>
      <c r="AI143" s="382"/>
      <c r="AJ143" s="382"/>
      <c r="AK143" s="382"/>
      <c r="AL143" s="382"/>
      <c r="AM143" s="382"/>
      <c r="AN143" s="382"/>
      <c r="AO143" s="382"/>
      <c r="AP143" s="382"/>
      <c r="AQ143" s="382"/>
      <c r="AR143" s="382"/>
      <c r="AS143" s="382"/>
      <c r="AT143" s="382"/>
      <c r="AU143" s="382"/>
      <c r="AV143" s="382"/>
      <c r="AW143" s="382"/>
      <c r="AX143" s="382"/>
      <c r="AY143" s="382"/>
      <c r="AZ143" s="382"/>
      <c r="BA143" s="382"/>
      <c r="BB143" s="382"/>
      <c r="BC143" s="382"/>
      <c r="BD143" s="382"/>
      <c r="BE143" s="382"/>
      <c r="BF143" s="382"/>
      <c r="BG143" s="382"/>
      <c r="BH143" s="382"/>
      <c r="BI143" s="382"/>
      <c r="BJ143" s="382"/>
      <c r="BK143" s="382"/>
      <c r="BL143" s="382"/>
      <c r="BM143" s="382"/>
      <c r="BN143" s="382"/>
      <c r="BO143" s="382"/>
    </row>
    <row r="144" spans="1:67" s="88" customFormat="1" ht="10.55" customHeight="1" x14ac:dyDescent="0.2">
      <c r="A144" s="1013" t="s">
        <v>333</v>
      </c>
      <c r="B144" s="2807"/>
      <c r="C144" s="2808"/>
      <c r="D144" s="2809"/>
      <c r="E144" s="2561"/>
      <c r="F144" s="2562"/>
      <c r="G144" s="1785">
        <v>20</v>
      </c>
      <c r="H144" s="524"/>
      <c r="I144" s="1409">
        <f t="shared" si="35"/>
        <v>6.4147128734474465E-2</v>
      </c>
      <c r="J144" s="1421">
        <f t="shared" si="36"/>
        <v>0</v>
      </c>
      <c r="K144" s="678">
        <v>8</v>
      </c>
      <c r="L144" s="1002"/>
      <c r="M144" s="1428">
        <f t="shared" si="37"/>
        <v>0</v>
      </c>
      <c r="N144" s="1106"/>
      <c r="O144" s="674">
        <f t="shared" si="38"/>
        <v>20</v>
      </c>
      <c r="P144" s="682"/>
      <c r="Q144" s="286"/>
      <c r="R144" s="287"/>
      <c r="S144" s="280"/>
      <c r="T144" s="280"/>
      <c r="U144" s="280"/>
      <c r="V144" s="280"/>
      <c r="W144" s="280"/>
      <c r="X144" s="280"/>
      <c r="Y144" s="280"/>
      <c r="Z144" s="284"/>
      <c r="AA144" s="284"/>
      <c r="AB144" s="284"/>
      <c r="AC144" s="284"/>
      <c r="AD144" s="284"/>
      <c r="AE144" s="284"/>
      <c r="AF144" s="447"/>
      <c r="AG144" s="447"/>
      <c r="AH144" s="447"/>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c r="BH144" s="382"/>
      <c r="BI144" s="382"/>
      <c r="BJ144" s="382"/>
      <c r="BK144" s="382"/>
      <c r="BL144" s="382"/>
      <c r="BM144" s="382"/>
      <c r="BN144" s="382"/>
      <c r="BO144" s="382"/>
    </row>
    <row r="145" spans="1:67" s="88" customFormat="1" ht="10.55" customHeight="1" x14ac:dyDescent="0.2">
      <c r="A145" s="1013" t="s">
        <v>334</v>
      </c>
      <c r="B145" s="2807"/>
      <c r="C145" s="2808"/>
      <c r="D145" s="2809"/>
      <c r="E145" s="2561"/>
      <c r="F145" s="2562"/>
      <c r="G145" s="1785">
        <v>30</v>
      </c>
      <c r="H145" s="524"/>
      <c r="I145" s="1409">
        <f t="shared" si="35"/>
        <v>4.7777640736176463E-2</v>
      </c>
      <c r="J145" s="1421">
        <f t="shared" si="36"/>
        <v>0</v>
      </c>
      <c r="K145" s="678"/>
      <c r="L145" s="1002"/>
      <c r="M145" s="1428">
        <f t="shared" si="37"/>
        <v>0</v>
      </c>
      <c r="N145" s="1106"/>
      <c r="O145" s="674">
        <f t="shared" si="38"/>
        <v>30</v>
      </c>
      <c r="P145" s="682"/>
      <c r="Q145" s="286"/>
      <c r="R145" s="287"/>
      <c r="S145" s="280"/>
      <c r="T145" s="280"/>
      <c r="U145" s="280"/>
      <c r="V145" s="280"/>
      <c r="W145" s="280"/>
      <c r="X145" s="280"/>
      <c r="Y145" s="280"/>
      <c r="Z145" s="284"/>
      <c r="AA145" s="284"/>
      <c r="AB145" s="284"/>
      <c r="AC145" s="284"/>
      <c r="AD145" s="284"/>
      <c r="AE145" s="284"/>
      <c r="AF145" s="447"/>
      <c r="AG145" s="447"/>
      <c r="AH145" s="447"/>
      <c r="AI145" s="382"/>
      <c r="AJ145" s="382"/>
      <c r="AK145" s="382"/>
      <c r="AL145" s="382"/>
      <c r="AM145" s="382"/>
      <c r="AN145" s="382"/>
      <c r="AO145" s="382"/>
      <c r="AP145" s="382"/>
      <c r="AQ145" s="382"/>
      <c r="AR145" s="382"/>
      <c r="AS145" s="382"/>
      <c r="AT145" s="382"/>
      <c r="AU145" s="382"/>
      <c r="AV145" s="382"/>
      <c r="AW145" s="382"/>
      <c r="AX145" s="382"/>
      <c r="AY145" s="382"/>
      <c r="AZ145" s="382"/>
      <c r="BA145" s="382"/>
      <c r="BB145" s="382"/>
      <c r="BC145" s="382"/>
      <c r="BD145" s="382"/>
      <c r="BE145" s="382"/>
      <c r="BF145" s="382"/>
      <c r="BG145" s="382"/>
      <c r="BH145" s="382"/>
      <c r="BI145" s="382"/>
      <c r="BJ145" s="382"/>
      <c r="BK145" s="382"/>
      <c r="BL145" s="382"/>
      <c r="BM145" s="382"/>
      <c r="BN145" s="382"/>
      <c r="BO145" s="382"/>
    </row>
    <row r="146" spans="1:67" s="88" customFormat="1" ht="10.55" customHeight="1" x14ac:dyDescent="0.2">
      <c r="A146" s="675"/>
      <c r="B146" s="2807"/>
      <c r="C146" s="2808"/>
      <c r="D146" s="2809"/>
      <c r="E146" s="2561"/>
      <c r="F146" s="2562"/>
      <c r="G146" s="1015"/>
      <c r="H146" s="524"/>
      <c r="I146" s="1409">
        <f t="shared" si="35"/>
        <v>0</v>
      </c>
      <c r="J146" s="1421">
        <f t="shared" si="36"/>
        <v>0</v>
      </c>
      <c r="K146" s="679"/>
      <c r="L146" s="1002"/>
      <c r="M146" s="1428">
        <f t="shared" si="37"/>
        <v>0</v>
      </c>
      <c r="N146" s="1106"/>
      <c r="O146" s="674">
        <f t="shared" si="38"/>
        <v>0</v>
      </c>
      <c r="P146" s="682"/>
      <c r="Q146" s="286"/>
      <c r="R146" s="287"/>
      <c r="S146" s="280"/>
      <c r="T146" s="280"/>
      <c r="U146" s="280"/>
      <c r="V146" s="280"/>
      <c r="W146" s="280"/>
      <c r="X146" s="280"/>
      <c r="Y146" s="280"/>
      <c r="Z146" s="284"/>
      <c r="AA146" s="284"/>
      <c r="AB146" s="284"/>
      <c r="AC146" s="284"/>
      <c r="AD146" s="284"/>
      <c r="AE146" s="284"/>
      <c r="AF146" s="447"/>
      <c r="AG146" s="447"/>
      <c r="AH146" s="447"/>
      <c r="AI146" s="382"/>
      <c r="AJ146" s="382"/>
      <c r="AK146" s="382"/>
      <c r="AL146" s="382"/>
      <c r="AM146" s="382"/>
      <c r="AN146" s="382"/>
      <c r="AO146" s="382"/>
      <c r="AP146" s="382"/>
      <c r="AQ146" s="382"/>
      <c r="AR146" s="382"/>
      <c r="AS146" s="382"/>
      <c r="AT146" s="382"/>
      <c r="AU146" s="382"/>
      <c r="AV146" s="382"/>
      <c r="AW146" s="382"/>
      <c r="AX146" s="382"/>
      <c r="AY146" s="382"/>
      <c r="AZ146" s="382"/>
      <c r="BA146" s="382"/>
      <c r="BB146" s="382"/>
      <c r="BC146" s="382"/>
      <c r="BD146" s="382"/>
      <c r="BE146" s="382"/>
      <c r="BF146" s="382"/>
      <c r="BG146" s="382"/>
      <c r="BH146" s="382"/>
      <c r="BI146" s="382"/>
      <c r="BJ146" s="382"/>
      <c r="BK146" s="382"/>
      <c r="BL146" s="382"/>
      <c r="BM146" s="382"/>
      <c r="BN146" s="382"/>
      <c r="BO146" s="382"/>
    </row>
    <row r="147" spans="1:67" s="88" customFormat="1" ht="10.55" customHeight="1" x14ac:dyDescent="0.2">
      <c r="A147" s="675"/>
      <c r="B147" s="2807"/>
      <c r="C147" s="2808"/>
      <c r="D147" s="2809"/>
      <c r="E147" s="2561"/>
      <c r="F147" s="2562"/>
      <c r="G147" s="1015"/>
      <c r="H147" s="524"/>
      <c r="I147" s="1409">
        <f t="shared" si="35"/>
        <v>0</v>
      </c>
      <c r="J147" s="1421">
        <f t="shared" si="36"/>
        <v>0</v>
      </c>
      <c r="K147" s="679"/>
      <c r="L147" s="1002"/>
      <c r="M147" s="1428">
        <f t="shared" si="37"/>
        <v>0</v>
      </c>
      <c r="N147" s="1106"/>
      <c r="O147" s="674">
        <f t="shared" si="38"/>
        <v>0</v>
      </c>
      <c r="P147" s="682"/>
      <c r="Q147" s="286"/>
      <c r="R147" s="287"/>
      <c r="S147" s="280"/>
      <c r="T147" s="280"/>
      <c r="U147" s="280"/>
      <c r="V147" s="280"/>
      <c r="W147" s="280"/>
      <c r="X147" s="280"/>
      <c r="Y147" s="280"/>
      <c r="Z147" s="284"/>
      <c r="AA147" s="284"/>
      <c r="AB147" s="284"/>
      <c r="AC147" s="284"/>
      <c r="AD147" s="284"/>
      <c r="AE147" s="284"/>
      <c r="AF147" s="447"/>
      <c r="AG147" s="447"/>
      <c r="AH147" s="447"/>
      <c r="AI147" s="382"/>
      <c r="AJ147" s="382"/>
      <c r="AK147" s="382"/>
      <c r="AL147" s="382"/>
      <c r="AM147" s="382"/>
      <c r="AN147" s="382"/>
      <c r="AO147" s="382"/>
      <c r="AP147" s="382"/>
      <c r="AQ147" s="382"/>
      <c r="AR147" s="382"/>
      <c r="AS147" s="382"/>
      <c r="AT147" s="382"/>
      <c r="AU147" s="382"/>
      <c r="AV147" s="382"/>
      <c r="AW147" s="382"/>
      <c r="AX147" s="382"/>
      <c r="AY147" s="382"/>
      <c r="AZ147" s="382"/>
      <c r="BA147" s="382"/>
      <c r="BB147" s="382"/>
      <c r="BC147" s="382"/>
      <c r="BD147" s="382"/>
      <c r="BE147" s="382"/>
      <c r="BF147" s="382"/>
      <c r="BG147" s="382"/>
      <c r="BH147" s="382"/>
      <c r="BI147" s="382"/>
      <c r="BJ147" s="382"/>
      <c r="BK147" s="382"/>
      <c r="BL147" s="382"/>
      <c r="BM147" s="382"/>
      <c r="BN147" s="382"/>
      <c r="BO147" s="382"/>
    </row>
    <row r="148" spans="1:67" s="88" customFormat="1" ht="10.55" customHeight="1" x14ac:dyDescent="0.2">
      <c r="A148" s="675"/>
      <c r="B148" s="2807"/>
      <c r="C148" s="2808"/>
      <c r="D148" s="2809"/>
      <c r="E148" s="2561"/>
      <c r="F148" s="2562"/>
      <c r="G148" s="1015"/>
      <c r="H148" s="524"/>
      <c r="I148" s="1409">
        <f t="shared" si="35"/>
        <v>0</v>
      </c>
      <c r="J148" s="1421">
        <f t="shared" si="36"/>
        <v>0</v>
      </c>
      <c r="K148" s="679"/>
      <c r="L148" s="1002"/>
      <c r="M148" s="1428">
        <f t="shared" si="37"/>
        <v>0</v>
      </c>
      <c r="N148" s="1106"/>
      <c r="O148" s="674">
        <f t="shared" si="38"/>
        <v>0</v>
      </c>
      <c r="P148" s="682"/>
      <c r="Q148" s="286"/>
      <c r="R148" s="287"/>
      <c r="S148" s="280"/>
      <c r="T148" s="280"/>
      <c r="U148" s="280"/>
      <c r="V148" s="280"/>
      <c r="W148" s="280"/>
      <c r="X148" s="280"/>
      <c r="Y148" s="280"/>
      <c r="Z148" s="284"/>
      <c r="AA148" s="284"/>
      <c r="AB148" s="284"/>
      <c r="AC148" s="284"/>
      <c r="AD148" s="284"/>
      <c r="AE148" s="284"/>
      <c r="AF148" s="447"/>
      <c r="AG148" s="447"/>
      <c r="AH148" s="447"/>
      <c r="AI148" s="382"/>
      <c r="AJ148" s="382"/>
      <c r="AK148" s="382"/>
      <c r="AL148" s="382"/>
      <c r="AM148" s="382"/>
      <c r="AN148" s="382"/>
      <c r="AO148" s="382"/>
      <c r="AP148" s="382"/>
      <c r="AQ148" s="382"/>
      <c r="AR148" s="382"/>
      <c r="AS148" s="382"/>
      <c r="AT148" s="382"/>
      <c r="AU148" s="382"/>
      <c r="AV148" s="382"/>
      <c r="AW148" s="382"/>
      <c r="AX148" s="382"/>
      <c r="AY148" s="382"/>
      <c r="AZ148" s="382"/>
      <c r="BA148" s="382"/>
      <c r="BB148" s="382"/>
      <c r="BC148" s="382"/>
      <c r="BD148" s="382"/>
      <c r="BE148" s="382"/>
      <c r="BF148" s="382"/>
      <c r="BG148" s="382"/>
      <c r="BH148" s="382"/>
      <c r="BI148" s="382"/>
      <c r="BJ148" s="382"/>
      <c r="BK148" s="382"/>
      <c r="BL148" s="382"/>
      <c r="BM148" s="382"/>
      <c r="BN148" s="382"/>
      <c r="BO148" s="382"/>
    </row>
    <row r="149" spans="1:67" s="88" customFormat="1" ht="10.55" customHeight="1" x14ac:dyDescent="0.2">
      <c r="A149" s="675"/>
      <c r="B149" s="2807"/>
      <c r="C149" s="2808"/>
      <c r="D149" s="2809"/>
      <c r="E149" s="2561"/>
      <c r="F149" s="2562"/>
      <c r="G149" s="1015"/>
      <c r="H149" s="524"/>
      <c r="I149" s="1409">
        <f t="shared" si="35"/>
        <v>0</v>
      </c>
      <c r="J149" s="1421">
        <f t="shared" si="36"/>
        <v>0</v>
      </c>
      <c r="K149" s="679"/>
      <c r="L149" s="1002"/>
      <c r="M149" s="1428">
        <f t="shared" si="37"/>
        <v>0</v>
      </c>
      <c r="N149" s="1106"/>
      <c r="O149" s="674">
        <f t="shared" si="38"/>
        <v>0</v>
      </c>
      <c r="P149" s="682"/>
      <c r="Q149" s="286"/>
      <c r="R149" s="287"/>
      <c r="S149" s="280"/>
      <c r="T149" s="280"/>
      <c r="U149" s="280"/>
      <c r="V149" s="280"/>
      <c r="W149" s="280"/>
      <c r="X149" s="280"/>
      <c r="Y149" s="280"/>
      <c r="Z149" s="284"/>
      <c r="AA149" s="284"/>
      <c r="AB149" s="284"/>
      <c r="AC149" s="284"/>
      <c r="AD149" s="284"/>
      <c r="AE149" s="284"/>
      <c r="AF149" s="447"/>
      <c r="AG149" s="447"/>
      <c r="AH149" s="447"/>
      <c r="AI149" s="382"/>
      <c r="AJ149" s="382"/>
      <c r="AK149" s="382"/>
      <c r="AL149" s="382"/>
      <c r="AM149" s="382"/>
      <c r="AN149" s="382"/>
      <c r="AO149" s="382"/>
      <c r="AP149" s="382"/>
      <c r="AQ149" s="382"/>
      <c r="AR149" s="382"/>
      <c r="AS149" s="382"/>
      <c r="AT149" s="382"/>
      <c r="AU149" s="382"/>
      <c r="AV149" s="382"/>
      <c r="AW149" s="382"/>
      <c r="AX149" s="382"/>
      <c r="AY149" s="382"/>
      <c r="AZ149" s="382"/>
      <c r="BA149" s="382"/>
      <c r="BB149" s="382"/>
      <c r="BC149" s="382"/>
      <c r="BD149" s="382"/>
      <c r="BE149" s="382"/>
      <c r="BF149" s="382"/>
      <c r="BG149" s="382"/>
      <c r="BH149" s="382"/>
      <c r="BI149" s="382"/>
      <c r="BJ149" s="382"/>
      <c r="BK149" s="382"/>
      <c r="BL149" s="382"/>
      <c r="BM149" s="382"/>
      <c r="BN149" s="382"/>
      <c r="BO149" s="382"/>
    </row>
    <row r="150" spans="1:67" s="88" customFormat="1" ht="10.55" customHeight="1" x14ac:dyDescent="0.2">
      <c r="A150" s="1085"/>
      <c r="B150" s="2804"/>
      <c r="C150" s="2805"/>
      <c r="D150" s="2806"/>
      <c r="E150" s="2793"/>
      <c r="F150" s="2794"/>
      <c r="G150" s="1086"/>
      <c r="H150" s="1087"/>
      <c r="I150" s="1437">
        <f t="shared" si="35"/>
        <v>0</v>
      </c>
      <c r="J150" s="1413"/>
      <c r="K150" s="1088"/>
      <c r="L150" s="1089"/>
      <c r="M150" s="1431">
        <f t="shared" si="37"/>
        <v>0</v>
      </c>
      <c r="N150" s="1106"/>
      <c r="O150" s="674">
        <f t="shared" si="38"/>
        <v>0</v>
      </c>
      <c r="P150" s="682"/>
      <c r="Q150" s="286"/>
      <c r="R150" s="287"/>
      <c r="S150" s="280"/>
      <c r="T150" s="280"/>
      <c r="U150" s="280"/>
      <c r="V150" s="280"/>
      <c r="W150" s="280"/>
      <c r="X150" s="280"/>
      <c r="Y150" s="280"/>
      <c r="Z150" s="284"/>
      <c r="AA150" s="284"/>
      <c r="AB150" s="284"/>
      <c r="AC150" s="284"/>
      <c r="AD150" s="284"/>
      <c r="AE150" s="284"/>
      <c r="AF150" s="447"/>
      <c r="AG150" s="447"/>
      <c r="AH150" s="447"/>
      <c r="AI150" s="382"/>
      <c r="AJ150" s="382"/>
      <c r="AK150" s="382"/>
      <c r="AL150" s="382"/>
      <c r="AM150" s="382"/>
      <c r="AN150" s="382"/>
      <c r="AO150" s="382"/>
      <c r="AP150" s="382"/>
      <c r="AQ150" s="382"/>
      <c r="AR150" s="382"/>
      <c r="AS150" s="382"/>
      <c r="AT150" s="382"/>
      <c r="AU150" s="382"/>
      <c r="AV150" s="382"/>
      <c r="AW150" s="382"/>
      <c r="AX150" s="382"/>
      <c r="AY150" s="382"/>
      <c r="AZ150" s="382"/>
      <c r="BA150" s="382"/>
      <c r="BB150" s="382"/>
      <c r="BC150" s="382"/>
      <c r="BD150" s="382"/>
      <c r="BE150" s="382"/>
      <c r="BF150" s="382"/>
      <c r="BG150" s="382"/>
      <c r="BH150" s="382"/>
      <c r="BI150" s="382"/>
      <c r="BJ150" s="382"/>
      <c r="BK150" s="382"/>
      <c r="BL150" s="382"/>
      <c r="BM150" s="382"/>
      <c r="BN150" s="382"/>
      <c r="BO150" s="382"/>
    </row>
    <row r="151" spans="1:67" s="88" customFormat="1" ht="10.55" customHeight="1" x14ac:dyDescent="0.2">
      <c r="A151" s="1011" t="s">
        <v>363</v>
      </c>
      <c r="B151" s="2783"/>
      <c r="C151" s="2784"/>
      <c r="D151" s="2785"/>
      <c r="E151" s="2810">
        <f>SUM(E152:E164)</f>
        <v>0</v>
      </c>
      <c r="F151" s="2811"/>
      <c r="G151" s="2747"/>
      <c r="H151" s="2748"/>
      <c r="I151" s="1435">
        <f>IF(E151=0,0,J151/E151)</f>
        <v>0</v>
      </c>
      <c r="J151" s="1423">
        <f>SUM(J152:J164)</f>
        <v>0</v>
      </c>
      <c r="K151" s="2749">
        <f>IF(E151=0,0,M151/E151*100)</f>
        <v>0</v>
      </c>
      <c r="L151" s="2750"/>
      <c r="M151" s="1430">
        <f>SUM(M152:M164)</f>
        <v>0</v>
      </c>
      <c r="N151" s="1106"/>
      <c r="O151" s="387">
        <f>IF(H151="",G151,H151)</f>
        <v>0</v>
      </c>
      <c r="P151" s="682"/>
      <c r="Q151" s="286"/>
      <c r="R151" s="287"/>
      <c r="S151" s="280"/>
      <c r="T151" s="280"/>
      <c r="U151" s="280"/>
      <c r="V151" s="280"/>
      <c r="W151" s="280"/>
      <c r="X151" s="280"/>
      <c r="Y151" s="280"/>
      <c r="Z151" s="284"/>
      <c r="AA151" s="284"/>
      <c r="AB151" s="284"/>
      <c r="AC151" s="284"/>
      <c r="AD151" s="284"/>
      <c r="AE151" s="284"/>
      <c r="AF151" s="447"/>
      <c r="AG151" s="447"/>
      <c r="AH151" s="447"/>
      <c r="AI151" s="382"/>
      <c r="AJ151" s="382"/>
      <c r="AK151" s="382"/>
      <c r="AL151" s="382"/>
      <c r="AM151" s="382"/>
      <c r="AN151" s="382"/>
      <c r="AO151" s="382"/>
      <c r="AP151" s="382"/>
      <c r="AQ151" s="382"/>
      <c r="AR151" s="382"/>
      <c r="AS151" s="382"/>
      <c r="AT151" s="382"/>
      <c r="AU151" s="382"/>
      <c r="AV151" s="382"/>
      <c r="AW151" s="382"/>
      <c r="AX151" s="382"/>
      <c r="AY151" s="382"/>
      <c r="AZ151" s="382"/>
      <c r="BA151" s="382"/>
      <c r="BB151" s="382"/>
      <c r="BC151" s="382"/>
      <c r="BD151" s="382"/>
      <c r="BE151" s="382"/>
      <c r="BF151" s="382"/>
      <c r="BG151" s="382"/>
      <c r="BH151" s="382"/>
      <c r="BI151" s="382"/>
      <c r="BJ151" s="382"/>
      <c r="BK151" s="382"/>
      <c r="BL151" s="382"/>
      <c r="BM151" s="382"/>
      <c r="BN151" s="382"/>
      <c r="BO151" s="382"/>
    </row>
    <row r="152" spans="1:67" s="88" customFormat="1" ht="10.55" customHeight="1" x14ac:dyDescent="0.2">
      <c r="A152" s="1013" t="s">
        <v>364</v>
      </c>
      <c r="B152" s="2790"/>
      <c r="C152" s="2791"/>
      <c r="D152" s="2792"/>
      <c r="E152" s="2734"/>
      <c r="F152" s="2735"/>
      <c r="G152" s="1785">
        <v>15</v>
      </c>
      <c r="H152" s="524"/>
      <c r="I152" s="1409">
        <f t="shared" ref="I152:I165" si="39">IF($O152&gt;0,-PMT(($I$9),$O152,1),0)</f>
        <v>8.0766456051533542E-2</v>
      </c>
      <c r="J152" s="1421">
        <f t="shared" ref="J152:J164" si="40">ROUND(E152*I152,0)</f>
        <v>0</v>
      </c>
      <c r="K152" s="678">
        <v>3</v>
      </c>
      <c r="L152" s="1002"/>
      <c r="M152" s="1428">
        <f t="shared" ref="M152:M165" si="41">ROUND(E152/100*IF(ISBLANK(L152),K152,L152),0)</f>
        <v>0</v>
      </c>
      <c r="N152" s="1106"/>
      <c r="O152" s="674">
        <f t="shared" ref="O152:O165" si="42">IF(ISBLANK(H152),G152,H152)</f>
        <v>15</v>
      </c>
      <c r="P152" s="682"/>
      <c r="Q152" s="286"/>
      <c r="R152" s="287"/>
      <c r="S152" s="280"/>
      <c r="T152" s="280"/>
      <c r="U152" s="280"/>
      <c r="V152" s="280"/>
      <c r="W152" s="280"/>
      <c r="X152" s="280"/>
      <c r="Y152" s="280"/>
      <c r="Z152" s="284"/>
      <c r="AA152" s="284"/>
      <c r="AB152" s="284"/>
      <c r="AC152" s="284"/>
      <c r="AD152" s="284"/>
      <c r="AE152" s="284"/>
      <c r="AF152" s="447"/>
      <c r="AG152" s="447"/>
      <c r="AH152" s="447"/>
      <c r="AI152" s="382"/>
      <c r="AJ152" s="382"/>
      <c r="AK152" s="382"/>
      <c r="AL152" s="382"/>
      <c r="AM152" s="382"/>
      <c r="AN152" s="382"/>
      <c r="AO152" s="382"/>
      <c r="AP152" s="382"/>
      <c r="AQ152" s="382"/>
      <c r="AR152" s="382"/>
      <c r="AS152" s="382"/>
      <c r="AT152" s="382"/>
      <c r="AU152" s="382"/>
      <c r="AV152" s="382"/>
      <c r="AW152" s="382"/>
      <c r="AX152" s="382"/>
      <c r="AY152" s="382"/>
      <c r="AZ152" s="382"/>
      <c r="BA152" s="382"/>
      <c r="BB152" s="382"/>
      <c r="BC152" s="382"/>
      <c r="BD152" s="382"/>
      <c r="BE152" s="382"/>
      <c r="BF152" s="382"/>
      <c r="BG152" s="382"/>
      <c r="BH152" s="382"/>
      <c r="BI152" s="382"/>
      <c r="BJ152" s="382"/>
      <c r="BK152" s="382"/>
      <c r="BL152" s="382"/>
      <c r="BM152" s="382"/>
      <c r="BN152" s="382"/>
      <c r="BO152" s="382"/>
    </row>
    <row r="153" spans="1:67" s="88" customFormat="1" ht="10.55" customHeight="1" x14ac:dyDescent="0.2">
      <c r="A153" s="1013" t="s">
        <v>365</v>
      </c>
      <c r="B153" s="2807"/>
      <c r="C153" s="2808"/>
      <c r="D153" s="2809"/>
      <c r="E153" s="2561"/>
      <c r="F153" s="2562"/>
      <c r="G153" s="1785">
        <v>15</v>
      </c>
      <c r="H153" s="524"/>
      <c r="I153" s="1409">
        <f t="shared" si="39"/>
        <v>8.0766456051533542E-2</v>
      </c>
      <c r="J153" s="1421">
        <f t="shared" si="40"/>
        <v>0</v>
      </c>
      <c r="K153" s="678">
        <v>3</v>
      </c>
      <c r="L153" s="1002"/>
      <c r="M153" s="1428">
        <f t="shared" si="41"/>
        <v>0</v>
      </c>
      <c r="N153" s="1106"/>
      <c r="O153" s="674">
        <f t="shared" si="42"/>
        <v>15</v>
      </c>
      <c r="P153" s="682"/>
      <c r="Q153" s="286"/>
      <c r="R153" s="287"/>
      <c r="S153" s="280"/>
      <c r="T153" s="280"/>
      <c r="U153" s="280"/>
      <c r="V153" s="280"/>
      <c r="W153" s="280"/>
      <c r="X153" s="280"/>
      <c r="Y153" s="280"/>
      <c r="Z153" s="284"/>
      <c r="AA153" s="284"/>
      <c r="AB153" s="284"/>
      <c r="AC153" s="284"/>
      <c r="AD153" s="284"/>
      <c r="AE153" s="284"/>
      <c r="AF153" s="447"/>
      <c r="AG153" s="447"/>
      <c r="AH153" s="447"/>
      <c r="AI153" s="382"/>
      <c r="AJ153" s="382"/>
      <c r="AK153" s="382"/>
      <c r="AL153" s="382"/>
      <c r="AM153" s="382"/>
      <c r="AN153" s="382"/>
      <c r="AO153" s="382"/>
      <c r="AP153" s="382"/>
      <c r="AQ153" s="382"/>
      <c r="AR153" s="382"/>
      <c r="AS153" s="382"/>
      <c r="AT153" s="382"/>
      <c r="AU153" s="382"/>
      <c r="AV153" s="382"/>
      <c r="AW153" s="382"/>
      <c r="AX153" s="382"/>
      <c r="AY153" s="382"/>
      <c r="AZ153" s="382"/>
      <c r="BA153" s="382"/>
      <c r="BB153" s="382"/>
      <c r="BC153" s="382"/>
      <c r="BD153" s="382"/>
      <c r="BE153" s="382"/>
      <c r="BF153" s="382"/>
      <c r="BG153" s="382"/>
      <c r="BH153" s="382"/>
      <c r="BI153" s="382"/>
      <c r="BJ153" s="382"/>
      <c r="BK153" s="382"/>
      <c r="BL153" s="382"/>
      <c r="BM153" s="382"/>
      <c r="BN153" s="382"/>
      <c r="BO153" s="382"/>
    </row>
    <row r="154" spans="1:67" s="88" customFormat="1" ht="10.55" customHeight="1" x14ac:dyDescent="0.2">
      <c r="A154" s="1013" t="s">
        <v>366</v>
      </c>
      <c r="B154" s="2807"/>
      <c r="C154" s="2808"/>
      <c r="D154" s="2809"/>
      <c r="E154" s="2561"/>
      <c r="F154" s="2562"/>
      <c r="G154" s="1785">
        <v>15</v>
      </c>
      <c r="H154" s="524"/>
      <c r="I154" s="1409">
        <f t="shared" si="39"/>
        <v>8.0766456051533542E-2</v>
      </c>
      <c r="J154" s="1421">
        <f t="shared" si="40"/>
        <v>0</v>
      </c>
      <c r="K154" s="678">
        <v>3</v>
      </c>
      <c r="L154" s="1002"/>
      <c r="M154" s="1428">
        <f t="shared" si="41"/>
        <v>0</v>
      </c>
      <c r="N154" s="1106"/>
      <c r="O154" s="674">
        <f t="shared" si="42"/>
        <v>15</v>
      </c>
      <c r="P154" s="682"/>
      <c r="Q154" s="286"/>
      <c r="R154" s="287"/>
      <c r="S154" s="280"/>
      <c r="T154" s="280"/>
      <c r="U154" s="280"/>
      <c r="V154" s="280"/>
      <c r="W154" s="280"/>
      <c r="X154" s="280"/>
      <c r="Y154" s="280"/>
      <c r="Z154" s="284"/>
      <c r="AA154" s="284"/>
      <c r="AB154" s="284"/>
      <c r="AC154" s="284"/>
      <c r="AD154" s="284"/>
      <c r="AE154" s="284"/>
      <c r="AF154" s="447"/>
      <c r="AG154" s="447"/>
      <c r="AH154" s="447"/>
      <c r="AI154" s="382"/>
      <c r="AJ154" s="382"/>
      <c r="AK154" s="382"/>
      <c r="AL154" s="382"/>
      <c r="AM154" s="382"/>
      <c r="AN154" s="382"/>
      <c r="AO154" s="382"/>
      <c r="AP154" s="382"/>
      <c r="AQ154" s="382"/>
      <c r="AR154" s="382"/>
      <c r="AS154" s="382"/>
      <c r="AT154" s="382"/>
      <c r="AU154" s="382"/>
      <c r="AV154" s="382"/>
      <c r="AW154" s="382"/>
      <c r="AX154" s="382"/>
      <c r="AY154" s="382"/>
      <c r="AZ154" s="382"/>
      <c r="BA154" s="382"/>
      <c r="BB154" s="382"/>
      <c r="BC154" s="382"/>
      <c r="BD154" s="382"/>
      <c r="BE154" s="382"/>
      <c r="BF154" s="382"/>
      <c r="BG154" s="382"/>
      <c r="BH154" s="382"/>
      <c r="BI154" s="382"/>
      <c r="BJ154" s="382"/>
      <c r="BK154" s="382"/>
      <c r="BL154" s="382"/>
      <c r="BM154" s="382"/>
      <c r="BN154" s="382"/>
      <c r="BO154" s="382"/>
    </row>
    <row r="155" spans="1:67" s="88" customFormat="1" ht="10.55" customHeight="1" x14ac:dyDescent="0.2">
      <c r="A155" s="1013" t="s">
        <v>367</v>
      </c>
      <c r="B155" s="2807"/>
      <c r="C155" s="2808"/>
      <c r="D155" s="2809"/>
      <c r="E155" s="2561"/>
      <c r="F155" s="2562"/>
      <c r="G155" s="1785">
        <v>15</v>
      </c>
      <c r="H155" s="524"/>
      <c r="I155" s="1409">
        <f t="shared" si="39"/>
        <v>8.0766456051533542E-2</v>
      </c>
      <c r="J155" s="1421">
        <f t="shared" si="40"/>
        <v>0</v>
      </c>
      <c r="K155" s="678">
        <v>3</v>
      </c>
      <c r="L155" s="1002"/>
      <c r="M155" s="1428">
        <f t="shared" si="41"/>
        <v>0</v>
      </c>
      <c r="N155" s="1106"/>
      <c r="O155" s="674">
        <f t="shared" si="42"/>
        <v>15</v>
      </c>
      <c r="P155" s="682"/>
      <c r="Q155" s="286"/>
      <c r="R155" s="287"/>
      <c r="S155" s="280"/>
      <c r="T155" s="280"/>
      <c r="U155" s="280"/>
      <c r="V155" s="280"/>
      <c r="W155" s="280"/>
      <c r="X155" s="280"/>
      <c r="Y155" s="280"/>
      <c r="Z155" s="284"/>
      <c r="AA155" s="284"/>
      <c r="AB155" s="284"/>
      <c r="AC155" s="284"/>
      <c r="AD155" s="284"/>
      <c r="AE155" s="284"/>
      <c r="AF155" s="447"/>
      <c r="AG155" s="447"/>
      <c r="AH155" s="447"/>
      <c r="AI155" s="382"/>
      <c r="AJ155" s="382"/>
      <c r="AK155" s="382"/>
      <c r="AL155" s="382"/>
      <c r="AM155" s="382"/>
      <c r="AN155" s="382"/>
      <c r="AO155" s="382"/>
      <c r="AP155" s="382"/>
      <c r="AQ155" s="382"/>
      <c r="AR155" s="382"/>
      <c r="AS155" s="382"/>
      <c r="AT155" s="382"/>
      <c r="AU155" s="382"/>
      <c r="AV155" s="382"/>
      <c r="AW155" s="382"/>
      <c r="AX155" s="382"/>
      <c r="AY155" s="382"/>
      <c r="AZ155" s="382"/>
      <c r="BA155" s="382"/>
      <c r="BB155" s="382"/>
      <c r="BC155" s="382"/>
      <c r="BD155" s="382"/>
      <c r="BE155" s="382"/>
      <c r="BF155" s="382"/>
      <c r="BG155" s="382"/>
      <c r="BH155" s="382"/>
      <c r="BI155" s="382"/>
      <c r="BJ155" s="382"/>
      <c r="BK155" s="382"/>
      <c r="BL155" s="382"/>
      <c r="BM155" s="382"/>
      <c r="BN155" s="382"/>
      <c r="BO155" s="382"/>
    </row>
    <row r="156" spans="1:67" s="88" customFormat="1" ht="10.55" customHeight="1" x14ac:dyDescent="0.2">
      <c r="A156" s="675"/>
      <c r="B156" s="2807"/>
      <c r="C156" s="2808"/>
      <c r="D156" s="2809"/>
      <c r="E156" s="2561"/>
      <c r="F156" s="2562"/>
      <c r="G156" s="1015"/>
      <c r="H156" s="524"/>
      <c r="I156" s="1409">
        <f t="shared" si="39"/>
        <v>0</v>
      </c>
      <c r="J156" s="1421">
        <f t="shared" si="40"/>
        <v>0</v>
      </c>
      <c r="K156" s="679"/>
      <c r="L156" s="1002"/>
      <c r="M156" s="1428">
        <f t="shared" si="41"/>
        <v>0</v>
      </c>
      <c r="N156" s="1106"/>
      <c r="O156" s="674">
        <f t="shared" si="42"/>
        <v>0</v>
      </c>
      <c r="P156" s="682"/>
      <c r="Q156" s="286"/>
      <c r="R156" s="287"/>
      <c r="S156" s="280"/>
      <c r="T156" s="280"/>
      <c r="U156" s="280"/>
      <c r="V156" s="280"/>
      <c r="W156" s="280"/>
      <c r="X156" s="280"/>
      <c r="Y156" s="280"/>
      <c r="Z156" s="284"/>
      <c r="AA156" s="284"/>
      <c r="AB156" s="284"/>
      <c r="AC156" s="284"/>
      <c r="AD156" s="284"/>
      <c r="AE156" s="284"/>
      <c r="AF156" s="447"/>
      <c r="AG156" s="447"/>
      <c r="AH156" s="447"/>
      <c r="AI156" s="382"/>
      <c r="AJ156" s="382"/>
      <c r="AK156" s="382"/>
      <c r="AL156" s="382"/>
      <c r="AM156" s="382"/>
      <c r="AN156" s="382"/>
      <c r="AO156" s="382"/>
      <c r="AP156" s="382"/>
      <c r="AQ156" s="382"/>
      <c r="AR156" s="382"/>
      <c r="AS156" s="382"/>
      <c r="AT156" s="382"/>
      <c r="AU156" s="382"/>
      <c r="AV156" s="382"/>
      <c r="AW156" s="382"/>
      <c r="AX156" s="382"/>
      <c r="AY156" s="382"/>
      <c r="AZ156" s="382"/>
      <c r="BA156" s="382"/>
      <c r="BB156" s="382"/>
      <c r="BC156" s="382"/>
      <c r="BD156" s="382"/>
      <c r="BE156" s="382"/>
      <c r="BF156" s="382"/>
      <c r="BG156" s="382"/>
      <c r="BH156" s="382"/>
      <c r="BI156" s="382"/>
      <c r="BJ156" s="382"/>
      <c r="BK156" s="382"/>
      <c r="BL156" s="382"/>
      <c r="BM156" s="382"/>
      <c r="BN156" s="382"/>
      <c r="BO156" s="382"/>
    </row>
    <row r="157" spans="1:67" s="88" customFormat="1" ht="10.55" customHeight="1" x14ac:dyDescent="0.2">
      <c r="A157" s="675"/>
      <c r="B157" s="2807"/>
      <c r="C157" s="2808"/>
      <c r="D157" s="2809"/>
      <c r="E157" s="2561"/>
      <c r="F157" s="2562"/>
      <c r="G157" s="1015"/>
      <c r="H157" s="524"/>
      <c r="I157" s="1409">
        <f t="shared" si="39"/>
        <v>0</v>
      </c>
      <c r="J157" s="1421">
        <f t="shared" si="40"/>
        <v>0</v>
      </c>
      <c r="K157" s="679"/>
      <c r="L157" s="1002"/>
      <c r="M157" s="1428">
        <f t="shared" si="41"/>
        <v>0</v>
      </c>
      <c r="N157" s="1106"/>
      <c r="O157" s="674">
        <f t="shared" si="42"/>
        <v>0</v>
      </c>
      <c r="P157" s="682"/>
      <c r="Q157" s="286"/>
      <c r="R157" s="287"/>
      <c r="S157" s="280"/>
      <c r="T157" s="280"/>
      <c r="U157" s="280"/>
      <c r="V157" s="280"/>
      <c r="W157" s="280"/>
      <c r="X157" s="280"/>
      <c r="Y157" s="280"/>
      <c r="Z157" s="284"/>
      <c r="AA157" s="284"/>
      <c r="AB157" s="284"/>
      <c r="AC157" s="284"/>
      <c r="AD157" s="284"/>
      <c r="AE157" s="284"/>
      <c r="AF157" s="447"/>
      <c r="AG157" s="447"/>
      <c r="AH157" s="447"/>
      <c r="AI157" s="382"/>
      <c r="AJ157" s="382"/>
      <c r="AK157" s="382"/>
      <c r="AL157" s="382"/>
      <c r="AM157" s="382"/>
      <c r="AN157" s="382"/>
      <c r="AO157" s="382"/>
      <c r="AP157" s="382"/>
      <c r="AQ157" s="382"/>
      <c r="AR157" s="382"/>
      <c r="AS157" s="382"/>
      <c r="AT157" s="382"/>
      <c r="AU157" s="382"/>
      <c r="AV157" s="382"/>
      <c r="AW157" s="382"/>
      <c r="AX157" s="382"/>
      <c r="AY157" s="382"/>
      <c r="AZ157" s="382"/>
      <c r="BA157" s="382"/>
      <c r="BB157" s="382"/>
      <c r="BC157" s="382"/>
      <c r="BD157" s="382"/>
      <c r="BE157" s="382"/>
      <c r="BF157" s="382"/>
      <c r="BG157" s="382"/>
      <c r="BH157" s="382"/>
      <c r="BI157" s="382"/>
      <c r="BJ157" s="382"/>
      <c r="BK157" s="382"/>
      <c r="BL157" s="382"/>
      <c r="BM157" s="382"/>
      <c r="BN157" s="382"/>
      <c r="BO157" s="382"/>
    </row>
    <row r="158" spans="1:67" s="88" customFormat="1" ht="10.55" customHeight="1" x14ac:dyDescent="0.2">
      <c r="A158" s="675"/>
      <c r="B158" s="2807"/>
      <c r="C158" s="2808"/>
      <c r="D158" s="2809"/>
      <c r="E158" s="2561"/>
      <c r="F158" s="2562"/>
      <c r="G158" s="1015"/>
      <c r="H158" s="524"/>
      <c r="I158" s="1409">
        <f t="shared" si="39"/>
        <v>0</v>
      </c>
      <c r="J158" s="1421">
        <f t="shared" si="40"/>
        <v>0</v>
      </c>
      <c r="K158" s="679"/>
      <c r="L158" s="1002"/>
      <c r="M158" s="1428">
        <f t="shared" si="41"/>
        <v>0</v>
      </c>
      <c r="N158" s="1106"/>
      <c r="O158" s="674">
        <f t="shared" si="42"/>
        <v>0</v>
      </c>
      <c r="P158" s="682"/>
      <c r="Q158" s="286"/>
      <c r="R158" s="287"/>
      <c r="S158" s="280"/>
      <c r="T158" s="280"/>
      <c r="U158" s="280"/>
      <c r="V158" s="280"/>
      <c r="W158" s="280"/>
      <c r="X158" s="280"/>
      <c r="Y158" s="280"/>
      <c r="Z158" s="284"/>
      <c r="AA158" s="284"/>
      <c r="AB158" s="284"/>
      <c r="AC158" s="284"/>
      <c r="AD158" s="284"/>
      <c r="AE158" s="284"/>
      <c r="AF158" s="447"/>
      <c r="AG158" s="447"/>
      <c r="AH158" s="447"/>
      <c r="AI158" s="382"/>
      <c r="AJ158" s="382"/>
      <c r="AK158" s="382"/>
      <c r="AL158" s="382"/>
      <c r="AM158" s="382"/>
      <c r="AN158" s="382"/>
      <c r="AO158" s="382"/>
      <c r="AP158" s="382"/>
      <c r="AQ158" s="382"/>
      <c r="AR158" s="382"/>
      <c r="AS158" s="382"/>
      <c r="AT158" s="382"/>
      <c r="AU158" s="382"/>
      <c r="AV158" s="382"/>
      <c r="AW158" s="382"/>
      <c r="AX158" s="382"/>
      <c r="AY158" s="382"/>
      <c r="AZ158" s="382"/>
      <c r="BA158" s="382"/>
      <c r="BB158" s="382"/>
      <c r="BC158" s="382"/>
      <c r="BD158" s="382"/>
      <c r="BE158" s="382"/>
      <c r="BF158" s="382"/>
      <c r="BG158" s="382"/>
      <c r="BH158" s="382"/>
      <c r="BI158" s="382"/>
      <c r="BJ158" s="382"/>
      <c r="BK158" s="382"/>
      <c r="BL158" s="382"/>
      <c r="BM158" s="382"/>
      <c r="BN158" s="382"/>
      <c r="BO158" s="382"/>
    </row>
    <row r="159" spans="1:67" s="88" customFormat="1" ht="10.55" customHeight="1" x14ac:dyDescent="0.2">
      <c r="A159" s="675"/>
      <c r="B159" s="2807"/>
      <c r="C159" s="2808"/>
      <c r="D159" s="2809"/>
      <c r="E159" s="2561"/>
      <c r="F159" s="2562"/>
      <c r="G159" s="1015"/>
      <c r="H159" s="524"/>
      <c r="I159" s="1409">
        <f t="shared" si="39"/>
        <v>0</v>
      </c>
      <c r="J159" s="1421">
        <f t="shared" si="40"/>
        <v>0</v>
      </c>
      <c r="K159" s="679"/>
      <c r="L159" s="1002"/>
      <c r="M159" s="1428">
        <f t="shared" si="41"/>
        <v>0</v>
      </c>
      <c r="N159" s="1106"/>
      <c r="O159" s="674">
        <f t="shared" si="42"/>
        <v>0</v>
      </c>
      <c r="P159" s="682"/>
      <c r="Q159" s="286"/>
      <c r="R159" s="287"/>
      <c r="S159" s="280"/>
      <c r="T159" s="280"/>
      <c r="U159" s="280"/>
      <c r="V159" s="280"/>
      <c r="W159" s="280"/>
      <c r="X159" s="280"/>
      <c r="Y159" s="280"/>
      <c r="Z159" s="284"/>
      <c r="AA159" s="284"/>
      <c r="AB159" s="284"/>
      <c r="AC159" s="284"/>
      <c r="AD159" s="284"/>
      <c r="AE159" s="284"/>
      <c r="AF159" s="447"/>
      <c r="AG159" s="447"/>
      <c r="AH159" s="447"/>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82"/>
      <c r="BG159" s="382"/>
      <c r="BH159" s="382"/>
      <c r="BI159" s="382"/>
      <c r="BJ159" s="382"/>
      <c r="BK159" s="382"/>
      <c r="BL159" s="382"/>
      <c r="BM159" s="382"/>
      <c r="BN159" s="382"/>
      <c r="BO159" s="382"/>
    </row>
    <row r="160" spans="1:67" s="88" customFormat="1" ht="10.55" customHeight="1" x14ac:dyDescent="0.2">
      <c r="A160" s="675"/>
      <c r="B160" s="2807"/>
      <c r="C160" s="2808"/>
      <c r="D160" s="2809"/>
      <c r="E160" s="2561"/>
      <c r="F160" s="2562"/>
      <c r="G160" s="1015"/>
      <c r="H160" s="524"/>
      <c r="I160" s="1409">
        <f t="shared" si="39"/>
        <v>0</v>
      </c>
      <c r="J160" s="1421">
        <f t="shared" si="40"/>
        <v>0</v>
      </c>
      <c r="K160" s="679"/>
      <c r="L160" s="1002"/>
      <c r="M160" s="1428">
        <f t="shared" si="41"/>
        <v>0</v>
      </c>
      <c r="N160" s="1106"/>
      <c r="O160" s="674">
        <f t="shared" si="42"/>
        <v>0</v>
      </c>
      <c r="P160" s="682"/>
      <c r="Q160" s="286"/>
      <c r="R160" s="287"/>
      <c r="S160" s="280"/>
      <c r="T160" s="280"/>
      <c r="U160" s="280"/>
      <c r="V160" s="280"/>
      <c r="W160" s="280"/>
      <c r="X160" s="280"/>
      <c r="Y160" s="280"/>
      <c r="Z160" s="284"/>
      <c r="AA160" s="284"/>
      <c r="AB160" s="284"/>
      <c r="AC160" s="284"/>
      <c r="AD160" s="284"/>
      <c r="AE160" s="284"/>
      <c r="AF160" s="447"/>
      <c r="AG160" s="447"/>
      <c r="AH160" s="447"/>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2"/>
      <c r="BG160" s="382"/>
      <c r="BH160" s="382"/>
      <c r="BI160" s="382"/>
      <c r="BJ160" s="382"/>
      <c r="BK160" s="382"/>
      <c r="BL160" s="382"/>
      <c r="BM160" s="382"/>
      <c r="BN160" s="382"/>
      <c r="BO160" s="382"/>
    </row>
    <row r="161" spans="1:67" s="88" customFormat="1" ht="10.55" customHeight="1" x14ac:dyDescent="0.2">
      <c r="A161" s="675"/>
      <c r="B161" s="2807"/>
      <c r="C161" s="2808"/>
      <c r="D161" s="2809"/>
      <c r="E161" s="2561"/>
      <c r="F161" s="2562"/>
      <c r="G161" s="1015"/>
      <c r="H161" s="524"/>
      <c r="I161" s="1409">
        <f t="shared" si="39"/>
        <v>0</v>
      </c>
      <c r="J161" s="1421">
        <f t="shared" si="40"/>
        <v>0</v>
      </c>
      <c r="K161" s="679"/>
      <c r="L161" s="1002"/>
      <c r="M161" s="1428">
        <f t="shared" si="41"/>
        <v>0</v>
      </c>
      <c r="N161" s="1106"/>
      <c r="O161" s="674">
        <f t="shared" si="42"/>
        <v>0</v>
      </c>
      <c r="P161" s="682"/>
      <c r="Q161" s="286"/>
      <c r="R161" s="287"/>
      <c r="S161" s="280"/>
      <c r="T161" s="280"/>
      <c r="U161" s="280"/>
      <c r="V161" s="280"/>
      <c r="W161" s="280"/>
      <c r="X161" s="280"/>
      <c r="Y161" s="280"/>
      <c r="Z161" s="284"/>
      <c r="AA161" s="284"/>
      <c r="AB161" s="284"/>
      <c r="AC161" s="284"/>
      <c r="AD161" s="284"/>
      <c r="AE161" s="284"/>
      <c r="AF161" s="447"/>
      <c r="AG161" s="447"/>
      <c r="AH161" s="447"/>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2"/>
      <c r="BG161" s="382"/>
      <c r="BH161" s="382"/>
      <c r="BI161" s="382"/>
      <c r="BJ161" s="382"/>
      <c r="BK161" s="382"/>
      <c r="BL161" s="382"/>
      <c r="BM161" s="382"/>
      <c r="BN161" s="382"/>
      <c r="BO161" s="382"/>
    </row>
    <row r="162" spans="1:67" s="88" customFormat="1" ht="10.55" customHeight="1" x14ac:dyDescent="0.2">
      <c r="A162" s="675"/>
      <c r="B162" s="2807"/>
      <c r="C162" s="2808"/>
      <c r="D162" s="2809"/>
      <c r="E162" s="2561"/>
      <c r="F162" s="2562"/>
      <c r="G162" s="1015"/>
      <c r="H162" s="524"/>
      <c r="I162" s="1409">
        <f t="shared" si="39"/>
        <v>0</v>
      </c>
      <c r="J162" s="1421">
        <f t="shared" si="40"/>
        <v>0</v>
      </c>
      <c r="K162" s="679"/>
      <c r="L162" s="1002"/>
      <c r="M162" s="1428">
        <f t="shared" si="41"/>
        <v>0</v>
      </c>
      <c r="N162" s="1106"/>
      <c r="O162" s="674">
        <f t="shared" si="42"/>
        <v>0</v>
      </c>
      <c r="P162" s="682"/>
      <c r="Q162" s="286"/>
      <c r="R162" s="287"/>
      <c r="S162" s="280"/>
      <c r="T162" s="280"/>
      <c r="U162" s="280"/>
      <c r="V162" s="280"/>
      <c r="W162" s="280"/>
      <c r="X162" s="280"/>
      <c r="Y162" s="280"/>
      <c r="Z162" s="284"/>
      <c r="AA162" s="284"/>
      <c r="AB162" s="284"/>
      <c r="AC162" s="284"/>
      <c r="AD162" s="284"/>
      <c r="AE162" s="284"/>
      <c r="AF162" s="447"/>
      <c r="AG162" s="447"/>
      <c r="AH162" s="447"/>
      <c r="AI162" s="382"/>
      <c r="AJ162" s="382"/>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2"/>
      <c r="BG162" s="382"/>
      <c r="BH162" s="382"/>
      <c r="BI162" s="382"/>
      <c r="BJ162" s="382"/>
      <c r="BK162" s="382"/>
      <c r="BL162" s="382"/>
      <c r="BM162" s="382"/>
      <c r="BN162" s="382"/>
      <c r="BO162" s="382"/>
    </row>
    <row r="163" spans="1:67" s="88" customFormat="1" ht="10.55" customHeight="1" x14ac:dyDescent="0.2">
      <c r="A163" s="675"/>
      <c r="B163" s="2807"/>
      <c r="C163" s="2808"/>
      <c r="D163" s="2809"/>
      <c r="E163" s="2561"/>
      <c r="F163" s="2562"/>
      <c r="G163" s="1015"/>
      <c r="H163" s="524"/>
      <c r="I163" s="1409">
        <f t="shared" si="39"/>
        <v>0</v>
      </c>
      <c r="J163" s="1421">
        <f t="shared" si="40"/>
        <v>0</v>
      </c>
      <c r="K163" s="679"/>
      <c r="L163" s="1002"/>
      <c r="M163" s="1428">
        <f t="shared" si="41"/>
        <v>0</v>
      </c>
      <c r="N163" s="1106"/>
      <c r="O163" s="674">
        <f t="shared" si="42"/>
        <v>0</v>
      </c>
      <c r="P163" s="682"/>
      <c r="Q163" s="286"/>
      <c r="R163" s="287"/>
      <c r="S163" s="280"/>
      <c r="T163" s="280"/>
      <c r="U163" s="280"/>
      <c r="V163" s="280"/>
      <c r="W163" s="280"/>
      <c r="X163" s="280"/>
      <c r="Y163" s="280"/>
      <c r="Z163" s="284"/>
      <c r="AA163" s="284"/>
      <c r="AB163" s="284"/>
      <c r="AC163" s="284"/>
      <c r="AD163" s="284"/>
      <c r="AE163" s="284"/>
      <c r="AF163" s="447"/>
      <c r="AG163" s="447"/>
      <c r="AH163" s="447"/>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2"/>
      <c r="BG163" s="382"/>
      <c r="BH163" s="382"/>
      <c r="BI163" s="382"/>
      <c r="BJ163" s="382"/>
      <c r="BK163" s="382"/>
      <c r="BL163" s="382"/>
      <c r="BM163" s="382"/>
      <c r="BN163" s="382"/>
      <c r="BO163" s="382"/>
    </row>
    <row r="164" spans="1:67" s="88" customFormat="1" ht="10.55" customHeight="1" x14ac:dyDescent="0.2">
      <c r="A164" s="675"/>
      <c r="B164" s="2807"/>
      <c r="C164" s="2808"/>
      <c r="D164" s="2809"/>
      <c r="E164" s="2561"/>
      <c r="F164" s="2562"/>
      <c r="G164" s="1015"/>
      <c r="H164" s="524"/>
      <c r="I164" s="1409">
        <f t="shared" si="39"/>
        <v>0</v>
      </c>
      <c r="J164" s="1421">
        <f t="shared" si="40"/>
        <v>0</v>
      </c>
      <c r="K164" s="679"/>
      <c r="L164" s="1002"/>
      <c r="M164" s="1428">
        <f t="shared" si="41"/>
        <v>0</v>
      </c>
      <c r="N164" s="1106"/>
      <c r="O164" s="674">
        <f t="shared" si="42"/>
        <v>0</v>
      </c>
      <c r="P164" s="682"/>
      <c r="Q164" s="286"/>
      <c r="R164" s="287"/>
      <c r="S164" s="280"/>
      <c r="T164" s="280"/>
      <c r="U164" s="280"/>
      <c r="V164" s="280"/>
      <c r="W164" s="280"/>
      <c r="X164" s="280"/>
      <c r="Y164" s="280"/>
      <c r="Z164" s="284"/>
      <c r="AA164" s="284"/>
      <c r="AB164" s="284"/>
      <c r="AC164" s="284"/>
      <c r="AD164" s="284"/>
      <c r="AE164" s="284"/>
      <c r="AF164" s="447"/>
      <c r="AG164" s="447"/>
      <c r="AH164" s="447"/>
      <c r="AI164" s="382"/>
      <c r="AJ164" s="382"/>
      <c r="AK164" s="382"/>
      <c r="AL164" s="382"/>
      <c r="AM164" s="382"/>
      <c r="AN164" s="382"/>
      <c r="AO164" s="382"/>
      <c r="AP164" s="382"/>
      <c r="AQ164" s="382"/>
      <c r="AR164" s="382"/>
      <c r="AS164" s="382"/>
      <c r="AT164" s="382"/>
      <c r="AU164" s="382"/>
      <c r="AV164" s="382"/>
      <c r="AW164" s="382"/>
      <c r="AX164" s="382"/>
      <c r="AY164" s="382"/>
      <c r="AZ164" s="382"/>
      <c r="BA164" s="382"/>
      <c r="BB164" s="382"/>
      <c r="BC164" s="382"/>
      <c r="BD164" s="382"/>
      <c r="BE164" s="382"/>
      <c r="BF164" s="382"/>
      <c r="BG164" s="382"/>
      <c r="BH164" s="382"/>
      <c r="BI164" s="382"/>
      <c r="BJ164" s="382"/>
      <c r="BK164" s="382"/>
      <c r="BL164" s="382"/>
      <c r="BM164" s="382"/>
      <c r="BN164" s="382"/>
      <c r="BO164" s="382"/>
    </row>
    <row r="165" spans="1:67" s="88" customFormat="1" ht="10.55" customHeight="1" x14ac:dyDescent="0.2">
      <c r="A165" s="1085"/>
      <c r="B165" s="2804"/>
      <c r="C165" s="2805"/>
      <c r="D165" s="2806"/>
      <c r="E165" s="2793"/>
      <c r="F165" s="2794"/>
      <c r="G165" s="1086"/>
      <c r="H165" s="1087"/>
      <c r="I165" s="1437">
        <f t="shared" si="39"/>
        <v>0</v>
      </c>
      <c r="J165" s="1413"/>
      <c r="K165" s="1088"/>
      <c r="L165" s="1089"/>
      <c r="M165" s="1431">
        <f t="shared" si="41"/>
        <v>0</v>
      </c>
      <c r="N165" s="1106"/>
      <c r="O165" s="674">
        <f t="shared" si="42"/>
        <v>0</v>
      </c>
      <c r="P165" s="682"/>
      <c r="Q165" s="286"/>
      <c r="R165" s="287"/>
      <c r="S165" s="280"/>
      <c r="T165" s="280"/>
      <c r="U165" s="280"/>
      <c r="V165" s="280"/>
      <c r="W165" s="280"/>
      <c r="X165" s="280"/>
      <c r="Y165" s="280"/>
      <c r="Z165" s="284"/>
      <c r="AA165" s="284"/>
      <c r="AB165" s="284"/>
      <c r="AC165" s="284"/>
      <c r="AD165" s="284"/>
      <c r="AE165" s="284"/>
      <c r="AF165" s="447"/>
      <c r="AG165" s="447"/>
      <c r="AH165" s="447"/>
      <c r="AI165" s="382"/>
      <c r="AJ165" s="382"/>
      <c r="AK165" s="382"/>
      <c r="AL165" s="382"/>
      <c r="AM165" s="382"/>
      <c r="AN165" s="382"/>
      <c r="AO165" s="382"/>
      <c r="AP165" s="382"/>
      <c r="AQ165" s="382"/>
      <c r="AR165" s="382"/>
      <c r="AS165" s="382"/>
      <c r="AT165" s="382"/>
      <c r="AU165" s="382"/>
      <c r="AV165" s="382"/>
      <c r="AW165" s="382"/>
      <c r="AX165" s="382"/>
      <c r="AY165" s="382"/>
      <c r="AZ165" s="382"/>
      <c r="BA165" s="382"/>
      <c r="BB165" s="382"/>
      <c r="BC165" s="382"/>
      <c r="BD165" s="382"/>
      <c r="BE165" s="382"/>
      <c r="BF165" s="382"/>
      <c r="BG165" s="382"/>
      <c r="BH165" s="382"/>
      <c r="BI165" s="382"/>
      <c r="BJ165" s="382"/>
      <c r="BK165" s="382"/>
      <c r="BL165" s="382"/>
      <c r="BM165" s="382"/>
      <c r="BN165" s="382"/>
      <c r="BO165" s="382"/>
    </row>
    <row r="166" spans="1:67" s="88" customFormat="1" ht="10.55" customHeight="1" x14ac:dyDescent="0.2">
      <c r="A166" s="1011" t="s">
        <v>368</v>
      </c>
      <c r="B166" s="2783"/>
      <c r="C166" s="2784"/>
      <c r="D166" s="2785"/>
      <c r="E166" s="2810">
        <f>SUM(E167:E179)</f>
        <v>0</v>
      </c>
      <c r="F166" s="2811"/>
      <c r="G166" s="2747"/>
      <c r="H166" s="2748"/>
      <c r="I166" s="1435">
        <f>IF(E166=0,0,J166/E166)</f>
        <v>0</v>
      </c>
      <c r="J166" s="1423">
        <f>SUM(J167:J179)</f>
        <v>0</v>
      </c>
      <c r="K166" s="2749">
        <f>IF(E166=0,0,M166/E166*100)</f>
        <v>0</v>
      </c>
      <c r="L166" s="2750"/>
      <c r="M166" s="1430">
        <f>SUM(M167:M179)</f>
        <v>0</v>
      </c>
      <c r="N166" s="1106"/>
      <c r="O166" s="387">
        <f>IF(H166="",G166,H166)</f>
        <v>0</v>
      </c>
      <c r="P166" s="682"/>
      <c r="Q166" s="286"/>
      <c r="R166" s="287"/>
      <c r="S166" s="280"/>
      <c r="T166" s="280"/>
      <c r="U166" s="280"/>
      <c r="V166" s="280"/>
      <c r="W166" s="280"/>
      <c r="X166" s="280"/>
      <c r="Y166" s="280"/>
      <c r="Z166" s="284"/>
      <c r="AA166" s="284"/>
      <c r="AB166" s="284"/>
      <c r="AC166" s="284"/>
      <c r="AD166" s="284"/>
      <c r="AE166" s="284"/>
      <c r="AF166" s="447"/>
      <c r="AG166" s="447"/>
      <c r="AH166" s="447"/>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2"/>
      <c r="BG166" s="382"/>
      <c r="BH166" s="382"/>
      <c r="BI166" s="382"/>
      <c r="BJ166" s="382"/>
      <c r="BK166" s="382"/>
      <c r="BL166" s="382"/>
      <c r="BM166" s="382"/>
      <c r="BN166" s="382"/>
      <c r="BO166" s="382"/>
    </row>
    <row r="167" spans="1:67" s="88" customFormat="1" ht="10.55" customHeight="1" x14ac:dyDescent="0.2">
      <c r="A167" s="1013" t="s">
        <v>369</v>
      </c>
      <c r="B167" s="2790"/>
      <c r="C167" s="2791"/>
      <c r="D167" s="2792"/>
      <c r="E167" s="2734"/>
      <c r="F167" s="2735"/>
      <c r="G167" s="1785">
        <v>30</v>
      </c>
      <c r="H167" s="524"/>
      <c r="I167" s="1409">
        <f t="shared" ref="I167:I180" si="43">IF($O167&gt;0,-PMT(($I$9),$O167,1),0)</f>
        <v>4.7777640736176463E-2</v>
      </c>
      <c r="J167" s="1421">
        <f t="shared" ref="J167:J179" si="44">ROUND(E167*I167,0)</f>
        <v>0</v>
      </c>
      <c r="K167" s="678">
        <v>1</v>
      </c>
      <c r="L167" s="1002"/>
      <c r="M167" s="1428">
        <f t="shared" ref="M167:M180" si="45">ROUND(E167/100*IF(ISBLANK(L167),K167,L167),0)</f>
        <v>0</v>
      </c>
      <c r="N167" s="1106"/>
      <c r="O167" s="674">
        <f t="shared" ref="O167:O180" si="46">IF(ISBLANK(H167),G167,H167)</f>
        <v>30</v>
      </c>
      <c r="P167" s="682"/>
      <c r="Q167" s="286"/>
      <c r="R167" s="287"/>
      <c r="S167" s="280"/>
      <c r="T167" s="280"/>
      <c r="U167" s="280"/>
      <c r="V167" s="280"/>
      <c r="W167" s="280"/>
      <c r="X167" s="280"/>
      <c r="Y167" s="280"/>
      <c r="Z167" s="284"/>
      <c r="AA167" s="284"/>
      <c r="AB167" s="284"/>
      <c r="AC167" s="284"/>
      <c r="AD167" s="284"/>
      <c r="AE167" s="284"/>
      <c r="AF167" s="447"/>
      <c r="AG167" s="447"/>
      <c r="AH167" s="447"/>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2"/>
      <c r="BG167" s="382"/>
      <c r="BH167" s="382"/>
      <c r="BI167" s="382"/>
      <c r="BJ167" s="382"/>
      <c r="BK167" s="382"/>
      <c r="BL167" s="382"/>
      <c r="BM167" s="382"/>
      <c r="BN167" s="382"/>
      <c r="BO167" s="382"/>
    </row>
    <row r="168" spans="1:67" s="88" customFormat="1" ht="10.55" customHeight="1" x14ac:dyDescent="0.2">
      <c r="A168" s="1013" t="s">
        <v>370</v>
      </c>
      <c r="B168" s="2807"/>
      <c r="C168" s="2808"/>
      <c r="D168" s="2809"/>
      <c r="E168" s="2561"/>
      <c r="F168" s="2562"/>
      <c r="G168" s="1785">
        <v>40</v>
      </c>
      <c r="H168" s="524"/>
      <c r="I168" s="1409">
        <f t="shared" si="43"/>
        <v>3.9836233162469814E-2</v>
      </c>
      <c r="J168" s="1421">
        <f t="shared" si="44"/>
        <v>0</v>
      </c>
      <c r="K168" s="678">
        <v>1.5</v>
      </c>
      <c r="L168" s="1002"/>
      <c r="M168" s="1428">
        <f t="shared" si="45"/>
        <v>0</v>
      </c>
      <c r="N168" s="1106"/>
      <c r="O168" s="674">
        <f t="shared" si="46"/>
        <v>40</v>
      </c>
      <c r="P168" s="682"/>
      <c r="Q168" s="286"/>
      <c r="R168" s="287"/>
      <c r="S168" s="280"/>
      <c r="T168" s="280"/>
      <c r="U168" s="280"/>
      <c r="V168" s="280"/>
      <c r="W168" s="280"/>
      <c r="X168" s="280"/>
      <c r="Y168" s="280"/>
      <c r="Z168" s="284"/>
      <c r="AA168" s="284"/>
      <c r="AB168" s="284"/>
      <c r="AC168" s="284"/>
      <c r="AD168" s="284"/>
      <c r="AE168" s="284"/>
      <c r="AF168" s="447"/>
      <c r="AG168" s="447"/>
      <c r="AH168" s="447"/>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382"/>
      <c r="BM168" s="382"/>
      <c r="BN168" s="382"/>
      <c r="BO168" s="382"/>
    </row>
    <row r="169" spans="1:67" s="88" customFormat="1" ht="10.55" customHeight="1" x14ac:dyDescent="0.2">
      <c r="A169" s="1013" t="s">
        <v>371</v>
      </c>
      <c r="B169" s="2807"/>
      <c r="C169" s="2808"/>
      <c r="D169" s="2809"/>
      <c r="E169" s="2561"/>
      <c r="F169" s="2562"/>
      <c r="G169" s="1785">
        <v>40</v>
      </c>
      <c r="H169" s="524"/>
      <c r="I169" s="1409">
        <f t="shared" si="43"/>
        <v>3.9836233162469814E-2</v>
      </c>
      <c r="J169" s="1421">
        <f t="shared" si="44"/>
        <v>0</v>
      </c>
      <c r="K169" s="678">
        <v>1.5</v>
      </c>
      <c r="L169" s="1002"/>
      <c r="M169" s="1428">
        <f t="shared" si="45"/>
        <v>0</v>
      </c>
      <c r="N169" s="1106"/>
      <c r="O169" s="674">
        <f t="shared" si="46"/>
        <v>40</v>
      </c>
      <c r="P169" s="682"/>
      <c r="Q169" s="286"/>
      <c r="R169" s="287"/>
      <c r="S169" s="280"/>
      <c r="T169" s="280"/>
      <c r="U169" s="280"/>
      <c r="V169" s="280"/>
      <c r="W169" s="280"/>
      <c r="X169" s="280"/>
      <c r="Y169" s="280"/>
      <c r="Z169" s="284"/>
      <c r="AA169" s="284"/>
      <c r="AB169" s="284"/>
      <c r="AC169" s="284"/>
      <c r="AD169" s="284"/>
      <c r="AE169" s="284"/>
      <c r="AF169" s="447"/>
      <c r="AG169" s="447"/>
      <c r="AH169" s="447"/>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2"/>
      <c r="BG169" s="382"/>
      <c r="BH169" s="382"/>
      <c r="BI169" s="382"/>
      <c r="BJ169" s="382"/>
      <c r="BK169" s="382"/>
      <c r="BL169" s="382"/>
      <c r="BM169" s="382"/>
      <c r="BN169" s="382"/>
      <c r="BO169" s="382"/>
    </row>
    <row r="170" spans="1:67" s="88" customFormat="1" ht="10.55" customHeight="1" x14ac:dyDescent="0.2">
      <c r="A170" s="1013" t="s">
        <v>372</v>
      </c>
      <c r="B170" s="2807"/>
      <c r="C170" s="2808"/>
      <c r="D170" s="2809"/>
      <c r="E170" s="2561"/>
      <c r="F170" s="2562"/>
      <c r="G170" s="1785">
        <v>40</v>
      </c>
      <c r="H170" s="524"/>
      <c r="I170" s="1409">
        <f t="shared" si="43"/>
        <v>3.9836233162469814E-2</v>
      </c>
      <c r="J170" s="1421">
        <f t="shared" si="44"/>
        <v>0</v>
      </c>
      <c r="K170" s="678">
        <v>1</v>
      </c>
      <c r="L170" s="1002"/>
      <c r="M170" s="1428">
        <f t="shared" si="45"/>
        <v>0</v>
      </c>
      <c r="N170" s="1106"/>
      <c r="O170" s="674">
        <f t="shared" si="46"/>
        <v>40</v>
      </c>
      <c r="P170" s="682"/>
      <c r="Q170" s="286"/>
      <c r="R170" s="287"/>
      <c r="S170" s="280"/>
      <c r="T170" s="280"/>
      <c r="U170" s="280"/>
      <c r="V170" s="280"/>
      <c r="W170" s="280"/>
      <c r="X170" s="280"/>
      <c r="Y170" s="280"/>
      <c r="Z170" s="284"/>
      <c r="AA170" s="284"/>
      <c r="AB170" s="284"/>
      <c r="AC170" s="284"/>
      <c r="AD170" s="284"/>
      <c r="AE170" s="284"/>
      <c r="AF170" s="447"/>
      <c r="AG170" s="447"/>
      <c r="AH170" s="447"/>
      <c r="AI170" s="382"/>
      <c r="AJ170" s="382"/>
      <c r="AK170" s="382"/>
      <c r="AL170" s="382"/>
      <c r="AM170" s="382"/>
      <c r="AN170" s="382"/>
      <c r="AO170" s="382"/>
      <c r="AP170" s="382"/>
      <c r="AQ170" s="382"/>
      <c r="AR170" s="382"/>
      <c r="AS170" s="382"/>
      <c r="AT170" s="382"/>
      <c r="AU170" s="382"/>
      <c r="AV170" s="382"/>
      <c r="AW170" s="382"/>
      <c r="AX170" s="382"/>
      <c r="AY170" s="382"/>
      <c r="AZ170" s="382"/>
      <c r="BA170" s="382"/>
      <c r="BB170" s="382"/>
      <c r="BC170" s="382"/>
      <c r="BD170" s="382"/>
      <c r="BE170" s="382"/>
      <c r="BF170" s="382"/>
      <c r="BG170" s="382"/>
      <c r="BH170" s="382"/>
      <c r="BI170" s="382"/>
      <c r="BJ170" s="382"/>
      <c r="BK170" s="382"/>
      <c r="BL170" s="382"/>
      <c r="BM170" s="382"/>
      <c r="BN170" s="382"/>
      <c r="BO170" s="382"/>
    </row>
    <row r="171" spans="1:67" s="88" customFormat="1" ht="10.55" customHeight="1" x14ac:dyDescent="0.2">
      <c r="A171" s="1013" t="s">
        <v>373</v>
      </c>
      <c r="B171" s="2807"/>
      <c r="C171" s="2808"/>
      <c r="D171" s="2809"/>
      <c r="E171" s="2561"/>
      <c r="F171" s="2562"/>
      <c r="G171" s="1785">
        <v>40</v>
      </c>
      <c r="H171" s="524"/>
      <c r="I171" s="1409">
        <f t="shared" si="43"/>
        <v>3.9836233162469814E-2</v>
      </c>
      <c r="J171" s="1421">
        <f t="shared" si="44"/>
        <v>0</v>
      </c>
      <c r="K171" s="678">
        <v>1.5</v>
      </c>
      <c r="L171" s="1002"/>
      <c r="M171" s="1428">
        <f t="shared" si="45"/>
        <v>0</v>
      </c>
      <c r="N171" s="1106"/>
      <c r="O171" s="674">
        <f t="shared" si="46"/>
        <v>40</v>
      </c>
      <c r="P171" s="682"/>
      <c r="Q171" s="286"/>
      <c r="R171" s="287"/>
      <c r="S171" s="280"/>
      <c r="T171" s="280"/>
      <c r="U171" s="280"/>
      <c r="V171" s="280"/>
      <c r="W171" s="280"/>
      <c r="X171" s="280"/>
      <c r="Y171" s="280"/>
      <c r="Z171" s="284"/>
      <c r="AA171" s="284"/>
      <c r="AB171" s="284"/>
      <c r="AC171" s="284"/>
      <c r="AD171" s="284"/>
      <c r="AE171" s="284"/>
      <c r="AF171" s="447"/>
      <c r="AG171" s="447"/>
      <c r="AH171" s="447"/>
      <c r="AI171" s="382"/>
      <c r="AJ171" s="382"/>
      <c r="AK171" s="382"/>
      <c r="AL171" s="382"/>
      <c r="AM171" s="382"/>
      <c r="AN171" s="382"/>
      <c r="AO171" s="382"/>
      <c r="AP171" s="382"/>
      <c r="AQ171" s="382"/>
      <c r="AR171" s="382"/>
      <c r="AS171" s="382"/>
      <c r="AT171" s="382"/>
      <c r="AU171" s="382"/>
      <c r="AV171" s="382"/>
      <c r="AW171" s="382"/>
      <c r="AX171" s="382"/>
      <c r="AY171" s="382"/>
      <c r="AZ171" s="382"/>
      <c r="BA171" s="382"/>
      <c r="BB171" s="382"/>
      <c r="BC171" s="382"/>
      <c r="BD171" s="382"/>
      <c r="BE171" s="382"/>
      <c r="BF171" s="382"/>
      <c r="BG171" s="382"/>
      <c r="BH171" s="382"/>
      <c r="BI171" s="382"/>
      <c r="BJ171" s="382"/>
      <c r="BK171" s="382"/>
      <c r="BL171" s="382"/>
      <c r="BM171" s="382"/>
      <c r="BN171" s="382"/>
      <c r="BO171" s="382"/>
    </row>
    <row r="172" spans="1:67" s="88" customFormat="1" ht="10.55" customHeight="1" x14ac:dyDescent="0.2">
      <c r="A172" s="1013" t="s">
        <v>374</v>
      </c>
      <c r="B172" s="2807"/>
      <c r="C172" s="2808"/>
      <c r="D172" s="2809"/>
      <c r="E172" s="2561"/>
      <c r="F172" s="2562"/>
      <c r="G172" s="1785">
        <v>20</v>
      </c>
      <c r="H172" s="524"/>
      <c r="I172" s="1409">
        <f t="shared" si="43"/>
        <v>6.4147128734474465E-2</v>
      </c>
      <c r="J172" s="1421">
        <f t="shared" si="44"/>
        <v>0</v>
      </c>
      <c r="K172" s="678">
        <v>1.5</v>
      </c>
      <c r="L172" s="1002"/>
      <c r="M172" s="1428">
        <f t="shared" si="45"/>
        <v>0</v>
      </c>
      <c r="N172" s="1106"/>
      <c r="O172" s="674">
        <f t="shared" si="46"/>
        <v>20</v>
      </c>
      <c r="P172" s="682"/>
      <c r="Q172" s="286"/>
      <c r="R172" s="287"/>
      <c r="S172" s="280"/>
      <c r="T172" s="280"/>
      <c r="U172" s="280"/>
      <c r="V172" s="280"/>
      <c r="W172" s="280"/>
      <c r="X172" s="280"/>
      <c r="Y172" s="280"/>
      <c r="Z172" s="284"/>
      <c r="AA172" s="284"/>
      <c r="AB172" s="284"/>
      <c r="AC172" s="284"/>
      <c r="AD172" s="284"/>
      <c r="AE172" s="284"/>
      <c r="AF172" s="447"/>
      <c r="AG172" s="447"/>
      <c r="AH172" s="447"/>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382"/>
      <c r="BM172" s="382"/>
      <c r="BN172" s="382"/>
      <c r="BO172" s="382"/>
    </row>
    <row r="173" spans="1:67" s="88" customFormat="1" ht="10.55" customHeight="1" x14ac:dyDescent="0.2">
      <c r="A173" s="1013" t="s">
        <v>375</v>
      </c>
      <c r="B173" s="2807"/>
      <c r="C173" s="2808"/>
      <c r="D173" s="2809"/>
      <c r="E173" s="2561"/>
      <c r="F173" s="2562"/>
      <c r="G173" s="1785">
        <v>40</v>
      </c>
      <c r="H173" s="524"/>
      <c r="I173" s="1409">
        <f t="shared" si="43"/>
        <v>3.9836233162469814E-2</v>
      </c>
      <c r="J173" s="1421">
        <f t="shared" si="44"/>
        <v>0</v>
      </c>
      <c r="K173" s="678">
        <v>1</v>
      </c>
      <c r="L173" s="1002"/>
      <c r="M173" s="1428">
        <f t="shared" si="45"/>
        <v>0</v>
      </c>
      <c r="N173" s="1106"/>
      <c r="O173" s="674">
        <f t="shared" si="46"/>
        <v>40</v>
      </c>
      <c r="P173" s="682"/>
      <c r="Q173" s="286"/>
      <c r="R173" s="287"/>
      <c r="S173" s="280"/>
      <c r="T173" s="280"/>
      <c r="U173" s="280"/>
      <c r="V173" s="280"/>
      <c r="W173" s="280"/>
      <c r="X173" s="280"/>
      <c r="Y173" s="280"/>
      <c r="Z173" s="284"/>
      <c r="AA173" s="284"/>
      <c r="AB173" s="284"/>
      <c r="AC173" s="284"/>
      <c r="AD173" s="284"/>
      <c r="AE173" s="284"/>
      <c r="AF173" s="447"/>
      <c r="AG173" s="447"/>
      <c r="AH173" s="447"/>
      <c r="AI173" s="382"/>
      <c r="AJ173" s="382"/>
      <c r="AK173" s="382"/>
      <c r="AL173" s="382"/>
      <c r="AM173" s="382"/>
      <c r="AN173" s="382"/>
      <c r="AO173" s="382"/>
      <c r="AP173" s="382"/>
      <c r="AQ173" s="382"/>
      <c r="AR173" s="382"/>
      <c r="AS173" s="382"/>
      <c r="AT173" s="382"/>
      <c r="AU173" s="382"/>
      <c r="AV173" s="382"/>
      <c r="AW173" s="382"/>
      <c r="AX173" s="382"/>
      <c r="AY173" s="382"/>
      <c r="AZ173" s="382"/>
      <c r="BA173" s="382"/>
      <c r="BB173" s="382"/>
      <c r="BC173" s="382"/>
      <c r="BD173" s="382"/>
      <c r="BE173" s="382"/>
      <c r="BF173" s="382"/>
      <c r="BG173" s="382"/>
      <c r="BH173" s="382"/>
      <c r="BI173" s="382"/>
      <c r="BJ173" s="382"/>
      <c r="BK173" s="382"/>
      <c r="BL173" s="382"/>
      <c r="BM173" s="382"/>
      <c r="BN173" s="382"/>
      <c r="BO173" s="382"/>
    </row>
    <row r="174" spans="1:67" s="88" customFormat="1" ht="10.55" customHeight="1" x14ac:dyDescent="0.2">
      <c r="A174" s="1013" t="s">
        <v>333</v>
      </c>
      <c r="B174" s="2807"/>
      <c r="C174" s="2808"/>
      <c r="D174" s="2809"/>
      <c r="E174" s="2561"/>
      <c r="F174" s="2562"/>
      <c r="G174" s="1785">
        <v>20</v>
      </c>
      <c r="H174" s="524"/>
      <c r="I174" s="1409">
        <f t="shared" si="43"/>
        <v>6.4147128734474465E-2</v>
      </c>
      <c r="J174" s="1421">
        <f t="shared" si="44"/>
        <v>0</v>
      </c>
      <c r="K174" s="678">
        <v>8</v>
      </c>
      <c r="L174" s="1002"/>
      <c r="M174" s="1428">
        <f t="shared" si="45"/>
        <v>0</v>
      </c>
      <c r="N174" s="1106"/>
      <c r="O174" s="674">
        <f t="shared" si="46"/>
        <v>20</v>
      </c>
      <c r="P174" s="682"/>
      <c r="Q174" s="286"/>
      <c r="R174" s="287"/>
      <c r="S174" s="280"/>
      <c r="T174" s="280"/>
      <c r="U174" s="280"/>
      <c r="V174" s="280"/>
      <c r="W174" s="280"/>
      <c r="X174" s="280"/>
      <c r="Y174" s="280"/>
      <c r="Z174" s="284"/>
      <c r="AA174" s="284"/>
      <c r="AB174" s="284"/>
      <c r="AC174" s="284"/>
      <c r="AD174" s="284"/>
      <c r="AE174" s="284"/>
      <c r="AF174" s="447"/>
      <c r="AG174" s="447"/>
      <c r="AH174" s="447"/>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row>
    <row r="175" spans="1:67" s="88" customFormat="1" ht="10.55" customHeight="1" x14ac:dyDescent="0.2">
      <c r="A175" s="1013" t="s">
        <v>334</v>
      </c>
      <c r="B175" s="2807"/>
      <c r="C175" s="2808"/>
      <c r="D175" s="2809"/>
      <c r="E175" s="2561"/>
      <c r="F175" s="2562"/>
      <c r="G175" s="1785">
        <v>30</v>
      </c>
      <c r="H175" s="524"/>
      <c r="I175" s="1409">
        <f t="shared" si="43"/>
        <v>4.7777640736176463E-2</v>
      </c>
      <c r="J175" s="1421">
        <f t="shared" si="44"/>
        <v>0</v>
      </c>
      <c r="K175" s="678"/>
      <c r="L175" s="1002"/>
      <c r="M175" s="1428">
        <f t="shared" si="45"/>
        <v>0</v>
      </c>
      <c r="N175" s="1106"/>
      <c r="O175" s="674">
        <f t="shared" si="46"/>
        <v>30</v>
      </c>
      <c r="P175" s="682"/>
      <c r="Q175" s="286"/>
      <c r="R175" s="287"/>
      <c r="S175" s="280"/>
      <c r="T175" s="280"/>
      <c r="U175" s="280"/>
      <c r="V175" s="280"/>
      <c r="W175" s="280"/>
      <c r="X175" s="280"/>
      <c r="Y175" s="280"/>
      <c r="Z175" s="284"/>
      <c r="AA175" s="284"/>
      <c r="AB175" s="284"/>
      <c r="AC175" s="284"/>
      <c r="AD175" s="284"/>
      <c r="AE175" s="284"/>
      <c r="AF175" s="447"/>
      <c r="AG175" s="447"/>
      <c r="AH175" s="447"/>
      <c r="AI175" s="382"/>
      <c r="AJ175" s="382"/>
      <c r="AK175" s="382"/>
      <c r="AL175" s="382"/>
      <c r="AM175" s="382"/>
      <c r="AN175" s="382"/>
      <c r="AO175" s="382"/>
      <c r="AP175" s="382"/>
      <c r="AQ175" s="382"/>
      <c r="AR175" s="382"/>
      <c r="AS175" s="382"/>
      <c r="AT175" s="382"/>
      <c r="AU175" s="382"/>
      <c r="AV175" s="382"/>
      <c r="AW175" s="382"/>
      <c r="AX175" s="382"/>
      <c r="AY175" s="382"/>
      <c r="AZ175" s="382"/>
      <c r="BA175" s="382"/>
      <c r="BB175" s="382"/>
      <c r="BC175" s="382"/>
      <c r="BD175" s="382"/>
      <c r="BE175" s="382"/>
      <c r="BF175" s="382"/>
      <c r="BG175" s="382"/>
      <c r="BH175" s="382"/>
      <c r="BI175" s="382"/>
      <c r="BJ175" s="382"/>
      <c r="BK175" s="382"/>
      <c r="BL175" s="382"/>
      <c r="BM175" s="382"/>
      <c r="BN175" s="382"/>
      <c r="BO175" s="382"/>
    </row>
    <row r="176" spans="1:67" s="88" customFormat="1" ht="10.55" customHeight="1" x14ac:dyDescent="0.2">
      <c r="A176" s="675"/>
      <c r="B176" s="2807"/>
      <c r="C176" s="2808"/>
      <c r="D176" s="2809"/>
      <c r="E176" s="2561"/>
      <c r="F176" s="2562"/>
      <c r="G176" s="1015"/>
      <c r="H176" s="524"/>
      <c r="I176" s="1409">
        <f t="shared" si="43"/>
        <v>0</v>
      </c>
      <c r="J176" s="1421">
        <f t="shared" si="44"/>
        <v>0</v>
      </c>
      <c r="K176" s="679"/>
      <c r="L176" s="1002"/>
      <c r="M176" s="1428">
        <f t="shared" si="45"/>
        <v>0</v>
      </c>
      <c r="N176" s="1106"/>
      <c r="O176" s="674">
        <f t="shared" si="46"/>
        <v>0</v>
      </c>
      <c r="P176" s="682"/>
      <c r="Q176" s="286"/>
      <c r="R176" s="287"/>
      <c r="S176" s="280"/>
      <c r="T176" s="280"/>
      <c r="U176" s="280"/>
      <c r="V176" s="280"/>
      <c r="W176" s="280"/>
      <c r="X176" s="280"/>
      <c r="Y176" s="280"/>
      <c r="Z176" s="284"/>
      <c r="AA176" s="284"/>
      <c r="AB176" s="284"/>
      <c r="AC176" s="284"/>
      <c r="AD176" s="284"/>
      <c r="AE176" s="284"/>
      <c r="AF176" s="447"/>
      <c r="AG176" s="447"/>
      <c r="AH176" s="447"/>
      <c r="AI176" s="382"/>
      <c r="AJ176" s="382"/>
      <c r="AK176" s="382"/>
      <c r="AL176" s="382"/>
      <c r="AM176" s="382"/>
      <c r="AN176" s="382"/>
      <c r="AO176" s="382"/>
      <c r="AP176" s="382"/>
      <c r="AQ176" s="382"/>
      <c r="AR176" s="382"/>
      <c r="AS176" s="382"/>
      <c r="AT176" s="382"/>
      <c r="AU176" s="382"/>
      <c r="AV176" s="382"/>
      <c r="AW176" s="382"/>
      <c r="AX176" s="382"/>
      <c r="AY176" s="382"/>
      <c r="AZ176" s="382"/>
      <c r="BA176" s="382"/>
      <c r="BB176" s="382"/>
      <c r="BC176" s="382"/>
      <c r="BD176" s="382"/>
      <c r="BE176" s="382"/>
      <c r="BF176" s="382"/>
      <c r="BG176" s="382"/>
      <c r="BH176" s="382"/>
      <c r="BI176" s="382"/>
      <c r="BJ176" s="382"/>
      <c r="BK176" s="382"/>
      <c r="BL176" s="382"/>
      <c r="BM176" s="382"/>
      <c r="BN176" s="382"/>
      <c r="BO176" s="382"/>
    </row>
    <row r="177" spans="1:67" s="88" customFormat="1" ht="10.55" customHeight="1" x14ac:dyDescent="0.2">
      <c r="A177" s="675"/>
      <c r="B177" s="2807"/>
      <c r="C177" s="2808"/>
      <c r="D177" s="2809"/>
      <c r="E177" s="2561"/>
      <c r="F177" s="2562"/>
      <c r="G177" s="1015"/>
      <c r="H177" s="524"/>
      <c r="I177" s="1409">
        <f t="shared" si="43"/>
        <v>0</v>
      </c>
      <c r="J177" s="1421">
        <f t="shared" si="44"/>
        <v>0</v>
      </c>
      <c r="K177" s="679"/>
      <c r="L177" s="1002"/>
      <c r="M177" s="1428">
        <f t="shared" si="45"/>
        <v>0</v>
      </c>
      <c r="N177" s="1106"/>
      <c r="O177" s="674">
        <f t="shared" si="46"/>
        <v>0</v>
      </c>
      <c r="P177" s="682"/>
      <c r="Q177" s="286"/>
      <c r="R177" s="287"/>
      <c r="S177" s="280"/>
      <c r="T177" s="280"/>
      <c r="U177" s="280"/>
      <c r="V177" s="280"/>
      <c r="W177" s="280"/>
      <c r="X177" s="280"/>
      <c r="Y177" s="280"/>
      <c r="Z177" s="284"/>
      <c r="AA177" s="284"/>
      <c r="AB177" s="284"/>
      <c r="AC177" s="284"/>
      <c r="AD177" s="284"/>
      <c r="AE177" s="284"/>
      <c r="AF177" s="447"/>
      <c r="AG177" s="447"/>
      <c r="AH177" s="447"/>
      <c r="AI177" s="382"/>
      <c r="AJ177" s="382"/>
      <c r="AK177" s="382"/>
      <c r="AL177" s="382"/>
      <c r="AM177" s="382"/>
      <c r="AN177" s="382"/>
      <c r="AO177" s="382"/>
      <c r="AP177" s="382"/>
      <c r="AQ177" s="382"/>
      <c r="AR177" s="382"/>
      <c r="AS177" s="382"/>
      <c r="AT177" s="382"/>
      <c r="AU177" s="382"/>
      <c r="AV177" s="382"/>
      <c r="AW177" s="382"/>
      <c r="AX177" s="382"/>
      <c r="AY177" s="382"/>
      <c r="AZ177" s="382"/>
      <c r="BA177" s="382"/>
      <c r="BB177" s="382"/>
      <c r="BC177" s="382"/>
      <c r="BD177" s="382"/>
      <c r="BE177" s="382"/>
      <c r="BF177" s="382"/>
      <c r="BG177" s="382"/>
      <c r="BH177" s="382"/>
      <c r="BI177" s="382"/>
      <c r="BJ177" s="382"/>
      <c r="BK177" s="382"/>
      <c r="BL177" s="382"/>
      <c r="BM177" s="382"/>
      <c r="BN177" s="382"/>
      <c r="BO177" s="382"/>
    </row>
    <row r="178" spans="1:67" s="88" customFormat="1" ht="10.55" customHeight="1" x14ac:dyDescent="0.2">
      <c r="A178" s="675"/>
      <c r="B178" s="2807"/>
      <c r="C178" s="2808"/>
      <c r="D178" s="2809"/>
      <c r="E178" s="2561"/>
      <c r="F178" s="2562"/>
      <c r="G178" s="1015"/>
      <c r="H178" s="524"/>
      <c r="I178" s="1409">
        <f t="shared" si="43"/>
        <v>0</v>
      </c>
      <c r="J178" s="1421">
        <f t="shared" si="44"/>
        <v>0</v>
      </c>
      <c r="K178" s="679"/>
      <c r="L178" s="1002"/>
      <c r="M178" s="1428">
        <f t="shared" si="45"/>
        <v>0</v>
      </c>
      <c r="N178" s="1106"/>
      <c r="O178" s="674">
        <f t="shared" si="46"/>
        <v>0</v>
      </c>
      <c r="P178" s="682"/>
      <c r="Q178" s="286"/>
      <c r="R178" s="287"/>
      <c r="S178" s="280"/>
      <c r="T178" s="280"/>
      <c r="U178" s="280"/>
      <c r="V178" s="280"/>
      <c r="W178" s="280"/>
      <c r="X178" s="280"/>
      <c r="Y178" s="280"/>
      <c r="Z178" s="284"/>
      <c r="AA178" s="284"/>
      <c r="AB178" s="284"/>
      <c r="AC178" s="284"/>
      <c r="AD178" s="284"/>
      <c r="AE178" s="284"/>
      <c r="AF178" s="447"/>
      <c r="AG178" s="447"/>
      <c r="AH178" s="447"/>
      <c r="AI178" s="382"/>
      <c r="AJ178" s="382"/>
      <c r="AK178" s="382"/>
      <c r="AL178" s="382"/>
      <c r="AM178" s="382"/>
      <c r="AN178" s="382"/>
      <c r="AO178" s="382"/>
      <c r="AP178" s="382"/>
      <c r="AQ178" s="382"/>
      <c r="AR178" s="382"/>
      <c r="AS178" s="382"/>
      <c r="AT178" s="382"/>
      <c r="AU178" s="382"/>
      <c r="AV178" s="382"/>
      <c r="AW178" s="382"/>
      <c r="AX178" s="382"/>
      <c r="AY178" s="382"/>
      <c r="AZ178" s="382"/>
      <c r="BA178" s="382"/>
      <c r="BB178" s="382"/>
      <c r="BC178" s="382"/>
      <c r="BD178" s="382"/>
      <c r="BE178" s="382"/>
      <c r="BF178" s="382"/>
      <c r="BG178" s="382"/>
      <c r="BH178" s="382"/>
      <c r="BI178" s="382"/>
      <c r="BJ178" s="382"/>
      <c r="BK178" s="382"/>
      <c r="BL178" s="382"/>
      <c r="BM178" s="382"/>
      <c r="BN178" s="382"/>
      <c r="BO178" s="382"/>
    </row>
    <row r="179" spans="1:67" s="88" customFormat="1" ht="10.55" customHeight="1" x14ac:dyDescent="0.2">
      <c r="A179" s="675"/>
      <c r="B179" s="2807"/>
      <c r="C179" s="2808"/>
      <c r="D179" s="2809"/>
      <c r="E179" s="2561"/>
      <c r="F179" s="2562"/>
      <c r="G179" s="1015"/>
      <c r="H179" s="524"/>
      <c r="I179" s="1409">
        <f t="shared" si="43"/>
        <v>0</v>
      </c>
      <c r="J179" s="1421">
        <f t="shared" si="44"/>
        <v>0</v>
      </c>
      <c r="K179" s="679"/>
      <c r="L179" s="1002"/>
      <c r="M179" s="1428">
        <f t="shared" si="45"/>
        <v>0</v>
      </c>
      <c r="N179" s="1106"/>
      <c r="O179" s="674">
        <f t="shared" si="46"/>
        <v>0</v>
      </c>
      <c r="P179" s="682"/>
      <c r="Q179" s="286"/>
      <c r="R179" s="287"/>
      <c r="S179" s="280"/>
      <c r="T179" s="280"/>
      <c r="U179" s="280"/>
      <c r="V179" s="280"/>
      <c r="W179" s="280"/>
      <c r="X179" s="280"/>
      <c r="Y179" s="280"/>
      <c r="Z179" s="284"/>
      <c r="AA179" s="284"/>
      <c r="AB179" s="284"/>
      <c r="AC179" s="284"/>
      <c r="AD179" s="284"/>
      <c r="AE179" s="284"/>
      <c r="AF179" s="447"/>
      <c r="AG179" s="447"/>
      <c r="AH179" s="447"/>
      <c r="AI179" s="382"/>
      <c r="AJ179" s="382"/>
      <c r="AK179" s="382"/>
      <c r="AL179" s="382"/>
      <c r="AM179" s="382"/>
      <c r="AN179" s="382"/>
      <c r="AO179" s="382"/>
      <c r="AP179" s="382"/>
      <c r="AQ179" s="382"/>
      <c r="AR179" s="382"/>
      <c r="AS179" s="382"/>
      <c r="AT179" s="382"/>
      <c r="AU179" s="382"/>
      <c r="AV179" s="382"/>
      <c r="AW179" s="382"/>
      <c r="AX179" s="382"/>
      <c r="AY179" s="382"/>
      <c r="AZ179" s="382"/>
      <c r="BA179" s="382"/>
      <c r="BB179" s="382"/>
      <c r="BC179" s="382"/>
      <c r="BD179" s="382"/>
      <c r="BE179" s="382"/>
      <c r="BF179" s="382"/>
      <c r="BG179" s="382"/>
      <c r="BH179" s="382"/>
      <c r="BI179" s="382"/>
      <c r="BJ179" s="382"/>
      <c r="BK179" s="382"/>
      <c r="BL179" s="382"/>
      <c r="BM179" s="382"/>
      <c r="BN179" s="382"/>
      <c r="BO179" s="382"/>
    </row>
    <row r="180" spans="1:67" s="88" customFormat="1" ht="10.55" customHeight="1" x14ac:dyDescent="0.2">
      <c r="A180" s="1017"/>
      <c r="B180" s="2804"/>
      <c r="C180" s="2805"/>
      <c r="D180" s="2806"/>
      <c r="E180" s="2793"/>
      <c r="F180" s="2794"/>
      <c r="G180" s="1018"/>
      <c r="H180" s="1019"/>
      <c r="I180" s="1436">
        <f t="shared" si="43"/>
        <v>0</v>
      </c>
      <c r="J180" s="1422"/>
      <c r="K180" s="680"/>
      <c r="L180" s="1020"/>
      <c r="M180" s="1429">
        <f t="shared" si="45"/>
        <v>0</v>
      </c>
      <c r="N180" s="1106"/>
      <c r="O180" s="674">
        <f t="shared" si="46"/>
        <v>0</v>
      </c>
      <c r="P180" s="682"/>
      <c r="Q180" s="286"/>
      <c r="R180" s="287"/>
      <c r="S180" s="280"/>
      <c r="T180" s="280"/>
      <c r="U180" s="280"/>
      <c r="V180" s="280"/>
      <c r="W180" s="280"/>
      <c r="X180" s="280"/>
      <c r="Y180" s="280"/>
      <c r="Z180" s="284"/>
      <c r="AA180" s="284"/>
      <c r="AB180" s="284"/>
      <c r="AC180" s="284"/>
      <c r="AD180" s="284"/>
      <c r="AE180" s="284"/>
      <c r="AF180" s="447"/>
      <c r="AG180" s="447"/>
      <c r="AH180" s="447"/>
      <c r="AI180" s="382"/>
      <c r="AJ180" s="382"/>
      <c r="AK180" s="382"/>
      <c r="AL180" s="382"/>
      <c r="AM180" s="382"/>
      <c r="AN180" s="382"/>
      <c r="AO180" s="382"/>
      <c r="AP180" s="382"/>
      <c r="AQ180" s="382"/>
      <c r="AR180" s="382"/>
      <c r="AS180" s="382"/>
      <c r="AT180" s="382"/>
      <c r="AU180" s="382"/>
      <c r="AV180" s="382"/>
      <c r="AW180" s="382"/>
      <c r="AX180" s="382"/>
      <c r="AY180" s="382"/>
      <c r="AZ180" s="382"/>
      <c r="BA180" s="382"/>
      <c r="BB180" s="382"/>
      <c r="BC180" s="382"/>
      <c r="BD180" s="382"/>
      <c r="BE180" s="382"/>
      <c r="BF180" s="382"/>
      <c r="BG180" s="382"/>
      <c r="BH180" s="382"/>
      <c r="BI180" s="382"/>
      <c r="BJ180" s="382"/>
      <c r="BK180" s="382"/>
      <c r="BL180" s="382"/>
      <c r="BM180" s="382"/>
      <c r="BN180" s="382"/>
      <c r="BO180" s="382"/>
    </row>
    <row r="181" spans="1:67" s="88" customFormat="1" ht="10.55" customHeight="1" x14ac:dyDescent="0.2">
      <c r="A181" s="1011" t="s">
        <v>376</v>
      </c>
      <c r="B181" s="2783"/>
      <c r="C181" s="2784"/>
      <c r="D181" s="2785"/>
      <c r="E181" s="2810">
        <f>SUM(E182:E194)</f>
        <v>0</v>
      </c>
      <c r="F181" s="2811"/>
      <c r="G181" s="2747"/>
      <c r="H181" s="2748"/>
      <c r="I181" s="1435">
        <f>IF(E181=0,0,J181/E181)</f>
        <v>0</v>
      </c>
      <c r="J181" s="1423">
        <f>SUM(J182:J194)</f>
        <v>0</v>
      </c>
      <c r="K181" s="2749">
        <f>IF(E181=0,0,M181/E181*100)</f>
        <v>0</v>
      </c>
      <c r="L181" s="2750"/>
      <c r="M181" s="1430">
        <f>SUM(M182:M194)</f>
        <v>0</v>
      </c>
      <c r="N181" s="1106"/>
      <c r="O181" s="387">
        <f>IF(H181="",G181,H181)</f>
        <v>0</v>
      </c>
      <c r="P181" s="682"/>
      <c r="Q181" s="286"/>
      <c r="R181" s="287"/>
      <c r="S181" s="280"/>
      <c r="T181" s="280"/>
      <c r="U181" s="280"/>
      <c r="V181" s="280"/>
      <c r="W181" s="280"/>
      <c r="X181" s="280"/>
      <c r="Y181" s="280"/>
      <c r="Z181" s="284"/>
      <c r="AA181" s="284"/>
      <c r="AB181" s="284"/>
      <c r="AC181" s="284"/>
      <c r="AD181" s="284"/>
      <c r="AE181" s="284"/>
      <c r="AF181" s="447"/>
      <c r="AG181" s="447"/>
      <c r="AH181" s="447"/>
      <c r="AI181" s="382"/>
      <c r="AJ181" s="382"/>
      <c r="AK181" s="382"/>
      <c r="AL181" s="382"/>
      <c r="AM181" s="382"/>
      <c r="AN181" s="382"/>
      <c r="AO181" s="382"/>
      <c r="AP181" s="382"/>
      <c r="AQ181" s="382"/>
      <c r="AR181" s="382"/>
      <c r="AS181" s="382"/>
      <c r="AT181" s="382"/>
      <c r="AU181" s="382"/>
      <c r="AV181" s="382"/>
      <c r="AW181" s="382"/>
      <c r="AX181" s="382"/>
      <c r="AY181" s="382"/>
      <c r="AZ181" s="382"/>
      <c r="BA181" s="382"/>
      <c r="BB181" s="382"/>
      <c r="BC181" s="382"/>
      <c r="BD181" s="382"/>
      <c r="BE181" s="382"/>
      <c r="BF181" s="382"/>
      <c r="BG181" s="382"/>
      <c r="BH181" s="382"/>
      <c r="BI181" s="382"/>
      <c r="BJ181" s="382"/>
      <c r="BK181" s="382"/>
      <c r="BL181" s="382"/>
      <c r="BM181" s="382"/>
      <c r="BN181" s="382"/>
      <c r="BO181" s="382"/>
    </row>
    <row r="182" spans="1:67" s="88" customFormat="1" ht="10.55" customHeight="1" x14ac:dyDescent="0.2">
      <c r="A182" s="1013" t="s">
        <v>836</v>
      </c>
      <c r="B182" s="2790"/>
      <c r="C182" s="2791"/>
      <c r="D182" s="2792"/>
      <c r="E182" s="2734"/>
      <c r="F182" s="2735"/>
      <c r="G182" s="1785">
        <v>25</v>
      </c>
      <c r="H182" s="524"/>
      <c r="I182" s="1409">
        <f t="shared" ref="I182:I195" si="47">IF($O182&gt;0,-PMT(($I$9),$O182,1),0)</f>
        <v>5.4275921045792611E-2</v>
      </c>
      <c r="J182" s="1421">
        <f t="shared" ref="J182:J194" si="48">ROUND(E182*I182,0)</f>
        <v>0</v>
      </c>
      <c r="K182" s="678">
        <v>4</v>
      </c>
      <c r="L182" s="1002"/>
      <c r="M182" s="1428">
        <f t="shared" ref="M182:M195" si="49">ROUND(E182/100*IF(ISBLANK(L182),K182,L182),0)</f>
        <v>0</v>
      </c>
      <c r="N182" s="1106"/>
      <c r="O182" s="674">
        <f t="shared" ref="O182:O195" si="50">IF(ISBLANK(H182),G182,H182)</f>
        <v>25</v>
      </c>
      <c r="P182" s="682"/>
      <c r="Q182" s="286"/>
      <c r="R182" s="287"/>
      <c r="S182" s="280"/>
      <c r="T182" s="280"/>
      <c r="U182" s="280"/>
      <c r="V182" s="280"/>
      <c r="W182" s="280"/>
      <c r="X182" s="280"/>
      <c r="Y182" s="280"/>
      <c r="Z182" s="284"/>
      <c r="AA182" s="284"/>
      <c r="AB182" s="284"/>
      <c r="AC182" s="284"/>
      <c r="AD182" s="284"/>
      <c r="AE182" s="284"/>
      <c r="AF182" s="447"/>
      <c r="AG182" s="447"/>
      <c r="AH182" s="447"/>
      <c r="AI182" s="382"/>
      <c r="AJ182" s="382"/>
      <c r="AK182" s="382"/>
      <c r="AL182" s="382"/>
      <c r="AM182" s="382"/>
      <c r="AN182" s="382"/>
      <c r="AO182" s="382"/>
      <c r="AP182" s="382"/>
      <c r="AQ182" s="382"/>
      <c r="AR182" s="382"/>
      <c r="AS182" s="382"/>
      <c r="AT182" s="382"/>
      <c r="AU182" s="382"/>
      <c r="AV182" s="382"/>
      <c r="AW182" s="382"/>
      <c r="AX182" s="382"/>
      <c r="AY182" s="382"/>
      <c r="AZ182" s="382"/>
      <c r="BA182" s="382"/>
      <c r="BB182" s="382"/>
      <c r="BC182" s="382"/>
      <c r="BD182" s="382"/>
      <c r="BE182" s="382"/>
      <c r="BF182" s="382"/>
      <c r="BG182" s="382"/>
      <c r="BH182" s="382"/>
      <c r="BI182" s="382"/>
      <c r="BJ182" s="382"/>
      <c r="BK182" s="382"/>
      <c r="BL182" s="382"/>
      <c r="BM182" s="382"/>
      <c r="BN182" s="382"/>
      <c r="BO182" s="382"/>
    </row>
    <row r="183" spans="1:67" s="88" customFormat="1" ht="10.55" customHeight="1" x14ac:dyDescent="0.2">
      <c r="A183" s="1013" t="s">
        <v>377</v>
      </c>
      <c r="B183" s="2807"/>
      <c r="C183" s="2808"/>
      <c r="D183" s="2809"/>
      <c r="E183" s="2561"/>
      <c r="F183" s="2562"/>
      <c r="G183" s="1785">
        <v>25</v>
      </c>
      <c r="H183" s="524"/>
      <c r="I183" s="1409">
        <f t="shared" si="47"/>
        <v>5.4275921045792611E-2</v>
      </c>
      <c r="J183" s="1421">
        <f t="shared" si="48"/>
        <v>0</v>
      </c>
      <c r="K183" s="678">
        <v>2</v>
      </c>
      <c r="L183" s="1002"/>
      <c r="M183" s="1428">
        <f t="shared" si="49"/>
        <v>0</v>
      </c>
      <c r="N183" s="1106"/>
      <c r="O183" s="674">
        <f t="shared" si="50"/>
        <v>25</v>
      </c>
      <c r="P183" s="682"/>
      <c r="Q183" s="286"/>
      <c r="R183" s="287"/>
      <c r="S183" s="280"/>
      <c r="T183" s="280"/>
      <c r="U183" s="280"/>
      <c r="V183" s="280"/>
      <c r="W183" s="280"/>
      <c r="X183" s="280"/>
      <c r="Y183" s="280"/>
      <c r="Z183" s="284"/>
      <c r="AA183" s="284"/>
      <c r="AB183" s="284"/>
      <c r="AC183" s="284"/>
      <c r="AD183" s="284"/>
      <c r="AE183" s="284"/>
      <c r="AF183" s="447"/>
      <c r="AG183" s="447"/>
      <c r="AH183" s="447"/>
      <c r="AI183" s="382"/>
      <c r="AJ183" s="382"/>
      <c r="AK183" s="382"/>
      <c r="AL183" s="382"/>
      <c r="AM183" s="382"/>
      <c r="AN183" s="382"/>
      <c r="AO183" s="382"/>
      <c r="AP183" s="382"/>
      <c r="AQ183" s="382"/>
      <c r="AR183" s="382"/>
      <c r="AS183" s="382"/>
      <c r="AT183" s="382"/>
      <c r="AU183" s="382"/>
      <c r="AV183" s="382"/>
      <c r="AW183" s="382"/>
      <c r="AX183" s="382"/>
      <c r="AY183" s="382"/>
      <c r="AZ183" s="382"/>
      <c r="BA183" s="382"/>
      <c r="BB183" s="382"/>
      <c r="BC183" s="382"/>
      <c r="BD183" s="382"/>
      <c r="BE183" s="382"/>
      <c r="BF183" s="382"/>
      <c r="BG183" s="382"/>
      <c r="BH183" s="382"/>
      <c r="BI183" s="382"/>
      <c r="BJ183" s="382"/>
      <c r="BK183" s="382"/>
      <c r="BL183" s="382"/>
      <c r="BM183" s="382"/>
      <c r="BN183" s="382"/>
      <c r="BO183" s="382"/>
    </row>
    <row r="184" spans="1:67" s="88" customFormat="1" ht="10.55" customHeight="1" x14ac:dyDescent="0.2">
      <c r="A184" s="1013" t="s">
        <v>378</v>
      </c>
      <c r="B184" s="2807"/>
      <c r="C184" s="2808"/>
      <c r="D184" s="2809"/>
      <c r="E184" s="2561"/>
      <c r="F184" s="2562"/>
      <c r="G184" s="1785">
        <v>15</v>
      </c>
      <c r="H184" s="524"/>
      <c r="I184" s="1409">
        <f t="shared" si="47"/>
        <v>8.0766456051533542E-2</v>
      </c>
      <c r="J184" s="1421">
        <f t="shared" si="48"/>
        <v>0</v>
      </c>
      <c r="K184" s="678">
        <v>1</v>
      </c>
      <c r="L184" s="1002"/>
      <c r="M184" s="1428">
        <f t="shared" si="49"/>
        <v>0</v>
      </c>
      <c r="N184" s="1106"/>
      <c r="O184" s="674">
        <f t="shared" si="50"/>
        <v>15</v>
      </c>
      <c r="P184" s="682"/>
      <c r="Q184" s="286"/>
      <c r="R184" s="287"/>
      <c r="S184" s="280"/>
      <c r="T184" s="280"/>
      <c r="U184" s="280"/>
      <c r="V184" s="280"/>
      <c r="W184" s="280"/>
      <c r="X184" s="280"/>
      <c r="Y184" s="280"/>
      <c r="Z184" s="284"/>
      <c r="AA184" s="284"/>
      <c r="AB184" s="284"/>
      <c r="AC184" s="284"/>
      <c r="AD184" s="284"/>
      <c r="AE184" s="284"/>
      <c r="AF184" s="447"/>
      <c r="AG184" s="447"/>
      <c r="AH184" s="447"/>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382"/>
      <c r="BM184" s="382"/>
      <c r="BN184" s="382"/>
      <c r="BO184" s="382"/>
    </row>
    <row r="185" spans="1:67" s="88" customFormat="1" ht="10.55" customHeight="1" x14ac:dyDescent="0.2">
      <c r="A185" s="1013" t="s">
        <v>379</v>
      </c>
      <c r="B185" s="2807"/>
      <c r="C185" s="2808"/>
      <c r="D185" s="2809"/>
      <c r="E185" s="2561"/>
      <c r="F185" s="2562"/>
      <c r="G185" s="1785">
        <v>40</v>
      </c>
      <c r="H185" s="524"/>
      <c r="I185" s="1409">
        <f t="shared" si="47"/>
        <v>3.9836233162469814E-2</v>
      </c>
      <c r="J185" s="1421">
        <f t="shared" si="48"/>
        <v>0</v>
      </c>
      <c r="K185" s="678">
        <v>1</v>
      </c>
      <c r="L185" s="1002"/>
      <c r="M185" s="1428">
        <f t="shared" si="49"/>
        <v>0</v>
      </c>
      <c r="N185" s="1106"/>
      <c r="O185" s="674">
        <f t="shared" si="50"/>
        <v>40</v>
      </c>
      <c r="P185" s="682"/>
      <c r="Q185" s="286"/>
      <c r="R185" s="287"/>
      <c r="S185" s="280"/>
      <c r="T185" s="280"/>
      <c r="U185" s="280"/>
      <c r="V185" s="280"/>
      <c r="W185" s="280"/>
      <c r="X185" s="280"/>
      <c r="Y185" s="280"/>
      <c r="Z185" s="284"/>
      <c r="AA185" s="284"/>
      <c r="AB185" s="284"/>
      <c r="AC185" s="284"/>
      <c r="AD185" s="284"/>
      <c r="AE185" s="284"/>
      <c r="AF185" s="447"/>
      <c r="AG185" s="447"/>
      <c r="AH185" s="447"/>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row>
    <row r="186" spans="1:67" s="88" customFormat="1" ht="10.55" customHeight="1" x14ac:dyDescent="0.2">
      <c r="A186" s="1013" t="s">
        <v>334</v>
      </c>
      <c r="B186" s="2807"/>
      <c r="C186" s="2808"/>
      <c r="D186" s="2809"/>
      <c r="E186" s="2561"/>
      <c r="F186" s="2562"/>
      <c r="G186" s="1785">
        <v>30</v>
      </c>
      <c r="H186" s="524"/>
      <c r="I186" s="1409">
        <f t="shared" si="47"/>
        <v>4.7777640736176463E-2</v>
      </c>
      <c r="J186" s="1421">
        <f t="shared" si="48"/>
        <v>0</v>
      </c>
      <c r="K186" s="678"/>
      <c r="L186" s="1002"/>
      <c r="M186" s="1428">
        <f t="shared" si="49"/>
        <v>0</v>
      </c>
      <c r="N186" s="1106"/>
      <c r="O186" s="674">
        <f t="shared" si="50"/>
        <v>30</v>
      </c>
      <c r="P186" s="682"/>
      <c r="Q186" s="286"/>
      <c r="R186" s="287"/>
      <c r="S186" s="280"/>
      <c r="T186" s="280"/>
      <c r="U186" s="280"/>
      <c r="V186" s="280"/>
      <c r="W186" s="280"/>
      <c r="X186" s="280"/>
      <c r="Y186" s="280"/>
      <c r="Z186" s="284"/>
      <c r="AA186" s="284"/>
      <c r="AB186" s="284"/>
      <c r="AC186" s="284"/>
      <c r="AD186" s="284"/>
      <c r="AE186" s="284"/>
      <c r="AF186" s="447"/>
      <c r="AG186" s="447"/>
      <c r="AH186" s="447"/>
      <c r="AI186" s="382"/>
      <c r="AJ186" s="382"/>
      <c r="AK186" s="382"/>
      <c r="AL186" s="382"/>
      <c r="AM186" s="382"/>
      <c r="AN186" s="382"/>
      <c r="AO186" s="382"/>
      <c r="AP186" s="382"/>
      <c r="AQ186" s="382"/>
      <c r="AR186" s="382"/>
      <c r="AS186" s="382"/>
      <c r="AT186" s="382"/>
      <c r="AU186" s="382"/>
      <c r="AV186" s="382"/>
      <c r="AW186" s="382"/>
      <c r="AX186" s="382"/>
      <c r="AY186" s="382"/>
      <c r="AZ186" s="382"/>
      <c r="BA186" s="382"/>
      <c r="BB186" s="382"/>
      <c r="BC186" s="382"/>
      <c r="BD186" s="382"/>
      <c r="BE186" s="382"/>
      <c r="BF186" s="382"/>
      <c r="BG186" s="382"/>
      <c r="BH186" s="382"/>
      <c r="BI186" s="382"/>
      <c r="BJ186" s="382"/>
      <c r="BK186" s="382"/>
      <c r="BL186" s="382"/>
      <c r="BM186" s="382"/>
      <c r="BN186" s="382"/>
      <c r="BO186" s="382"/>
    </row>
    <row r="187" spans="1:67" s="88" customFormat="1" ht="10.55" customHeight="1" x14ac:dyDescent="0.2">
      <c r="A187" s="675"/>
      <c r="B187" s="2807"/>
      <c r="C187" s="2808"/>
      <c r="D187" s="2809"/>
      <c r="E187" s="2561"/>
      <c r="F187" s="2562"/>
      <c r="G187" s="1015"/>
      <c r="H187" s="524"/>
      <c r="I187" s="1409">
        <f t="shared" si="47"/>
        <v>0</v>
      </c>
      <c r="J187" s="1421">
        <f t="shared" si="48"/>
        <v>0</v>
      </c>
      <c r="K187" s="679"/>
      <c r="L187" s="1002"/>
      <c r="M187" s="1428">
        <f t="shared" si="49"/>
        <v>0</v>
      </c>
      <c r="N187" s="1106"/>
      <c r="O187" s="674">
        <f t="shared" si="50"/>
        <v>0</v>
      </c>
      <c r="P187" s="682"/>
      <c r="Q187" s="286"/>
      <c r="R187" s="287"/>
      <c r="S187" s="280"/>
      <c r="T187" s="280"/>
      <c r="U187" s="280"/>
      <c r="V187" s="280"/>
      <c r="W187" s="280"/>
      <c r="X187" s="280"/>
      <c r="Y187" s="280"/>
      <c r="Z187" s="284"/>
      <c r="AA187" s="284"/>
      <c r="AB187" s="284"/>
      <c r="AC187" s="284"/>
      <c r="AD187" s="284"/>
      <c r="AE187" s="284"/>
      <c r="AF187" s="447"/>
      <c r="AG187" s="447"/>
      <c r="AH187" s="447"/>
      <c r="AI187" s="382"/>
      <c r="AJ187" s="382"/>
      <c r="AK187" s="382"/>
      <c r="AL187" s="382"/>
      <c r="AM187" s="382"/>
      <c r="AN187" s="382"/>
      <c r="AO187" s="382"/>
      <c r="AP187" s="382"/>
      <c r="AQ187" s="382"/>
      <c r="AR187" s="382"/>
      <c r="AS187" s="382"/>
      <c r="AT187" s="382"/>
      <c r="AU187" s="382"/>
      <c r="AV187" s="382"/>
      <c r="AW187" s="382"/>
      <c r="AX187" s="382"/>
      <c r="AY187" s="382"/>
      <c r="AZ187" s="382"/>
      <c r="BA187" s="382"/>
      <c r="BB187" s="382"/>
      <c r="BC187" s="382"/>
      <c r="BD187" s="382"/>
      <c r="BE187" s="382"/>
      <c r="BF187" s="382"/>
      <c r="BG187" s="382"/>
      <c r="BH187" s="382"/>
      <c r="BI187" s="382"/>
      <c r="BJ187" s="382"/>
      <c r="BK187" s="382"/>
      <c r="BL187" s="382"/>
      <c r="BM187" s="382"/>
      <c r="BN187" s="382"/>
      <c r="BO187" s="382"/>
    </row>
    <row r="188" spans="1:67" s="88" customFormat="1" ht="10.55" customHeight="1" x14ac:dyDescent="0.2">
      <c r="A188" s="675"/>
      <c r="B188" s="2807"/>
      <c r="C188" s="2808"/>
      <c r="D188" s="2809"/>
      <c r="E188" s="2561"/>
      <c r="F188" s="2562"/>
      <c r="G188" s="1015"/>
      <c r="H188" s="524"/>
      <c r="I188" s="1409">
        <f t="shared" si="47"/>
        <v>0</v>
      </c>
      <c r="J188" s="1421">
        <f t="shared" si="48"/>
        <v>0</v>
      </c>
      <c r="K188" s="679"/>
      <c r="L188" s="1002"/>
      <c r="M188" s="1428">
        <f t="shared" si="49"/>
        <v>0</v>
      </c>
      <c r="N188" s="1106"/>
      <c r="O188" s="674">
        <f t="shared" si="50"/>
        <v>0</v>
      </c>
      <c r="P188" s="682"/>
      <c r="Q188" s="286"/>
      <c r="R188" s="287"/>
      <c r="S188" s="280"/>
      <c r="T188" s="280"/>
      <c r="U188" s="280"/>
      <c r="V188" s="280"/>
      <c r="W188" s="280"/>
      <c r="X188" s="280"/>
      <c r="Y188" s="280"/>
      <c r="Z188" s="284"/>
      <c r="AA188" s="284"/>
      <c r="AB188" s="284"/>
      <c r="AC188" s="284"/>
      <c r="AD188" s="284"/>
      <c r="AE188" s="284"/>
      <c r="AF188" s="447"/>
      <c r="AG188" s="447"/>
      <c r="AH188" s="447"/>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row>
    <row r="189" spans="1:67" s="88" customFormat="1" ht="10.55" customHeight="1" x14ac:dyDescent="0.2">
      <c r="A189" s="675"/>
      <c r="B189" s="2807"/>
      <c r="C189" s="2808"/>
      <c r="D189" s="2809"/>
      <c r="E189" s="2561"/>
      <c r="F189" s="2562"/>
      <c r="G189" s="1015"/>
      <c r="H189" s="524"/>
      <c r="I189" s="1409">
        <f t="shared" si="47"/>
        <v>0</v>
      </c>
      <c r="J189" s="1421">
        <f t="shared" si="48"/>
        <v>0</v>
      </c>
      <c r="K189" s="679"/>
      <c r="L189" s="1002"/>
      <c r="M189" s="1428">
        <f t="shared" si="49"/>
        <v>0</v>
      </c>
      <c r="N189" s="1106"/>
      <c r="O189" s="674">
        <f t="shared" si="50"/>
        <v>0</v>
      </c>
      <c r="P189" s="682"/>
      <c r="Q189" s="286"/>
      <c r="R189" s="287"/>
      <c r="S189" s="280"/>
      <c r="T189" s="280"/>
      <c r="U189" s="280"/>
      <c r="V189" s="280"/>
      <c r="W189" s="280"/>
      <c r="X189" s="280"/>
      <c r="Y189" s="280"/>
      <c r="Z189" s="284"/>
      <c r="AA189" s="284"/>
      <c r="AB189" s="284"/>
      <c r="AC189" s="284"/>
      <c r="AD189" s="284"/>
      <c r="AE189" s="284"/>
      <c r="AF189" s="447"/>
      <c r="AG189" s="447"/>
      <c r="AH189" s="447"/>
      <c r="AI189" s="382"/>
      <c r="AJ189" s="382"/>
      <c r="AK189" s="382"/>
      <c r="AL189" s="382"/>
      <c r="AM189" s="382"/>
      <c r="AN189" s="382"/>
      <c r="AO189" s="382"/>
      <c r="AP189" s="382"/>
      <c r="AQ189" s="382"/>
      <c r="AR189" s="382"/>
      <c r="AS189" s="382"/>
      <c r="AT189" s="382"/>
      <c r="AU189" s="382"/>
      <c r="AV189" s="382"/>
      <c r="AW189" s="382"/>
      <c r="AX189" s="382"/>
      <c r="AY189" s="382"/>
      <c r="AZ189" s="382"/>
      <c r="BA189" s="382"/>
      <c r="BB189" s="382"/>
      <c r="BC189" s="382"/>
      <c r="BD189" s="382"/>
      <c r="BE189" s="382"/>
      <c r="BF189" s="382"/>
      <c r="BG189" s="382"/>
      <c r="BH189" s="382"/>
      <c r="BI189" s="382"/>
      <c r="BJ189" s="382"/>
      <c r="BK189" s="382"/>
      <c r="BL189" s="382"/>
      <c r="BM189" s="382"/>
      <c r="BN189" s="382"/>
      <c r="BO189" s="382"/>
    </row>
    <row r="190" spans="1:67" s="88" customFormat="1" ht="10.55" customHeight="1" x14ac:dyDescent="0.2">
      <c r="A190" s="675"/>
      <c r="B190" s="2807"/>
      <c r="C190" s="2808"/>
      <c r="D190" s="2809"/>
      <c r="E190" s="2561"/>
      <c r="F190" s="2562"/>
      <c r="G190" s="1015"/>
      <c r="H190" s="524"/>
      <c r="I190" s="1409">
        <f t="shared" si="47"/>
        <v>0</v>
      </c>
      <c r="J190" s="1421">
        <f t="shared" si="48"/>
        <v>0</v>
      </c>
      <c r="K190" s="679"/>
      <c r="L190" s="1002"/>
      <c r="M190" s="1428">
        <f t="shared" si="49"/>
        <v>0</v>
      </c>
      <c r="N190" s="1106"/>
      <c r="O190" s="674">
        <f t="shared" si="50"/>
        <v>0</v>
      </c>
      <c r="P190" s="682"/>
      <c r="Q190" s="286"/>
      <c r="R190" s="287"/>
      <c r="S190" s="280"/>
      <c r="T190" s="280"/>
      <c r="U190" s="280"/>
      <c r="V190" s="280"/>
      <c r="W190" s="280"/>
      <c r="X190" s="280"/>
      <c r="Y190" s="280"/>
      <c r="Z190" s="284"/>
      <c r="AA190" s="284"/>
      <c r="AB190" s="284"/>
      <c r="AC190" s="284"/>
      <c r="AD190" s="284"/>
      <c r="AE190" s="284"/>
      <c r="AF190" s="447"/>
      <c r="AG190" s="447"/>
      <c r="AH190" s="447"/>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row>
    <row r="191" spans="1:67" s="88" customFormat="1" ht="10.55" customHeight="1" x14ac:dyDescent="0.2">
      <c r="A191" s="675"/>
      <c r="B191" s="2807"/>
      <c r="C191" s="2808"/>
      <c r="D191" s="2809"/>
      <c r="E191" s="2561"/>
      <c r="F191" s="2562"/>
      <c r="G191" s="1015"/>
      <c r="H191" s="524"/>
      <c r="I191" s="1409">
        <f t="shared" si="47"/>
        <v>0</v>
      </c>
      <c r="J191" s="1421">
        <f t="shared" si="48"/>
        <v>0</v>
      </c>
      <c r="K191" s="679"/>
      <c r="L191" s="1002"/>
      <c r="M191" s="1428">
        <f t="shared" si="49"/>
        <v>0</v>
      </c>
      <c r="N191" s="1106"/>
      <c r="O191" s="674">
        <f t="shared" si="50"/>
        <v>0</v>
      </c>
      <c r="P191" s="682"/>
      <c r="Q191" s="286"/>
      <c r="R191" s="287"/>
      <c r="S191" s="280"/>
      <c r="T191" s="280"/>
      <c r="U191" s="280"/>
      <c r="V191" s="280"/>
      <c r="W191" s="280"/>
      <c r="X191" s="280"/>
      <c r="Y191" s="280"/>
      <c r="Z191" s="284"/>
      <c r="AA191" s="284"/>
      <c r="AB191" s="284"/>
      <c r="AC191" s="284"/>
      <c r="AD191" s="284"/>
      <c r="AE191" s="284"/>
      <c r="AF191" s="447"/>
      <c r="AG191" s="447"/>
      <c r="AH191" s="447"/>
      <c r="AI191" s="382"/>
      <c r="AJ191" s="382"/>
      <c r="AK191" s="382"/>
      <c r="AL191" s="382"/>
      <c r="AM191" s="382"/>
      <c r="AN191" s="382"/>
      <c r="AO191" s="382"/>
      <c r="AP191" s="382"/>
      <c r="AQ191" s="382"/>
      <c r="AR191" s="382"/>
      <c r="AS191" s="382"/>
      <c r="AT191" s="382"/>
      <c r="AU191" s="382"/>
      <c r="AV191" s="382"/>
      <c r="AW191" s="382"/>
      <c r="AX191" s="382"/>
      <c r="AY191" s="382"/>
      <c r="AZ191" s="382"/>
      <c r="BA191" s="382"/>
      <c r="BB191" s="382"/>
      <c r="BC191" s="382"/>
      <c r="BD191" s="382"/>
      <c r="BE191" s="382"/>
      <c r="BF191" s="382"/>
      <c r="BG191" s="382"/>
      <c r="BH191" s="382"/>
      <c r="BI191" s="382"/>
      <c r="BJ191" s="382"/>
      <c r="BK191" s="382"/>
      <c r="BL191" s="382"/>
      <c r="BM191" s="382"/>
      <c r="BN191" s="382"/>
      <c r="BO191" s="382"/>
    </row>
    <row r="192" spans="1:67" s="88" customFormat="1" ht="10.55" customHeight="1" x14ac:dyDescent="0.2">
      <c r="A192" s="675"/>
      <c r="B192" s="2807"/>
      <c r="C192" s="2808"/>
      <c r="D192" s="2809"/>
      <c r="E192" s="2561"/>
      <c r="F192" s="2562"/>
      <c r="G192" s="1015"/>
      <c r="H192" s="524"/>
      <c r="I192" s="1409">
        <f t="shared" si="47"/>
        <v>0</v>
      </c>
      <c r="J192" s="1421">
        <f t="shared" si="48"/>
        <v>0</v>
      </c>
      <c r="K192" s="679"/>
      <c r="L192" s="1002"/>
      <c r="M192" s="1428">
        <f t="shared" si="49"/>
        <v>0</v>
      </c>
      <c r="N192" s="1106"/>
      <c r="O192" s="674">
        <f t="shared" si="50"/>
        <v>0</v>
      </c>
      <c r="P192" s="682"/>
      <c r="Q192" s="286"/>
      <c r="R192" s="287"/>
      <c r="S192" s="280"/>
      <c r="T192" s="280"/>
      <c r="U192" s="280"/>
      <c r="V192" s="280"/>
      <c r="W192" s="280"/>
      <c r="X192" s="280"/>
      <c r="Y192" s="280"/>
      <c r="Z192" s="284"/>
      <c r="AA192" s="284"/>
      <c r="AB192" s="284"/>
      <c r="AC192" s="284"/>
      <c r="AD192" s="284"/>
      <c r="AE192" s="284"/>
      <c r="AF192" s="447"/>
      <c r="AG192" s="447"/>
      <c r="AH192" s="447"/>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382"/>
      <c r="BM192" s="382"/>
      <c r="BN192" s="382"/>
      <c r="BO192" s="382"/>
    </row>
    <row r="193" spans="1:67" s="88" customFormat="1" ht="10.55" customHeight="1" x14ac:dyDescent="0.2">
      <c r="A193" s="675"/>
      <c r="B193" s="2807"/>
      <c r="C193" s="2808"/>
      <c r="D193" s="2809"/>
      <c r="E193" s="2561"/>
      <c r="F193" s="2562"/>
      <c r="G193" s="1015"/>
      <c r="H193" s="524"/>
      <c r="I193" s="1409">
        <f t="shared" si="47"/>
        <v>0</v>
      </c>
      <c r="J193" s="1421">
        <f t="shared" si="48"/>
        <v>0</v>
      </c>
      <c r="K193" s="679"/>
      <c r="L193" s="1002"/>
      <c r="M193" s="1428">
        <f t="shared" si="49"/>
        <v>0</v>
      </c>
      <c r="N193" s="1106"/>
      <c r="O193" s="674">
        <f t="shared" si="50"/>
        <v>0</v>
      </c>
      <c r="P193" s="682"/>
      <c r="Q193" s="286"/>
      <c r="R193" s="287"/>
      <c r="S193" s="280"/>
      <c r="T193" s="280"/>
      <c r="U193" s="280"/>
      <c r="V193" s="280"/>
      <c r="W193" s="280"/>
      <c r="X193" s="280"/>
      <c r="Y193" s="280"/>
      <c r="Z193" s="284"/>
      <c r="AA193" s="284"/>
      <c r="AB193" s="284"/>
      <c r="AC193" s="284"/>
      <c r="AD193" s="284"/>
      <c r="AE193" s="284"/>
      <c r="AF193" s="447"/>
      <c r="AG193" s="447"/>
      <c r="AH193" s="447"/>
      <c r="AI193" s="382"/>
      <c r="AJ193" s="382"/>
      <c r="AK193" s="382"/>
      <c r="AL193" s="382"/>
      <c r="AM193" s="382"/>
      <c r="AN193" s="382"/>
      <c r="AO193" s="382"/>
      <c r="AP193" s="382"/>
      <c r="AQ193" s="382"/>
      <c r="AR193" s="382"/>
      <c r="AS193" s="382"/>
      <c r="AT193" s="382"/>
      <c r="AU193" s="382"/>
      <c r="AV193" s="382"/>
      <c r="AW193" s="382"/>
      <c r="AX193" s="382"/>
      <c r="AY193" s="382"/>
      <c r="AZ193" s="382"/>
      <c r="BA193" s="382"/>
      <c r="BB193" s="382"/>
      <c r="BC193" s="382"/>
      <c r="BD193" s="382"/>
      <c r="BE193" s="382"/>
      <c r="BF193" s="382"/>
      <c r="BG193" s="382"/>
      <c r="BH193" s="382"/>
      <c r="BI193" s="382"/>
      <c r="BJ193" s="382"/>
      <c r="BK193" s="382"/>
      <c r="BL193" s="382"/>
      <c r="BM193" s="382"/>
      <c r="BN193" s="382"/>
      <c r="BO193" s="382"/>
    </row>
    <row r="194" spans="1:67" s="88" customFormat="1" ht="10.55" customHeight="1" x14ac:dyDescent="0.2">
      <c r="A194" s="675"/>
      <c r="B194" s="2807"/>
      <c r="C194" s="2808"/>
      <c r="D194" s="2809"/>
      <c r="E194" s="2561"/>
      <c r="F194" s="2562"/>
      <c r="G194" s="1015"/>
      <c r="H194" s="524"/>
      <c r="I194" s="1409">
        <f t="shared" si="47"/>
        <v>0</v>
      </c>
      <c r="J194" s="1421">
        <f t="shared" si="48"/>
        <v>0</v>
      </c>
      <c r="K194" s="679"/>
      <c r="L194" s="1002"/>
      <c r="M194" s="1428">
        <f t="shared" si="49"/>
        <v>0</v>
      </c>
      <c r="N194" s="1106"/>
      <c r="O194" s="674">
        <f t="shared" si="50"/>
        <v>0</v>
      </c>
      <c r="P194" s="682"/>
      <c r="Q194" s="286"/>
      <c r="R194" s="287"/>
      <c r="S194" s="280"/>
      <c r="T194" s="280"/>
      <c r="U194" s="280"/>
      <c r="V194" s="280"/>
      <c r="W194" s="280"/>
      <c r="X194" s="280"/>
      <c r="Y194" s="280"/>
      <c r="Z194" s="284"/>
      <c r="AA194" s="284"/>
      <c r="AB194" s="284"/>
      <c r="AC194" s="284"/>
      <c r="AD194" s="284"/>
      <c r="AE194" s="284"/>
      <c r="AF194" s="447"/>
      <c r="AG194" s="447"/>
      <c r="AH194" s="447"/>
      <c r="AI194" s="382"/>
      <c r="AJ194" s="382"/>
      <c r="AK194" s="382"/>
      <c r="AL194" s="382"/>
      <c r="AM194" s="382"/>
      <c r="AN194" s="382"/>
      <c r="AO194" s="382"/>
      <c r="AP194" s="382"/>
      <c r="AQ194" s="382"/>
      <c r="AR194" s="382"/>
      <c r="AS194" s="382"/>
      <c r="AT194" s="382"/>
      <c r="AU194" s="382"/>
      <c r="AV194" s="382"/>
      <c r="AW194" s="382"/>
      <c r="AX194" s="382"/>
      <c r="AY194" s="382"/>
      <c r="AZ194" s="382"/>
      <c r="BA194" s="382"/>
      <c r="BB194" s="382"/>
      <c r="BC194" s="382"/>
      <c r="BD194" s="382"/>
      <c r="BE194" s="382"/>
      <c r="BF194" s="382"/>
      <c r="BG194" s="382"/>
      <c r="BH194" s="382"/>
      <c r="BI194" s="382"/>
      <c r="BJ194" s="382"/>
      <c r="BK194" s="382"/>
      <c r="BL194" s="382"/>
      <c r="BM194" s="382"/>
      <c r="BN194" s="382"/>
      <c r="BO194" s="382"/>
    </row>
    <row r="195" spans="1:67" s="88" customFormat="1" ht="10.55" customHeight="1" x14ac:dyDescent="0.2">
      <c r="A195" s="1017"/>
      <c r="B195" s="2804"/>
      <c r="C195" s="2805"/>
      <c r="D195" s="2806"/>
      <c r="E195" s="2793"/>
      <c r="F195" s="2794"/>
      <c r="G195" s="1018"/>
      <c r="H195" s="1019"/>
      <c r="I195" s="1436">
        <f t="shared" si="47"/>
        <v>0</v>
      </c>
      <c r="J195" s="1422"/>
      <c r="K195" s="680"/>
      <c r="L195" s="1020"/>
      <c r="M195" s="1429">
        <f t="shared" si="49"/>
        <v>0</v>
      </c>
      <c r="N195" s="1106"/>
      <c r="O195" s="674">
        <f t="shared" si="50"/>
        <v>0</v>
      </c>
      <c r="P195" s="682"/>
      <c r="Q195" s="286"/>
      <c r="R195" s="287"/>
      <c r="S195" s="280"/>
      <c r="T195" s="280"/>
      <c r="U195" s="280"/>
      <c r="V195" s="280"/>
      <c r="W195" s="280"/>
      <c r="X195" s="280"/>
      <c r="Y195" s="280"/>
      <c r="Z195" s="284"/>
      <c r="AA195" s="284"/>
      <c r="AB195" s="284"/>
      <c r="AC195" s="284"/>
      <c r="AD195" s="284"/>
      <c r="AE195" s="284"/>
      <c r="AF195" s="447"/>
      <c r="AG195" s="447"/>
      <c r="AH195" s="447"/>
      <c r="AI195" s="382"/>
      <c r="AJ195" s="382"/>
      <c r="AK195" s="382"/>
      <c r="AL195" s="382"/>
      <c r="AM195" s="382"/>
      <c r="AN195" s="382"/>
      <c r="AO195" s="382"/>
      <c r="AP195" s="382"/>
      <c r="AQ195" s="382"/>
      <c r="AR195" s="382"/>
      <c r="AS195" s="382"/>
      <c r="AT195" s="382"/>
      <c r="AU195" s="382"/>
      <c r="AV195" s="382"/>
      <c r="AW195" s="382"/>
      <c r="AX195" s="382"/>
      <c r="AY195" s="382"/>
      <c r="AZ195" s="382"/>
      <c r="BA195" s="382"/>
      <c r="BB195" s="382"/>
      <c r="BC195" s="382"/>
      <c r="BD195" s="382"/>
      <c r="BE195" s="382"/>
      <c r="BF195" s="382"/>
      <c r="BG195" s="382"/>
      <c r="BH195" s="382"/>
      <c r="BI195" s="382"/>
      <c r="BJ195" s="382"/>
      <c r="BK195" s="382"/>
      <c r="BL195" s="382"/>
      <c r="BM195" s="382"/>
      <c r="BN195" s="382"/>
      <c r="BO195" s="382"/>
    </row>
    <row r="196" spans="1:67" s="88" customFormat="1" ht="10.55" customHeight="1" x14ac:dyDescent="0.2">
      <c r="A196" s="1011" t="s">
        <v>380</v>
      </c>
      <c r="B196" s="2783"/>
      <c r="C196" s="2784"/>
      <c r="D196" s="2785"/>
      <c r="E196" s="2810">
        <f>SUM(E197:E209)</f>
        <v>0</v>
      </c>
      <c r="F196" s="2811"/>
      <c r="G196" s="2747"/>
      <c r="H196" s="2748"/>
      <c r="I196" s="1435">
        <f>IF(E196=0,0,J196/E196)</f>
        <v>0</v>
      </c>
      <c r="J196" s="1423">
        <f>SUM(J197:J209)</f>
        <v>0</v>
      </c>
      <c r="K196" s="2749">
        <f>IF(E196=0,0,M196/E196*100)</f>
        <v>0</v>
      </c>
      <c r="L196" s="2750"/>
      <c r="M196" s="1430">
        <f>SUM(M197:M209)</f>
        <v>0</v>
      </c>
      <c r="N196" s="1106"/>
      <c r="O196" s="387">
        <f>IF(H196="",G196,H196)</f>
        <v>0</v>
      </c>
      <c r="P196" s="682"/>
      <c r="Q196" s="286"/>
      <c r="R196" s="287"/>
      <c r="S196" s="280"/>
      <c r="T196" s="280"/>
      <c r="U196" s="280"/>
      <c r="V196" s="280"/>
      <c r="W196" s="280"/>
      <c r="X196" s="280"/>
      <c r="Y196" s="280"/>
      <c r="Z196" s="284"/>
      <c r="AA196" s="284"/>
      <c r="AB196" s="284"/>
      <c r="AC196" s="284"/>
      <c r="AD196" s="284"/>
      <c r="AE196" s="284"/>
      <c r="AF196" s="447"/>
      <c r="AG196" s="447"/>
      <c r="AH196" s="447"/>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382"/>
      <c r="BM196" s="382"/>
      <c r="BN196" s="382"/>
      <c r="BO196" s="382"/>
    </row>
    <row r="197" spans="1:67" s="88" customFormat="1" ht="10.55" customHeight="1" x14ac:dyDescent="0.2">
      <c r="A197" s="1013" t="s">
        <v>381</v>
      </c>
      <c r="B197" s="2790"/>
      <c r="C197" s="2791"/>
      <c r="D197" s="2792"/>
      <c r="E197" s="2734"/>
      <c r="F197" s="2735"/>
      <c r="G197" s="1785">
        <v>30</v>
      </c>
      <c r="H197" s="524"/>
      <c r="I197" s="1409">
        <f t="shared" ref="I197:I210" si="51">IF($O197&gt;0,-PMT(($I$9),$O197,1),0)</f>
        <v>4.7777640736176463E-2</v>
      </c>
      <c r="J197" s="1421">
        <f t="shared" ref="J197:J209" si="52">ROUND(E197*I197,0)</f>
        <v>0</v>
      </c>
      <c r="K197" s="678">
        <v>1.5</v>
      </c>
      <c r="L197" s="1002"/>
      <c r="M197" s="1428">
        <f t="shared" ref="M197:M210" si="53">ROUND(E197/100*IF(ISBLANK(L197),K197,L197),0)</f>
        <v>0</v>
      </c>
      <c r="N197" s="1106"/>
      <c r="O197" s="674">
        <f t="shared" ref="O197:O210" si="54">IF(ISBLANK(H197),G197,H197)</f>
        <v>30</v>
      </c>
      <c r="P197" s="682"/>
      <c r="Q197" s="286"/>
      <c r="R197" s="287"/>
      <c r="S197" s="280"/>
      <c r="T197" s="280"/>
      <c r="U197" s="280"/>
      <c r="V197" s="280"/>
      <c r="W197" s="280"/>
      <c r="X197" s="280"/>
      <c r="Y197" s="280"/>
      <c r="Z197" s="284"/>
      <c r="AA197" s="284"/>
      <c r="AB197" s="284"/>
      <c r="AC197" s="284"/>
      <c r="AD197" s="284"/>
      <c r="AE197" s="284"/>
      <c r="AF197" s="447"/>
      <c r="AG197" s="447"/>
      <c r="AH197" s="447"/>
      <c r="AI197" s="382"/>
      <c r="AJ197" s="382"/>
      <c r="AK197" s="382"/>
      <c r="AL197" s="382"/>
      <c r="AM197" s="382"/>
      <c r="AN197" s="382"/>
      <c r="AO197" s="382"/>
      <c r="AP197" s="382"/>
      <c r="AQ197" s="382"/>
      <c r="AR197" s="382"/>
      <c r="AS197" s="382"/>
      <c r="AT197" s="382"/>
      <c r="AU197" s="382"/>
      <c r="AV197" s="382"/>
      <c r="AW197" s="382"/>
      <c r="AX197" s="382"/>
      <c r="AY197" s="382"/>
      <c r="AZ197" s="382"/>
      <c r="BA197" s="382"/>
      <c r="BB197" s="382"/>
      <c r="BC197" s="382"/>
      <c r="BD197" s="382"/>
      <c r="BE197" s="382"/>
      <c r="BF197" s="382"/>
      <c r="BG197" s="382"/>
      <c r="BH197" s="382"/>
      <c r="BI197" s="382"/>
      <c r="BJ197" s="382"/>
      <c r="BK197" s="382"/>
      <c r="BL197" s="382"/>
      <c r="BM197" s="382"/>
      <c r="BN197" s="382"/>
      <c r="BO197" s="382"/>
    </row>
    <row r="198" spans="1:67" s="88" customFormat="1" ht="10.55" customHeight="1" x14ac:dyDescent="0.2">
      <c r="A198" s="1013" t="s">
        <v>382</v>
      </c>
      <c r="B198" s="2807"/>
      <c r="C198" s="2808"/>
      <c r="D198" s="2809"/>
      <c r="E198" s="2561"/>
      <c r="F198" s="2562"/>
      <c r="G198" s="1785">
        <v>30</v>
      </c>
      <c r="H198" s="524"/>
      <c r="I198" s="1409">
        <f t="shared" si="51"/>
        <v>4.7777640736176463E-2</v>
      </c>
      <c r="J198" s="1421">
        <f t="shared" si="52"/>
        <v>0</v>
      </c>
      <c r="K198" s="678">
        <v>1</v>
      </c>
      <c r="L198" s="1002"/>
      <c r="M198" s="1428">
        <f t="shared" si="53"/>
        <v>0</v>
      </c>
      <c r="N198" s="1106"/>
      <c r="O198" s="674">
        <f t="shared" si="54"/>
        <v>30</v>
      </c>
      <c r="P198" s="682"/>
      <c r="Q198" s="286"/>
      <c r="R198" s="287"/>
      <c r="S198" s="280"/>
      <c r="T198" s="280"/>
      <c r="U198" s="280"/>
      <c r="V198" s="280"/>
      <c r="W198" s="280"/>
      <c r="X198" s="280"/>
      <c r="Y198" s="280"/>
      <c r="Z198" s="284"/>
      <c r="AA198" s="284"/>
      <c r="AB198" s="284"/>
      <c r="AC198" s="284"/>
      <c r="AD198" s="284"/>
      <c r="AE198" s="284"/>
      <c r="AF198" s="447"/>
      <c r="AG198" s="447"/>
      <c r="AH198" s="447"/>
      <c r="AI198" s="382"/>
      <c r="AJ198" s="382"/>
      <c r="AK198" s="382"/>
      <c r="AL198" s="382"/>
      <c r="AM198" s="382"/>
      <c r="AN198" s="382"/>
      <c r="AO198" s="382"/>
      <c r="AP198" s="382"/>
      <c r="AQ198" s="382"/>
      <c r="AR198" s="382"/>
      <c r="AS198" s="382"/>
      <c r="AT198" s="382"/>
      <c r="AU198" s="382"/>
      <c r="AV198" s="382"/>
      <c r="AW198" s="382"/>
      <c r="AX198" s="382"/>
      <c r="AY198" s="382"/>
      <c r="AZ198" s="382"/>
      <c r="BA198" s="382"/>
      <c r="BB198" s="382"/>
      <c r="BC198" s="382"/>
      <c r="BD198" s="382"/>
      <c r="BE198" s="382"/>
      <c r="BF198" s="382"/>
      <c r="BG198" s="382"/>
      <c r="BH198" s="382"/>
      <c r="BI198" s="382"/>
      <c r="BJ198" s="382"/>
      <c r="BK198" s="382"/>
      <c r="BL198" s="382"/>
      <c r="BM198" s="382"/>
      <c r="BN198" s="382"/>
      <c r="BO198" s="382"/>
    </row>
    <row r="199" spans="1:67" s="88" customFormat="1" ht="10.55" customHeight="1" x14ac:dyDescent="0.2">
      <c r="A199" s="1013" t="s">
        <v>383</v>
      </c>
      <c r="B199" s="2807"/>
      <c r="C199" s="2808"/>
      <c r="D199" s="2809"/>
      <c r="E199" s="2561"/>
      <c r="F199" s="2562"/>
      <c r="G199" s="1785">
        <v>30</v>
      </c>
      <c r="H199" s="524"/>
      <c r="I199" s="1409">
        <f t="shared" si="51"/>
        <v>4.7777640736176463E-2</v>
      </c>
      <c r="J199" s="1421">
        <f t="shared" si="52"/>
        <v>0</v>
      </c>
      <c r="K199" s="678">
        <v>0.5</v>
      </c>
      <c r="L199" s="1002"/>
      <c r="M199" s="1428">
        <f t="shared" si="53"/>
        <v>0</v>
      </c>
      <c r="N199" s="1106"/>
      <c r="O199" s="674">
        <f t="shared" si="54"/>
        <v>30</v>
      </c>
      <c r="P199" s="682"/>
      <c r="Q199" s="286"/>
      <c r="R199" s="287"/>
      <c r="S199" s="280"/>
      <c r="T199" s="280"/>
      <c r="U199" s="280"/>
      <c r="V199" s="280"/>
      <c r="W199" s="280"/>
      <c r="X199" s="280"/>
      <c r="Y199" s="280"/>
      <c r="Z199" s="284"/>
      <c r="AA199" s="284"/>
      <c r="AB199" s="284"/>
      <c r="AC199" s="284"/>
      <c r="AD199" s="284"/>
      <c r="AE199" s="284"/>
      <c r="AF199" s="447"/>
      <c r="AG199" s="447"/>
      <c r="AH199" s="447"/>
      <c r="AI199" s="382"/>
      <c r="AJ199" s="382"/>
      <c r="AK199" s="382"/>
      <c r="AL199" s="382"/>
      <c r="AM199" s="382"/>
      <c r="AN199" s="382"/>
      <c r="AO199" s="382"/>
      <c r="AP199" s="382"/>
      <c r="AQ199" s="382"/>
      <c r="AR199" s="382"/>
      <c r="AS199" s="382"/>
      <c r="AT199" s="382"/>
      <c r="AU199" s="382"/>
      <c r="AV199" s="382"/>
      <c r="AW199" s="382"/>
      <c r="AX199" s="382"/>
      <c r="AY199" s="382"/>
      <c r="AZ199" s="382"/>
      <c r="BA199" s="382"/>
      <c r="BB199" s="382"/>
      <c r="BC199" s="382"/>
      <c r="BD199" s="382"/>
      <c r="BE199" s="382"/>
      <c r="BF199" s="382"/>
      <c r="BG199" s="382"/>
      <c r="BH199" s="382"/>
      <c r="BI199" s="382"/>
      <c r="BJ199" s="382"/>
      <c r="BK199" s="382"/>
      <c r="BL199" s="382"/>
      <c r="BM199" s="382"/>
      <c r="BN199" s="382"/>
      <c r="BO199" s="382"/>
    </row>
    <row r="200" spans="1:67" s="88" customFormat="1" ht="10.55" customHeight="1" x14ac:dyDescent="0.2">
      <c r="A200" s="1013" t="s">
        <v>384</v>
      </c>
      <c r="B200" s="2807"/>
      <c r="C200" s="2808"/>
      <c r="D200" s="2809"/>
      <c r="E200" s="2561"/>
      <c r="F200" s="2562"/>
      <c r="G200" s="1785">
        <v>30</v>
      </c>
      <c r="H200" s="524"/>
      <c r="I200" s="1409">
        <f t="shared" si="51"/>
        <v>4.7777640736176463E-2</v>
      </c>
      <c r="J200" s="1421">
        <f t="shared" si="52"/>
        <v>0</v>
      </c>
      <c r="K200" s="678">
        <v>0.5</v>
      </c>
      <c r="L200" s="1002"/>
      <c r="M200" s="1428">
        <f t="shared" si="53"/>
        <v>0</v>
      </c>
      <c r="N200" s="1106"/>
      <c r="O200" s="674">
        <f t="shared" si="54"/>
        <v>30</v>
      </c>
      <c r="P200" s="682"/>
      <c r="Q200" s="286"/>
      <c r="R200" s="287"/>
      <c r="S200" s="280"/>
      <c r="T200" s="280"/>
      <c r="U200" s="280"/>
      <c r="V200" s="280"/>
      <c r="W200" s="280"/>
      <c r="X200" s="280"/>
      <c r="Y200" s="280"/>
      <c r="Z200" s="284"/>
      <c r="AA200" s="284"/>
      <c r="AB200" s="284"/>
      <c r="AC200" s="284"/>
      <c r="AD200" s="284"/>
      <c r="AE200" s="284"/>
      <c r="AF200" s="447"/>
      <c r="AG200" s="447"/>
      <c r="AH200" s="447"/>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382"/>
      <c r="BM200" s="382"/>
      <c r="BN200" s="382"/>
      <c r="BO200" s="382"/>
    </row>
    <row r="201" spans="1:67" s="88" customFormat="1" ht="10.55" customHeight="1" x14ac:dyDescent="0.2">
      <c r="A201" s="1013" t="s">
        <v>385</v>
      </c>
      <c r="B201" s="2807"/>
      <c r="C201" s="2808"/>
      <c r="D201" s="2809"/>
      <c r="E201" s="2561"/>
      <c r="F201" s="2562"/>
      <c r="G201" s="1785">
        <v>15</v>
      </c>
      <c r="H201" s="524"/>
      <c r="I201" s="1409">
        <f t="shared" si="51"/>
        <v>8.0766456051533542E-2</v>
      </c>
      <c r="J201" s="1421">
        <f t="shared" si="52"/>
        <v>0</v>
      </c>
      <c r="K201" s="678">
        <v>2</v>
      </c>
      <c r="L201" s="1002"/>
      <c r="M201" s="1428">
        <f t="shared" si="53"/>
        <v>0</v>
      </c>
      <c r="N201" s="1106"/>
      <c r="O201" s="674">
        <f t="shared" si="54"/>
        <v>15</v>
      </c>
      <c r="P201" s="682"/>
      <c r="Q201" s="286"/>
      <c r="R201" s="287"/>
      <c r="S201" s="280"/>
      <c r="T201" s="280"/>
      <c r="U201" s="280"/>
      <c r="V201" s="280"/>
      <c r="W201" s="280"/>
      <c r="X201" s="280"/>
      <c r="Y201" s="280"/>
      <c r="Z201" s="284"/>
      <c r="AA201" s="284"/>
      <c r="AB201" s="284"/>
      <c r="AC201" s="284"/>
      <c r="AD201" s="284"/>
      <c r="AE201" s="284"/>
      <c r="AF201" s="447"/>
      <c r="AG201" s="447"/>
      <c r="AH201" s="447"/>
      <c r="AI201" s="382"/>
      <c r="AJ201" s="382"/>
      <c r="AK201" s="382"/>
      <c r="AL201" s="382"/>
      <c r="AM201" s="382"/>
      <c r="AN201" s="382"/>
      <c r="AO201" s="382"/>
      <c r="AP201" s="382"/>
      <c r="AQ201" s="382"/>
      <c r="AR201" s="382"/>
      <c r="AS201" s="382"/>
      <c r="AT201" s="382"/>
      <c r="AU201" s="382"/>
      <c r="AV201" s="382"/>
      <c r="AW201" s="382"/>
      <c r="AX201" s="382"/>
      <c r="AY201" s="382"/>
      <c r="AZ201" s="382"/>
      <c r="BA201" s="382"/>
      <c r="BB201" s="382"/>
      <c r="BC201" s="382"/>
      <c r="BD201" s="382"/>
      <c r="BE201" s="382"/>
      <c r="BF201" s="382"/>
      <c r="BG201" s="382"/>
      <c r="BH201" s="382"/>
      <c r="BI201" s="382"/>
      <c r="BJ201" s="382"/>
      <c r="BK201" s="382"/>
      <c r="BL201" s="382"/>
      <c r="BM201" s="382"/>
      <c r="BN201" s="382"/>
      <c r="BO201" s="382"/>
    </row>
    <row r="202" spans="1:67" s="88" customFormat="1" ht="10.55" customHeight="1" x14ac:dyDescent="0.2">
      <c r="A202" s="1013" t="s">
        <v>460</v>
      </c>
      <c r="B202" s="2807"/>
      <c r="C202" s="2808"/>
      <c r="D202" s="2809"/>
      <c r="E202" s="2561"/>
      <c r="F202" s="2562"/>
      <c r="G202" s="1785">
        <v>15</v>
      </c>
      <c r="H202" s="524"/>
      <c r="I202" s="1409">
        <f t="shared" si="51"/>
        <v>8.0766456051533542E-2</v>
      </c>
      <c r="J202" s="1421">
        <f t="shared" si="52"/>
        <v>0</v>
      </c>
      <c r="K202" s="678">
        <v>1.5</v>
      </c>
      <c r="L202" s="1002"/>
      <c r="M202" s="1428">
        <f t="shared" si="53"/>
        <v>0</v>
      </c>
      <c r="N202" s="1106"/>
      <c r="O202" s="674">
        <f t="shared" si="54"/>
        <v>15</v>
      </c>
      <c r="P202" s="682"/>
      <c r="Q202" s="286"/>
      <c r="R202" s="287"/>
      <c r="S202" s="280"/>
      <c r="T202" s="280"/>
      <c r="U202" s="280"/>
      <c r="V202" s="280"/>
      <c r="W202" s="280"/>
      <c r="X202" s="280"/>
      <c r="Y202" s="280"/>
      <c r="Z202" s="284"/>
      <c r="AA202" s="284"/>
      <c r="AB202" s="284"/>
      <c r="AC202" s="284"/>
      <c r="AD202" s="284"/>
      <c r="AE202" s="284"/>
      <c r="AF202" s="447"/>
      <c r="AG202" s="447"/>
      <c r="AH202" s="447"/>
      <c r="AI202" s="382"/>
      <c r="AJ202" s="382"/>
      <c r="AK202" s="382"/>
      <c r="AL202" s="382"/>
      <c r="AM202" s="382"/>
      <c r="AN202" s="382"/>
      <c r="AO202" s="382"/>
      <c r="AP202" s="382"/>
      <c r="AQ202" s="382"/>
      <c r="AR202" s="382"/>
      <c r="AS202" s="382"/>
      <c r="AT202" s="382"/>
      <c r="AU202" s="382"/>
      <c r="AV202" s="382"/>
      <c r="AW202" s="382"/>
      <c r="AX202" s="382"/>
      <c r="AY202" s="382"/>
      <c r="AZ202" s="382"/>
      <c r="BA202" s="382"/>
      <c r="BB202" s="382"/>
      <c r="BC202" s="382"/>
      <c r="BD202" s="382"/>
      <c r="BE202" s="382"/>
      <c r="BF202" s="382"/>
      <c r="BG202" s="382"/>
      <c r="BH202" s="382"/>
      <c r="BI202" s="382"/>
      <c r="BJ202" s="382"/>
      <c r="BK202" s="382"/>
      <c r="BL202" s="382"/>
      <c r="BM202" s="382"/>
      <c r="BN202" s="382"/>
      <c r="BO202" s="382"/>
    </row>
    <row r="203" spans="1:67" s="88" customFormat="1" ht="10.55" customHeight="1" x14ac:dyDescent="0.2">
      <c r="A203" s="675"/>
      <c r="B203" s="2807"/>
      <c r="C203" s="2808"/>
      <c r="D203" s="2809"/>
      <c r="E203" s="2561"/>
      <c r="F203" s="2562"/>
      <c r="G203" s="1015"/>
      <c r="H203" s="524"/>
      <c r="I203" s="1409">
        <f t="shared" si="51"/>
        <v>0</v>
      </c>
      <c r="J203" s="1421">
        <f t="shared" si="52"/>
        <v>0</v>
      </c>
      <c r="K203" s="679"/>
      <c r="L203" s="1002"/>
      <c r="M203" s="1428">
        <f t="shared" si="53"/>
        <v>0</v>
      </c>
      <c r="N203" s="1106"/>
      <c r="O203" s="674">
        <f t="shared" si="54"/>
        <v>0</v>
      </c>
      <c r="P203" s="682"/>
      <c r="Q203" s="286"/>
      <c r="R203" s="287"/>
      <c r="S203" s="280"/>
      <c r="T203" s="280"/>
      <c r="U203" s="280"/>
      <c r="V203" s="280"/>
      <c r="W203" s="280"/>
      <c r="X203" s="280"/>
      <c r="Y203" s="280"/>
      <c r="Z203" s="284"/>
      <c r="AA203" s="284"/>
      <c r="AB203" s="284"/>
      <c r="AC203" s="284"/>
      <c r="AD203" s="284"/>
      <c r="AE203" s="284"/>
      <c r="AF203" s="447"/>
      <c r="AG203" s="447"/>
      <c r="AH203" s="447"/>
      <c r="AI203" s="382"/>
      <c r="AJ203" s="382"/>
      <c r="AK203" s="382"/>
      <c r="AL203" s="382"/>
      <c r="AM203" s="382"/>
      <c r="AN203" s="382"/>
      <c r="AO203" s="382"/>
      <c r="AP203" s="382"/>
      <c r="AQ203" s="382"/>
      <c r="AR203" s="382"/>
      <c r="AS203" s="382"/>
      <c r="AT203" s="382"/>
      <c r="AU203" s="382"/>
      <c r="AV203" s="382"/>
      <c r="AW203" s="382"/>
      <c r="AX203" s="382"/>
      <c r="AY203" s="382"/>
      <c r="AZ203" s="382"/>
      <c r="BA203" s="382"/>
      <c r="BB203" s="382"/>
      <c r="BC203" s="382"/>
      <c r="BD203" s="382"/>
      <c r="BE203" s="382"/>
      <c r="BF203" s="382"/>
      <c r="BG203" s="382"/>
      <c r="BH203" s="382"/>
      <c r="BI203" s="382"/>
      <c r="BJ203" s="382"/>
      <c r="BK203" s="382"/>
      <c r="BL203" s="382"/>
      <c r="BM203" s="382"/>
      <c r="BN203" s="382"/>
      <c r="BO203" s="382"/>
    </row>
    <row r="204" spans="1:67" s="88" customFormat="1" ht="10.55" customHeight="1" x14ac:dyDescent="0.2">
      <c r="A204" s="675"/>
      <c r="B204" s="2807"/>
      <c r="C204" s="2808"/>
      <c r="D204" s="2809"/>
      <c r="E204" s="2561"/>
      <c r="F204" s="2562"/>
      <c r="G204" s="1015"/>
      <c r="H204" s="524"/>
      <c r="I204" s="1409">
        <f t="shared" si="51"/>
        <v>0</v>
      </c>
      <c r="J204" s="1421">
        <f t="shared" si="52"/>
        <v>0</v>
      </c>
      <c r="K204" s="679"/>
      <c r="L204" s="1002"/>
      <c r="M204" s="1428">
        <f t="shared" si="53"/>
        <v>0</v>
      </c>
      <c r="N204" s="1106"/>
      <c r="O204" s="674">
        <f t="shared" si="54"/>
        <v>0</v>
      </c>
      <c r="P204" s="682"/>
      <c r="Q204" s="286"/>
      <c r="R204" s="287"/>
      <c r="S204" s="280"/>
      <c r="T204" s="280"/>
      <c r="U204" s="280"/>
      <c r="V204" s="280"/>
      <c r="W204" s="280"/>
      <c r="X204" s="280"/>
      <c r="Y204" s="280"/>
      <c r="Z204" s="284"/>
      <c r="AA204" s="284"/>
      <c r="AB204" s="284"/>
      <c r="AC204" s="284"/>
      <c r="AD204" s="284"/>
      <c r="AE204" s="284"/>
      <c r="AF204" s="447"/>
      <c r="AG204" s="447"/>
      <c r="AH204" s="447"/>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382"/>
      <c r="BM204" s="382"/>
      <c r="BN204" s="382"/>
      <c r="BO204" s="382"/>
    </row>
    <row r="205" spans="1:67" s="88" customFormat="1" ht="10.55" customHeight="1" x14ac:dyDescent="0.2">
      <c r="A205" s="675"/>
      <c r="B205" s="2807"/>
      <c r="C205" s="2808"/>
      <c r="D205" s="2809"/>
      <c r="E205" s="2561"/>
      <c r="F205" s="2562"/>
      <c r="G205" s="1015"/>
      <c r="H205" s="524"/>
      <c r="I205" s="1409">
        <f t="shared" si="51"/>
        <v>0</v>
      </c>
      <c r="J205" s="1421">
        <f t="shared" si="52"/>
        <v>0</v>
      </c>
      <c r="K205" s="679"/>
      <c r="L205" s="1002"/>
      <c r="M205" s="1428">
        <f t="shared" si="53"/>
        <v>0</v>
      </c>
      <c r="N205" s="1106"/>
      <c r="O205" s="674">
        <f t="shared" si="54"/>
        <v>0</v>
      </c>
      <c r="P205" s="682"/>
      <c r="Q205" s="286"/>
      <c r="R205" s="287"/>
      <c r="S205" s="280"/>
      <c r="T205" s="280"/>
      <c r="U205" s="280"/>
      <c r="V205" s="280"/>
      <c r="W205" s="280"/>
      <c r="X205" s="280"/>
      <c r="Y205" s="280"/>
      <c r="Z205" s="284"/>
      <c r="AA205" s="284"/>
      <c r="AB205" s="284"/>
      <c r="AC205" s="284"/>
      <c r="AD205" s="284"/>
      <c r="AE205" s="284"/>
      <c r="AF205" s="447"/>
      <c r="AG205" s="447"/>
      <c r="AH205" s="447"/>
      <c r="AI205" s="382"/>
      <c r="AJ205" s="382"/>
      <c r="AK205" s="382"/>
      <c r="AL205" s="382"/>
      <c r="AM205" s="382"/>
      <c r="AN205" s="382"/>
      <c r="AO205" s="382"/>
      <c r="AP205" s="382"/>
      <c r="AQ205" s="382"/>
      <c r="AR205" s="382"/>
      <c r="AS205" s="382"/>
      <c r="AT205" s="382"/>
      <c r="AU205" s="382"/>
      <c r="AV205" s="382"/>
      <c r="AW205" s="382"/>
      <c r="AX205" s="382"/>
      <c r="AY205" s="382"/>
      <c r="AZ205" s="382"/>
      <c r="BA205" s="382"/>
      <c r="BB205" s="382"/>
      <c r="BC205" s="382"/>
      <c r="BD205" s="382"/>
      <c r="BE205" s="382"/>
      <c r="BF205" s="382"/>
      <c r="BG205" s="382"/>
      <c r="BH205" s="382"/>
      <c r="BI205" s="382"/>
      <c r="BJ205" s="382"/>
      <c r="BK205" s="382"/>
      <c r="BL205" s="382"/>
      <c r="BM205" s="382"/>
      <c r="BN205" s="382"/>
      <c r="BO205" s="382"/>
    </row>
    <row r="206" spans="1:67" s="88" customFormat="1" ht="10.55" customHeight="1" x14ac:dyDescent="0.2">
      <c r="A206" s="675"/>
      <c r="B206" s="2807"/>
      <c r="C206" s="2808"/>
      <c r="D206" s="2809"/>
      <c r="E206" s="2561"/>
      <c r="F206" s="2562"/>
      <c r="G206" s="1015"/>
      <c r="H206" s="524"/>
      <c r="I206" s="1409">
        <f t="shared" si="51"/>
        <v>0</v>
      </c>
      <c r="J206" s="1421">
        <f t="shared" si="52"/>
        <v>0</v>
      </c>
      <c r="K206" s="679"/>
      <c r="L206" s="1002"/>
      <c r="M206" s="1428">
        <f t="shared" si="53"/>
        <v>0</v>
      </c>
      <c r="N206" s="1106"/>
      <c r="O206" s="674">
        <f t="shared" si="54"/>
        <v>0</v>
      </c>
      <c r="P206" s="682"/>
      <c r="Q206" s="286"/>
      <c r="R206" s="287"/>
      <c r="S206" s="280"/>
      <c r="T206" s="280"/>
      <c r="U206" s="280"/>
      <c r="V206" s="280"/>
      <c r="W206" s="280"/>
      <c r="X206" s="280"/>
      <c r="Y206" s="280"/>
      <c r="Z206" s="284"/>
      <c r="AA206" s="284"/>
      <c r="AB206" s="284"/>
      <c r="AC206" s="284"/>
      <c r="AD206" s="284"/>
      <c r="AE206" s="284"/>
      <c r="AF206" s="447"/>
      <c r="AG206" s="447"/>
      <c r="AH206" s="447"/>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2"/>
      <c r="BL206" s="382"/>
      <c r="BM206" s="382"/>
      <c r="BN206" s="382"/>
      <c r="BO206" s="382"/>
    </row>
    <row r="207" spans="1:67" s="88" customFormat="1" ht="10.55" customHeight="1" x14ac:dyDescent="0.2">
      <c r="A207" s="675"/>
      <c r="B207" s="2807"/>
      <c r="C207" s="2808"/>
      <c r="D207" s="2809"/>
      <c r="E207" s="2561"/>
      <c r="F207" s="2562"/>
      <c r="G207" s="1015"/>
      <c r="H207" s="524"/>
      <c r="I207" s="1409">
        <f t="shared" si="51"/>
        <v>0</v>
      </c>
      <c r="J207" s="1421">
        <f t="shared" si="52"/>
        <v>0</v>
      </c>
      <c r="K207" s="679"/>
      <c r="L207" s="1002"/>
      <c r="M207" s="1428">
        <f t="shared" si="53"/>
        <v>0</v>
      </c>
      <c r="N207" s="1106"/>
      <c r="O207" s="674">
        <f t="shared" si="54"/>
        <v>0</v>
      </c>
      <c r="P207" s="682"/>
      <c r="Q207" s="286"/>
      <c r="R207" s="287"/>
      <c r="S207" s="280"/>
      <c r="T207" s="280"/>
      <c r="U207" s="280"/>
      <c r="V207" s="280"/>
      <c r="W207" s="280"/>
      <c r="X207" s="280"/>
      <c r="Y207" s="280"/>
      <c r="Z207" s="284"/>
      <c r="AA207" s="284"/>
      <c r="AB207" s="284"/>
      <c r="AC207" s="284"/>
      <c r="AD207" s="284"/>
      <c r="AE207" s="284"/>
      <c r="AF207" s="447"/>
      <c r="AG207" s="447"/>
      <c r="AH207" s="447"/>
      <c r="AI207" s="382"/>
      <c r="AJ207" s="382"/>
      <c r="AK207" s="382"/>
      <c r="AL207" s="382"/>
      <c r="AM207" s="382"/>
      <c r="AN207" s="382"/>
      <c r="AO207" s="382"/>
      <c r="AP207" s="382"/>
      <c r="AQ207" s="382"/>
      <c r="AR207" s="382"/>
      <c r="AS207" s="382"/>
      <c r="AT207" s="382"/>
      <c r="AU207" s="382"/>
      <c r="AV207" s="382"/>
      <c r="AW207" s="382"/>
      <c r="AX207" s="382"/>
      <c r="AY207" s="382"/>
      <c r="AZ207" s="382"/>
      <c r="BA207" s="382"/>
      <c r="BB207" s="382"/>
      <c r="BC207" s="382"/>
      <c r="BD207" s="382"/>
      <c r="BE207" s="382"/>
      <c r="BF207" s="382"/>
      <c r="BG207" s="382"/>
      <c r="BH207" s="382"/>
      <c r="BI207" s="382"/>
      <c r="BJ207" s="382"/>
      <c r="BK207" s="382"/>
      <c r="BL207" s="382"/>
      <c r="BM207" s="382"/>
      <c r="BN207" s="382"/>
      <c r="BO207" s="382"/>
    </row>
    <row r="208" spans="1:67" s="88" customFormat="1" ht="10.55" customHeight="1" x14ac:dyDescent="0.2">
      <c r="A208" s="675"/>
      <c r="B208" s="2807"/>
      <c r="C208" s="2808"/>
      <c r="D208" s="2809"/>
      <c r="E208" s="2561"/>
      <c r="F208" s="2562"/>
      <c r="G208" s="1015"/>
      <c r="H208" s="524"/>
      <c r="I208" s="1409">
        <f t="shared" si="51"/>
        <v>0</v>
      </c>
      <c r="J208" s="1421">
        <f t="shared" si="52"/>
        <v>0</v>
      </c>
      <c r="K208" s="679"/>
      <c r="L208" s="1002"/>
      <c r="M208" s="1428">
        <f t="shared" si="53"/>
        <v>0</v>
      </c>
      <c r="N208" s="1106"/>
      <c r="O208" s="674">
        <f t="shared" si="54"/>
        <v>0</v>
      </c>
      <c r="P208" s="682"/>
      <c r="Q208" s="286"/>
      <c r="R208" s="287"/>
      <c r="S208" s="280"/>
      <c r="T208" s="280"/>
      <c r="U208" s="280"/>
      <c r="V208" s="280"/>
      <c r="W208" s="280"/>
      <c r="X208" s="280"/>
      <c r="Y208" s="280"/>
      <c r="Z208" s="284"/>
      <c r="AA208" s="284"/>
      <c r="AB208" s="284"/>
      <c r="AC208" s="284"/>
      <c r="AD208" s="284"/>
      <c r="AE208" s="284"/>
      <c r="AF208" s="447"/>
      <c r="AG208" s="447"/>
      <c r="AH208" s="447"/>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382"/>
      <c r="BM208" s="382"/>
      <c r="BN208" s="382"/>
      <c r="BO208" s="382"/>
    </row>
    <row r="209" spans="1:67" s="88" customFormat="1" ht="10.55" customHeight="1" x14ac:dyDescent="0.2">
      <c r="A209" s="675"/>
      <c r="B209" s="2807"/>
      <c r="C209" s="2808"/>
      <c r="D209" s="2809"/>
      <c r="E209" s="2561"/>
      <c r="F209" s="2562"/>
      <c r="G209" s="1015"/>
      <c r="H209" s="524"/>
      <c r="I209" s="1409">
        <f t="shared" si="51"/>
        <v>0</v>
      </c>
      <c r="J209" s="1421">
        <f t="shared" si="52"/>
        <v>0</v>
      </c>
      <c r="K209" s="679"/>
      <c r="L209" s="1002"/>
      <c r="M209" s="1428">
        <f t="shared" si="53"/>
        <v>0</v>
      </c>
      <c r="N209" s="1106"/>
      <c r="O209" s="674">
        <f t="shared" si="54"/>
        <v>0</v>
      </c>
      <c r="P209" s="682"/>
      <c r="Q209" s="286"/>
      <c r="R209" s="287"/>
      <c r="S209" s="280"/>
      <c r="T209" s="280"/>
      <c r="U209" s="280"/>
      <c r="V209" s="280"/>
      <c r="W209" s="280"/>
      <c r="X209" s="280"/>
      <c r="Y209" s="280"/>
      <c r="Z209" s="284"/>
      <c r="AA209" s="284"/>
      <c r="AB209" s="284"/>
      <c r="AC209" s="284"/>
      <c r="AD209" s="284"/>
      <c r="AE209" s="284"/>
      <c r="AF209" s="447"/>
      <c r="AG209" s="447"/>
      <c r="AH209" s="447"/>
      <c r="AI209" s="382"/>
      <c r="AJ209" s="382"/>
      <c r="AK209" s="382"/>
      <c r="AL209" s="382"/>
      <c r="AM209" s="382"/>
      <c r="AN209" s="382"/>
      <c r="AO209" s="382"/>
      <c r="AP209" s="382"/>
      <c r="AQ209" s="382"/>
      <c r="AR209" s="382"/>
      <c r="AS209" s="382"/>
      <c r="AT209" s="382"/>
      <c r="AU209" s="382"/>
      <c r="AV209" s="382"/>
      <c r="AW209" s="382"/>
      <c r="AX209" s="382"/>
      <c r="AY209" s="382"/>
      <c r="AZ209" s="382"/>
      <c r="BA209" s="382"/>
      <c r="BB209" s="382"/>
      <c r="BC209" s="382"/>
      <c r="BD209" s="382"/>
      <c r="BE209" s="382"/>
      <c r="BF209" s="382"/>
      <c r="BG209" s="382"/>
      <c r="BH209" s="382"/>
      <c r="BI209" s="382"/>
      <c r="BJ209" s="382"/>
      <c r="BK209" s="382"/>
      <c r="BL209" s="382"/>
      <c r="BM209" s="382"/>
      <c r="BN209" s="382"/>
      <c r="BO209" s="382"/>
    </row>
    <row r="210" spans="1:67" s="88" customFormat="1" ht="10.55" customHeight="1" x14ac:dyDescent="0.2">
      <c r="A210" s="1017"/>
      <c r="B210" s="2804"/>
      <c r="C210" s="2805"/>
      <c r="D210" s="2806"/>
      <c r="E210" s="2793"/>
      <c r="F210" s="2794"/>
      <c r="G210" s="1018"/>
      <c r="H210" s="1019"/>
      <c r="I210" s="1436">
        <f t="shared" si="51"/>
        <v>0</v>
      </c>
      <c r="J210" s="1422"/>
      <c r="K210" s="680"/>
      <c r="L210" s="1020"/>
      <c r="M210" s="1429">
        <f t="shared" si="53"/>
        <v>0</v>
      </c>
      <c r="N210" s="1106"/>
      <c r="O210" s="674">
        <f t="shared" si="54"/>
        <v>0</v>
      </c>
      <c r="P210" s="682"/>
      <c r="Q210" s="286"/>
      <c r="R210" s="287"/>
      <c r="S210" s="280"/>
      <c r="T210" s="280"/>
      <c r="U210" s="280"/>
      <c r="V210" s="280"/>
      <c r="W210" s="280"/>
      <c r="X210" s="280"/>
      <c r="Y210" s="280"/>
      <c r="Z210" s="284"/>
      <c r="AA210" s="284"/>
      <c r="AB210" s="284"/>
      <c r="AC210" s="284"/>
      <c r="AD210" s="284"/>
      <c r="AE210" s="284"/>
      <c r="AF210" s="447"/>
      <c r="AG210" s="447"/>
      <c r="AH210" s="447"/>
      <c r="AI210" s="382"/>
      <c r="AJ210" s="382"/>
      <c r="AK210" s="382"/>
      <c r="AL210" s="382"/>
      <c r="AM210" s="382"/>
      <c r="AN210" s="382"/>
      <c r="AO210" s="382"/>
      <c r="AP210" s="382"/>
      <c r="AQ210" s="382"/>
      <c r="AR210" s="382"/>
      <c r="AS210" s="382"/>
      <c r="AT210" s="382"/>
      <c r="AU210" s="382"/>
      <c r="AV210" s="382"/>
      <c r="AW210" s="382"/>
      <c r="AX210" s="382"/>
      <c r="AY210" s="382"/>
      <c r="AZ210" s="382"/>
      <c r="BA210" s="382"/>
      <c r="BB210" s="382"/>
      <c r="BC210" s="382"/>
      <c r="BD210" s="382"/>
      <c r="BE210" s="382"/>
      <c r="BF210" s="382"/>
      <c r="BG210" s="382"/>
      <c r="BH210" s="382"/>
      <c r="BI210" s="382"/>
      <c r="BJ210" s="382"/>
      <c r="BK210" s="382"/>
      <c r="BL210" s="382"/>
      <c r="BM210" s="382"/>
      <c r="BN210" s="382"/>
      <c r="BO210" s="382"/>
    </row>
    <row r="211" spans="1:67" s="88" customFormat="1" ht="10.55" customHeight="1" x14ac:dyDescent="0.2">
      <c r="A211" s="1011" t="s">
        <v>386</v>
      </c>
      <c r="B211" s="2783"/>
      <c r="C211" s="2784"/>
      <c r="D211" s="2785"/>
      <c r="E211" s="2810">
        <f>SUM(E212:E224)</f>
        <v>0</v>
      </c>
      <c r="F211" s="2811"/>
      <c r="G211" s="2747"/>
      <c r="H211" s="2748"/>
      <c r="I211" s="1435">
        <f>IF(E211=0,0,J211/E211)</f>
        <v>0</v>
      </c>
      <c r="J211" s="1423">
        <f>SUM(J212:J224)</f>
        <v>0</v>
      </c>
      <c r="K211" s="2749">
        <f>IF(E211=0,0,M211/E211*100)</f>
        <v>0</v>
      </c>
      <c r="L211" s="2750"/>
      <c r="M211" s="1430">
        <f>SUM(M212:M224)</f>
        <v>0</v>
      </c>
      <c r="N211" s="1106"/>
      <c r="O211" s="387">
        <f>IF(H211="",G211,H211)</f>
        <v>0</v>
      </c>
      <c r="P211" s="682"/>
      <c r="Q211" s="286"/>
      <c r="R211" s="287"/>
      <c r="S211" s="280"/>
      <c r="T211" s="280"/>
      <c r="U211" s="280"/>
      <c r="V211" s="280"/>
      <c r="W211" s="280"/>
      <c r="X211" s="280"/>
      <c r="Y211" s="280"/>
      <c r="Z211" s="284"/>
      <c r="AA211" s="284"/>
      <c r="AB211" s="284"/>
      <c r="AC211" s="284"/>
      <c r="AD211" s="284"/>
      <c r="AE211" s="284"/>
      <c r="AF211" s="447"/>
      <c r="AG211" s="447"/>
      <c r="AH211" s="447"/>
      <c r="AI211" s="382"/>
      <c r="AJ211" s="382"/>
      <c r="AK211" s="382"/>
      <c r="AL211" s="382"/>
      <c r="AM211" s="382"/>
      <c r="AN211" s="382"/>
      <c r="AO211" s="382"/>
      <c r="AP211" s="382"/>
      <c r="AQ211" s="382"/>
      <c r="AR211" s="382"/>
      <c r="AS211" s="382"/>
      <c r="AT211" s="382"/>
      <c r="AU211" s="382"/>
      <c r="AV211" s="382"/>
      <c r="AW211" s="382"/>
      <c r="AX211" s="382"/>
      <c r="AY211" s="382"/>
      <c r="AZ211" s="382"/>
      <c r="BA211" s="382"/>
      <c r="BB211" s="382"/>
      <c r="BC211" s="382"/>
      <c r="BD211" s="382"/>
      <c r="BE211" s="382"/>
      <c r="BF211" s="382"/>
      <c r="BG211" s="382"/>
      <c r="BH211" s="382"/>
      <c r="BI211" s="382"/>
      <c r="BJ211" s="382"/>
      <c r="BK211" s="382"/>
      <c r="BL211" s="382"/>
      <c r="BM211" s="382"/>
      <c r="BN211" s="382"/>
      <c r="BO211" s="382"/>
    </row>
    <row r="212" spans="1:67" s="88" customFormat="1" ht="10.55" customHeight="1" x14ac:dyDescent="0.2">
      <c r="A212" s="1013" t="s">
        <v>387</v>
      </c>
      <c r="B212" s="2790"/>
      <c r="C212" s="2791"/>
      <c r="D212" s="2792"/>
      <c r="E212" s="2734"/>
      <c r="F212" s="2735"/>
      <c r="G212" s="1785">
        <v>30</v>
      </c>
      <c r="H212" s="524"/>
      <c r="I212" s="1409">
        <f t="shared" ref="I212:I225" si="55">IF($O212&gt;0,-PMT(($I$9),$O212,1),0)</f>
        <v>4.7777640736176463E-2</v>
      </c>
      <c r="J212" s="1421">
        <f t="shared" ref="J212:J224" si="56">ROUND(E212*I212,0)</f>
        <v>0</v>
      </c>
      <c r="K212" s="678">
        <v>0.5</v>
      </c>
      <c r="L212" s="1002"/>
      <c r="M212" s="1428">
        <f t="shared" ref="M212:M225" si="57">ROUND(E212/100*IF(ISBLANK(L212),K212,L212),0)</f>
        <v>0</v>
      </c>
      <c r="N212" s="1106"/>
      <c r="O212" s="674">
        <f t="shared" ref="O212:O225" si="58">IF(ISBLANK(H212),G212,H212)</f>
        <v>30</v>
      </c>
      <c r="P212" s="682"/>
      <c r="Q212" s="286"/>
      <c r="R212" s="287"/>
      <c r="S212" s="280"/>
      <c r="T212" s="280"/>
      <c r="U212" s="280"/>
      <c r="V212" s="280"/>
      <c r="W212" s="280"/>
      <c r="X212" s="280"/>
      <c r="Y212" s="280"/>
      <c r="Z212" s="284"/>
      <c r="AA212" s="284"/>
      <c r="AB212" s="284"/>
      <c r="AC212" s="284"/>
      <c r="AD212" s="284"/>
      <c r="AE212" s="284"/>
      <c r="AF212" s="447"/>
      <c r="AG212" s="447"/>
      <c r="AH212" s="447"/>
      <c r="AI212" s="382"/>
      <c r="AJ212" s="382"/>
      <c r="AK212" s="382"/>
      <c r="AL212" s="382"/>
      <c r="AM212" s="382"/>
      <c r="AN212" s="382"/>
      <c r="AO212" s="382"/>
      <c r="AP212" s="382"/>
      <c r="AQ212" s="382"/>
      <c r="AR212" s="382"/>
      <c r="AS212" s="382"/>
      <c r="AT212" s="382"/>
      <c r="AU212" s="382"/>
      <c r="AV212" s="382"/>
      <c r="AW212" s="382"/>
      <c r="AX212" s="382"/>
      <c r="AY212" s="382"/>
      <c r="AZ212" s="382"/>
      <c r="BA212" s="382"/>
      <c r="BB212" s="382"/>
      <c r="BC212" s="382"/>
      <c r="BD212" s="382"/>
      <c r="BE212" s="382"/>
      <c r="BF212" s="382"/>
      <c r="BG212" s="382"/>
      <c r="BH212" s="382"/>
      <c r="BI212" s="382"/>
      <c r="BJ212" s="382"/>
      <c r="BK212" s="382"/>
      <c r="BL212" s="382"/>
      <c r="BM212" s="382"/>
      <c r="BN212" s="382"/>
      <c r="BO212" s="382"/>
    </row>
    <row r="213" spans="1:67" s="88" customFormat="1" ht="10.55" customHeight="1" x14ac:dyDescent="0.2">
      <c r="A213" s="1013" t="s">
        <v>388</v>
      </c>
      <c r="B213" s="2807"/>
      <c r="C213" s="2808"/>
      <c r="D213" s="2809"/>
      <c r="E213" s="2561"/>
      <c r="F213" s="2562"/>
      <c r="G213" s="1785">
        <v>30</v>
      </c>
      <c r="H213" s="524"/>
      <c r="I213" s="1409">
        <f t="shared" si="55"/>
        <v>4.7777640736176463E-2</v>
      </c>
      <c r="J213" s="1421">
        <f t="shared" si="56"/>
        <v>0</v>
      </c>
      <c r="K213" s="678">
        <v>1.5</v>
      </c>
      <c r="L213" s="1002"/>
      <c r="M213" s="1428">
        <f t="shared" si="57"/>
        <v>0</v>
      </c>
      <c r="N213" s="1106"/>
      <c r="O213" s="674">
        <f t="shared" si="58"/>
        <v>30</v>
      </c>
      <c r="P213" s="682"/>
      <c r="Q213" s="286"/>
      <c r="R213" s="287"/>
      <c r="S213" s="280"/>
      <c r="T213" s="280"/>
      <c r="U213" s="280"/>
      <c r="V213" s="280"/>
      <c r="W213" s="280"/>
      <c r="X213" s="280"/>
      <c r="Y213" s="280"/>
      <c r="Z213" s="284"/>
      <c r="AA213" s="284"/>
      <c r="AB213" s="284"/>
      <c r="AC213" s="284"/>
      <c r="AD213" s="284"/>
      <c r="AE213" s="284"/>
      <c r="AF213" s="447"/>
      <c r="AG213" s="447"/>
      <c r="AH213" s="447"/>
      <c r="AI213" s="382"/>
      <c r="AJ213" s="382"/>
      <c r="AK213" s="382"/>
      <c r="AL213" s="382"/>
      <c r="AM213" s="382"/>
      <c r="AN213" s="382"/>
      <c r="AO213" s="382"/>
      <c r="AP213" s="382"/>
      <c r="AQ213" s="382"/>
      <c r="AR213" s="382"/>
      <c r="AS213" s="382"/>
      <c r="AT213" s="382"/>
      <c r="AU213" s="382"/>
      <c r="AV213" s="382"/>
      <c r="AW213" s="382"/>
      <c r="AX213" s="382"/>
      <c r="AY213" s="382"/>
      <c r="AZ213" s="382"/>
      <c r="BA213" s="382"/>
      <c r="BB213" s="382"/>
      <c r="BC213" s="382"/>
      <c r="BD213" s="382"/>
      <c r="BE213" s="382"/>
      <c r="BF213" s="382"/>
      <c r="BG213" s="382"/>
      <c r="BH213" s="382"/>
      <c r="BI213" s="382"/>
      <c r="BJ213" s="382"/>
      <c r="BK213" s="382"/>
      <c r="BL213" s="382"/>
      <c r="BM213" s="382"/>
      <c r="BN213" s="382"/>
      <c r="BO213" s="382"/>
    </row>
    <row r="214" spans="1:67" s="88" customFormat="1" ht="10.55" customHeight="1" x14ac:dyDescent="0.2">
      <c r="A214" s="1013" t="s">
        <v>389</v>
      </c>
      <c r="B214" s="2807"/>
      <c r="C214" s="2808"/>
      <c r="D214" s="2809"/>
      <c r="E214" s="2561"/>
      <c r="F214" s="2562"/>
      <c r="G214" s="1785">
        <v>30</v>
      </c>
      <c r="H214" s="524"/>
      <c r="I214" s="1409">
        <f t="shared" si="55"/>
        <v>4.7777640736176463E-2</v>
      </c>
      <c r="J214" s="1421">
        <f t="shared" si="56"/>
        <v>0</v>
      </c>
      <c r="K214" s="678">
        <v>1.5</v>
      </c>
      <c r="L214" s="1002"/>
      <c r="M214" s="1428">
        <f t="shared" si="57"/>
        <v>0</v>
      </c>
      <c r="N214" s="1106"/>
      <c r="O214" s="674">
        <f t="shared" si="58"/>
        <v>30</v>
      </c>
      <c r="P214" s="682"/>
      <c r="Q214" s="286"/>
      <c r="R214" s="287"/>
      <c r="S214" s="280"/>
      <c r="T214" s="280"/>
      <c r="U214" s="280"/>
      <c r="V214" s="280"/>
      <c r="W214" s="280"/>
      <c r="X214" s="280"/>
      <c r="Y214" s="280"/>
      <c r="Z214" s="284"/>
      <c r="AA214" s="284"/>
      <c r="AB214" s="284"/>
      <c r="AC214" s="284"/>
      <c r="AD214" s="284"/>
      <c r="AE214" s="284"/>
      <c r="AF214" s="447"/>
      <c r="AG214" s="447"/>
      <c r="AH214" s="447"/>
      <c r="AI214" s="382"/>
      <c r="AJ214" s="382"/>
      <c r="AK214" s="382"/>
      <c r="AL214" s="382"/>
      <c r="AM214" s="382"/>
      <c r="AN214" s="382"/>
      <c r="AO214" s="382"/>
      <c r="AP214" s="382"/>
      <c r="AQ214" s="382"/>
      <c r="AR214" s="382"/>
      <c r="AS214" s="382"/>
      <c r="AT214" s="382"/>
      <c r="AU214" s="382"/>
      <c r="AV214" s="382"/>
      <c r="AW214" s="382"/>
      <c r="AX214" s="382"/>
      <c r="AY214" s="382"/>
      <c r="AZ214" s="382"/>
      <c r="BA214" s="382"/>
      <c r="BB214" s="382"/>
      <c r="BC214" s="382"/>
      <c r="BD214" s="382"/>
      <c r="BE214" s="382"/>
      <c r="BF214" s="382"/>
      <c r="BG214" s="382"/>
      <c r="BH214" s="382"/>
      <c r="BI214" s="382"/>
      <c r="BJ214" s="382"/>
      <c r="BK214" s="382"/>
      <c r="BL214" s="382"/>
      <c r="BM214" s="382"/>
      <c r="BN214" s="382"/>
      <c r="BO214" s="382"/>
    </row>
    <row r="215" spans="1:67" s="88" customFormat="1" ht="10.55" customHeight="1" x14ac:dyDescent="0.2">
      <c r="A215" s="1013" t="s">
        <v>461</v>
      </c>
      <c r="B215" s="2807"/>
      <c r="C215" s="2808"/>
      <c r="D215" s="2809"/>
      <c r="E215" s="2561"/>
      <c r="F215" s="2562"/>
      <c r="G215" s="1785">
        <v>30</v>
      </c>
      <c r="H215" s="524"/>
      <c r="I215" s="1409">
        <f t="shared" si="55"/>
        <v>4.7777640736176463E-2</v>
      </c>
      <c r="J215" s="1421">
        <f t="shared" si="56"/>
        <v>0</v>
      </c>
      <c r="K215" s="678">
        <v>1.5</v>
      </c>
      <c r="L215" s="1002"/>
      <c r="M215" s="1428">
        <f t="shared" si="57"/>
        <v>0</v>
      </c>
      <c r="N215" s="1106"/>
      <c r="O215" s="674">
        <f t="shared" si="58"/>
        <v>30</v>
      </c>
      <c r="P215" s="682"/>
      <c r="Q215" s="286"/>
      <c r="R215" s="287"/>
      <c r="S215" s="280"/>
      <c r="T215" s="280"/>
      <c r="U215" s="280"/>
      <c r="V215" s="280"/>
      <c r="W215" s="280"/>
      <c r="X215" s="280"/>
      <c r="Y215" s="280"/>
      <c r="Z215" s="284"/>
      <c r="AA215" s="284"/>
      <c r="AB215" s="284"/>
      <c r="AC215" s="284"/>
      <c r="AD215" s="284"/>
      <c r="AE215" s="284"/>
      <c r="AF215" s="447"/>
      <c r="AG215" s="447"/>
      <c r="AH215" s="447"/>
      <c r="AI215" s="382"/>
      <c r="AJ215" s="382"/>
      <c r="AK215" s="382"/>
      <c r="AL215" s="382"/>
      <c r="AM215" s="382"/>
      <c r="AN215" s="382"/>
      <c r="AO215" s="382"/>
      <c r="AP215" s="382"/>
      <c r="AQ215" s="382"/>
      <c r="AR215" s="382"/>
      <c r="AS215" s="382"/>
      <c r="AT215" s="382"/>
      <c r="AU215" s="382"/>
      <c r="AV215" s="382"/>
      <c r="AW215" s="382"/>
      <c r="AX215" s="382"/>
      <c r="AY215" s="382"/>
      <c r="AZ215" s="382"/>
      <c r="BA215" s="382"/>
      <c r="BB215" s="382"/>
      <c r="BC215" s="382"/>
      <c r="BD215" s="382"/>
      <c r="BE215" s="382"/>
      <c r="BF215" s="382"/>
      <c r="BG215" s="382"/>
      <c r="BH215" s="382"/>
      <c r="BI215" s="382"/>
      <c r="BJ215" s="382"/>
      <c r="BK215" s="382"/>
      <c r="BL215" s="382"/>
      <c r="BM215" s="382"/>
      <c r="BN215" s="382"/>
      <c r="BO215" s="382"/>
    </row>
    <row r="216" spans="1:67" s="88" customFormat="1" ht="10.55" customHeight="1" x14ac:dyDescent="0.2">
      <c r="A216" s="1013" t="s">
        <v>462</v>
      </c>
      <c r="B216" s="2807"/>
      <c r="C216" s="2808"/>
      <c r="D216" s="2809"/>
      <c r="E216" s="2561"/>
      <c r="F216" s="2562"/>
      <c r="G216" s="1785">
        <v>30</v>
      </c>
      <c r="H216" s="524"/>
      <c r="I216" s="1409">
        <f t="shared" si="55"/>
        <v>4.7777640736176463E-2</v>
      </c>
      <c r="J216" s="1421">
        <f t="shared" si="56"/>
        <v>0</v>
      </c>
      <c r="K216" s="678">
        <v>1.5</v>
      </c>
      <c r="L216" s="1002"/>
      <c r="M216" s="1428">
        <f t="shared" si="57"/>
        <v>0</v>
      </c>
      <c r="N216" s="1106"/>
      <c r="O216" s="674">
        <f t="shared" si="58"/>
        <v>30</v>
      </c>
      <c r="P216" s="682"/>
      <c r="Q216" s="286"/>
      <c r="R216" s="287"/>
      <c r="S216" s="280"/>
      <c r="T216" s="280"/>
      <c r="U216" s="280"/>
      <c r="V216" s="280"/>
      <c r="W216" s="280"/>
      <c r="X216" s="280"/>
      <c r="Y216" s="280"/>
      <c r="Z216" s="284"/>
      <c r="AA216" s="284"/>
      <c r="AB216" s="284"/>
      <c r="AC216" s="284"/>
      <c r="AD216" s="284"/>
      <c r="AE216" s="284"/>
      <c r="AF216" s="447"/>
      <c r="AG216" s="447"/>
      <c r="AH216" s="447"/>
      <c r="AI216" s="382"/>
      <c r="AJ216" s="382"/>
      <c r="AK216" s="382"/>
      <c r="AL216" s="382"/>
      <c r="AM216" s="382"/>
      <c r="AN216" s="382"/>
      <c r="AO216" s="382"/>
      <c r="AP216" s="382"/>
      <c r="AQ216" s="382"/>
      <c r="AR216" s="382"/>
      <c r="AS216" s="382"/>
      <c r="AT216" s="382"/>
      <c r="AU216" s="382"/>
      <c r="AV216" s="382"/>
      <c r="AW216" s="382"/>
      <c r="AX216" s="382"/>
      <c r="AY216" s="382"/>
      <c r="AZ216" s="382"/>
      <c r="BA216" s="382"/>
      <c r="BB216" s="382"/>
      <c r="BC216" s="382"/>
      <c r="BD216" s="382"/>
      <c r="BE216" s="382"/>
      <c r="BF216" s="382"/>
      <c r="BG216" s="382"/>
      <c r="BH216" s="382"/>
      <c r="BI216" s="382"/>
      <c r="BJ216" s="382"/>
      <c r="BK216" s="382"/>
      <c r="BL216" s="382"/>
      <c r="BM216" s="382"/>
      <c r="BN216" s="382"/>
      <c r="BO216" s="382"/>
    </row>
    <row r="217" spans="1:67" s="88" customFormat="1" ht="10.55" customHeight="1" x14ac:dyDescent="0.2">
      <c r="A217" s="675"/>
      <c r="B217" s="2807"/>
      <c r="C217" s="2808"/>
      <c r="D217" s="2809"/>
      <c r="E217" s="2561"/>
      <c r="F217" s="2562"/>
      <c r="G217" s="1015"/>
      <c r="H217" s="524"/>
      <c r="I217" s="1409">
        <f t="shared" si="55"/>
        <v>0</v>
      </c>
      <c r="J217" s="1421">
        <f t="shared" si="56"/>
        <v>0</v>
      </c>
      <c r="K217" s="679"/>
      <c r="L217" s="1002"/>
      <c r="M217" s="1428">
        <f t="shared" si="57"/>
        <v>0</v>
      </c>
      <c r="N217" s="1106"/>
      <c r="O217" s="674">
        <f t="shared" si="58"/>
        <v>0</v>
      </c>
      <c r="P217" s="682"/>
      <c r="Q217" s="286"/>
      <c r="R217" s="287"/>
      <c r="S217" s="280"/>
      <c r="T217" s="280"/>
      <c r="U217" s="280"/>
      <c r="V217" s="280"/>
      <c r="W217" s="280"/>
      <c r="X217" s="280"/>
      <c r="Y217" s="280"/>
      <c r="Z217" s="284"/>
      <c r="AA217" s="284"/>
      <c r="AB217" s="284"/>
      <c r="AC217" s="284"/>
      <c r="AD217" s="284"/>
      <c r="AE217" s="284"/>
      <c r="AF217" s="447"/>
      <c r="AG217" s="447"/>
      <c r="AH217" s="447"/>
      <c r="AI217" s="382"/>
      <c r="AJ217" s="382"/>
      <c r="AK217" s="382"/>
      <c r="AL217" s="382"/>
      <c r="AM217" s="382"/>
      <c r="AN217" s="382"/>
      <c r="AO217" s="382"/>
      <c r="AP217" s="382"/>
      <c r="AQ217" s="382"/>
      <c r="AR217" s="382"/>
      <c r="AS217" s="382"/>
      <c r="AT217" s="382"/>
      <c r="AU217" s="382"/>
      <c r="AV217" s="382"/>
      <c r="AW217" s="382"/>
      <c r="AX217" s="382"/>
      <c r="AY217" s="382"/>
      <c r="AZ217" s="382"/>
      <c r="BA217" s="382"/>
      <c r="BB217" s="382"/>
      <c r="BC217" s="382"/>
      <c r="BD217" s="382"/>
      <c r="BE217" s="382"/>
      <c r="BF217" s="382"/>
      <c r="BG217" s="382"/>
      <c r="BH217" s="382"/>
      <c r="BI217" s="382"/>
      <c r="BJ217" s="382"/>
      <c r="BK217" s="382"/>
      <c r="BL217" s="382"/>
      <c r="BM217" s="382"/>
      <c r="BN217" s="382"/>
      <c r="BO217" s="382"/>
    </row>
    <row r="218" spans="1:67" s="88" customFormat="1" ht="10.55" customHeight="1" x14ac:dyDescent="0.2">
      <c r="A218" s="675"/>
      <c r="B218" s="2807"/>
      <c r="C218" s="2808"/>
      <c r="D218" s="2809"/>
      <c r="E218" s="2561"/>
      <c r="F218" s="2562"/>
      <c r="G218" s="1015"/>
      <c r="H218" s="524"/>
      <c r="I218" s="1409">
        <f t="shared" si="55"/>
        <v>0</v>
      </c>
      <c r="J218" s="1421">
        <f t="shared" si="56"/>
        <v>0</v>
      </c>
      <c r="K218" s="679"/>
      <c r="L218" s="1002"/>
      <c r="M218" s="1428">
        <f t="shared" si="57"/>
        <v>0</v>
      </c>
      <c r="N218" s="1106"/>
      <c r="O218" s="674">
        <f t="shared" si="58"/>
        <v>0</v>
      </c>
      <c r="P218" s="682"/>
      <c r="Q218" s="286"/>
      <c r="R218" s="287"/>
      <c r="S218" s="280"/>
      <c r="T218" s="280"/>
      <c r="U218" s="280"/>
      <c r="V218" s="280"/>
      <c r="W218" s="280"/>
      <c r="X218" s="280"/>
      <c r="Y218" s="280"/>
      <c r="Z218" s="284"/>
      <c r="AA218" s="284"/>
      <c r="AB218" s="284"/>
      <c r="AC218" s="284"/>
      <c r="AD218" s="284"/>
      <c r="AE218" s="284"/>
      <c r="AF218" s="447"/>
      <c r="AG218" s="447"/>
      <c r="AH218" s="447"/>
      <c r="AI218" s="382"/>
      <c r="AJ218" s="382"/>
      <c r="AK218" s="382"/>
      <c r="AL218" s="382"/>
      <c r="AM218" s="382"/>
      <c r="AN218" s="382"/>
      <c r="AO218" s="382"/>
      <c r="AP218" s="382"/>
      <c r="AQ218" s="382"/>
      <c r="AR218" s="382"/>
      <c r="AS218" s="382"/>
      <c r="AT218" s="382"/>
      <c r="AU218" s="382"/>
      <c r="AV218" s="382"/>
      <c r="AW218" s="382"/>
      <c r="AX218" s="382"/>
      <c r="AY218" s="382"/>
      <c r="AZ218" s="382"/>
      <c r="BA218" s="382"/>
      <c r="BB218" s="382"/>
      <c r="BC218" s="382"/>
      <c r="BD218" s="382"/>
      <c r="BE218" s="382"/>
      <c r="BF218" s="382"/>
      <c r="BG218" s="382"/>
      <c r="BH218" s="382"/>
      <c r="BI218" s="382"/>
      <c r="BJ218" s="382"/>
      <c r="BK218" s="382"/>
      <c r="BL218" s="382"/>
      <c r="BM218" s="382"/>
      <c r="BN218" s="382"/>
      <c r="BO218" s="382"/>
    </row>
    <row r="219" spans="1:67" s="88" customFormat="1" ht="10.55" customHeight="1" x14ac:dyDescent="0.2">
      <c r="A219" s="675"/>
      <c r="B219" s="2807"/>
      <c r="C219" s="2808"/>
      <c r="D219" s="2809"/>
      <c r="E219" s="2561"/>
      <c r="F219" s="2562"/>
      <c r="G219" s="1015"/>
      <c r="H219" s="524"/>
      <c r="I219" s="1409">
        <f t="shared" si="55"/>
        <v>0</v>
      </c>
      <c r="J219" s="1421">
        <f t="shared" si="56"/>
        <v>0</v>
      </c>
      <c r="K219" s="679"/>
      <c r="L219" s="1002"/>
      <c r="M219" s="1428">
        <f t="shared" si="57"/>
        <v>0</v>
      </c>
      <c r="N219" s="1106"/>
      <c r="O219" s="674">
        <f t="shared" si="58"/>
        <v>0</v>
      </c>
      <c r="P219" s="682"/>
      <c r="Q219" s="286"/>
      <c r="R219" s="287"/>
      <c r="S219" s="280"/>
      <c r="T219" s="280"/>
      <c r="U219" s="280"/>
      <c r="V219" s="280"/>
      <c r="W219" s="280"/>
      <c r="X219" s="280"/>
      <c r="Y219" s="280"/>
      <c r="Z219" s="284"/>
      <c r="AA219" s="284"/>
      <c r="AB219" s="284"/>
      <c r="AC219" s="284"/>
      <c r="AD219" s="284"/>
      <c r="AE219" s="284"/>
      <c r="AF219" s="447"/>
      <c r="AG219" s="447"/>
      <c r="AH219" s="447"/>
      <c r="AI219" s="382"/>
      <c r="AJ219" s="382"/>
      <c r="AK219" s="382"/>
      <c r="AL219" s="382"/>
      <c r="AM219" s="382"/>
      <c r="AN219" s="382"/>
      <c r="AO219" s="382"/>
      <c r="AP219" s="382"/>
      <c r="AQ219" s="382"/>
      <c r="AR219" s="382"/>
      <c r="AS219" s="382"/>
      <c r="AT219" s="382"/>
      <c r="AU219" s="382"/>
      <c r="AV219" s="382"/>
      <c r="AW219" s="382"/>
      <c r="AX219" s="382"/>
      <c r="AY219" s="382"/>
      <c r="AZ219" s="382"/>
      <c r="BA219" s="382"/>
      <c r="BB219" s="382"/>
      <c r="BC219" s="382"/>
      <c r="BD219" s="382"/>
      <c r="BE219" s="382"/>
      <c r="BF219" s="382"/>
      <c r="BG219" s="382"/>
      <c r="BH219" s="382"/>
      <c r="BI219" s="382"/>
      <c r="BJ219" s="382"/>
      <c r="BK219" s="382"/>
      <c r="BL219" s="382"/>
      <c r="BM219" s="382"/>
      <c r="BN219" s="382"/>
      <c r="BO219" s="382"/>
    </row>
    <row r="220" spans="1:67" s="88" customFormat="1" ht="10.55" customHeight="1" x14ac:dyDescent="0.2">
      <c r="A220" s="675"/>
      <c r="B220" s="2807"/>
      <c r="C220" s="2808"/>
      <c r="D220" s="2809"/>
      <c r="E220" s="2561"/>
      <c r="F220" s="2562"/>
      <c r="G220" s="1015"/>
      <c r="H220" s="524"/>
      <c r="I220" s="1409">
        <f t="shared" si="55"/>
        <v>0</v>
      </c>
      <c r="J220" s="1421">
        <f t="shared" si="56"/>
        <v>0</v>
      </c>
      <c r="K220" s="679"/>
      <c r="L220" s="1002"/>
      <c r="M220" s="1428">
        <f t="shared" si="57"/>
        <v>0</v>
      </c>
      <c r="N220" s="1106"/>
      <c r="O220" s="674">
        <f t="shared" si="58"/>
        <v>0</v>
      </c>
      <c r="P220" s="682"/>
      <c r="Q220" s="286"/>
      <c r="R220" s="287"/>
      <c r="S220" s="280"/>
      <c r="T220" s="280"/>
      <c r="U220" s="280"/>
      <c r="V220" s="280"/>
      <c r="W220" s="280"/>
      <c r="X220" s="280"/>
      <c r="Y220" s="280"/>
      <c r="Z220" s="284"/>
      <c r="AA220" s="284"/>
      <c r="AB220" s="284"/>
      <c r="AC220" s="284"/>
      <c r="AD220" s="284"/>
      <c r="AE220" s="284"/>
      <c r="AF220" s="447"/>
      <c r="AG220" s="447"/>
      <c r="AH220" s="447"/>
      <c r="AI220" s="382"/>
      <c r="AJ220" s="382"/>
      <c r="AK220" s="382"/>
      <c r="AL220" s="382"/>
      <c r="AM220" s="382"/>
      <c r="AN220" s="382"/>
      <c r="AO220" s="382"/>
      <c r="AP220" s="382"/>
      <c r="AQ220" s="382"/>
      <c r="AR220" s="382"/>
      <c r="AS220" s="382"/>
      <c r="AT220" s="382"/>
      <c r="AU220" s="382"/>
      <c r="AV220" s="382"/>
      <c r="AW220" s="382"/>
      <c r="AX220" s="382"/>
      <c r="AY220" s="382"/>
      <c r="AZ220" s="382"/>
      <c r="BA220" s="382"/>
      <c r="BB220" s="382"/>
      <c r="BC220" s="382"/>
      <c r="BD220" s="382"/>
      <c r="BE220" s="382"/>
      <c r="BF220" s="382"/>
      <c r="BG220" s="382"/>
      <c r="BH220" s="382"/>
      <c r="BI220" s="382"/>
      <c r="BJ220" s="382"/>
      <c r="BK220" s="382"/>
      <c r="BL220" s="382"/>
      <c r="BM220" s="382"/>
      <c r="BN220" s="382"/>
      <c r="BO220" s="382"/>
    </row>
    <row r="221" spans="1:67" s="88" customFormat="1" ht="10.55" customHeight="1" x14ac:dyDescent="0.2">
      <c r="A221" s="675"/>
      <c r="B221" s="2807"/>
      <c r="C221" s="2808"/>
      <c r="D221" s="2809"/>
      <c r="E221" s="2561"/>
      <c r="F221" s="2562"/>
      <c r="G221" s="1015"/>
      <c r="H221" s="524"/>
      <c r="I221" s="1409">
        <f t="shared" si="55"/>
        <v>0</v>
      </c>
      <c r="J221" s="1421">
        <f t="shared" si="56"/>
        <v>0</v>
      </c>
      <c r="K221" s="679"/>
      <c r="L221" s="1002"/>
      <c r="M221" s="1428">
        <f t="shared" si="57"/>
        <v>0</v>
      </c>
      <c r="N221" s="1106"/>
      <c r="O221" s="674">
        <f t="shared" si="58"/>
        <v>0</v>
      </c>
      <c r="P221" s="682"/>
      <c r="Q221" s="286"/>
      <c r="R221" s="287"/>
      <c r="S221" s="280"/>
      <c r="T221" s="280"/>
      <c r="U221" s="280"/>
      <c r="V221" s="280"/>
      <c r="W221" s="280"/>
      <c r="X221" s="280"/>
      <c r="Y221" s="280"/>
      <c r="Z221" s="284"/>
      <c r="AA221" s="284"/>
      <c r="AB221" s="284"/>
      <c r="AC221" s="284"/>
      <c r="AD221" s="284"/>
      <c r="AE221" s="284"/>
      <c r="AF221" s="447"/>
      <c r="AG221" s="447"/>
      <c r="AH221" s="447"/>
      <c r="AI221" s="382"/>
      <c r="AJ221" s="382"/>
      <c r="AK221" s="382"/>
      <c r="AL221" s="382"/>
      <c r="AM221" s="382"/>
      <c r="AN221" s="382"/>
      <c r="AO221" s="382"/>
      <c r="AP221" s="382"/>
      <c r="AQ221" s="382"/>
      <c r="AR221" s="382"/>
      <c r="AS221" s="382"/>
      <c r="AT221" s="382"/>
      <c r="AU221" s="382"/>
      <c r="AV221" s="382"/>
      <c r="AW221" s="382"/>
      <c r="AX221" s="382"/>
      <c r="AY221" s="382"/>
      <c r="AZ221" s="382"/>
      <c r="BA221" s="382"/>
      <c r="BB221" s="382"/>
      <c r="BC221" s="382"/>
      <c r="BD221" s="382"/>
      <c r="BE221" s="382"/>
      <c r="BF221" s="382"/>
      <c r="BG221" s="382"/>
      <c r="BH221" s="382"/>
      <c r="BI221" s="382"/>
      <c r="BJ221" s="382"/>
      <c r="BK221" s="382"/>
      <c r="BL221" s="382"/>
      <c r="BM221" s="382"/>
      <c r="BN221" s="382"/>
      <c r="BO221" s="382"/>
    </row>
    <row r="222" spans="1:67" s="88" customFormat="1" ht="10.55" customHeight="1" x14ac:dyDescent="0.2">
      <c r="A222" s="675"/>
      <c r="B222" s="2807"/>
      <c r="C222" s="2808"/>
      <c r="D222" s="2809"/>
      <c r="E222" s="2561"/>
      <c r="F222" s="2562"/>
      <c r="G222" s="1015"/>
      <c r="H222" s="524"/>
      <c r="I222" s="1409">
        <f t="shared" si="55"/>
        <v>0</v>
      </c>
      <c r="J222" s="1421">
        <f t="shared" si="56"/>
        <v>0</v>
      </c>
      <c r="K222" s="679"/>
      <c r="L222" s="1002"/>
      <c r="M222" s="1428">
        <f t="shared" si="57"/>
        <v>0</v>
      </c>
      <c r="N222" s="1106"/>
      <c r="O222" s="674">
        <f t="shared" si="58"/>
        <v>0</v>
      </c>
      <c r="P222" s="682"/>
      <c r="Q222" s="286"/>
      <c r="R222" s="287"/>
      <c r="S222" s="280"/>
      <c r="T222" s="280"/>
      <c r="U222" s="280"/>
      <c r="V222" s="280"/>
      <c r="W222" s="280"/>
      <c r="X222" s="280"/>
      <c r="Y222" s="280"/>
      <c r="Z222" s="284"/>
      <c r="AA222" s="284"/>
      <c r="AB222" s="284"/>
      <c r="AC222" s="284"/>
      <c r="AD222" s="284"/>
      <c r="AE222" s="284"/>
      <c r="AF222" s="447"/>
      <c r="AG222" s="447"/>
      <c r="AH222" s="447"/>
      <c r="AI222" s="382"/>
      <c r="AJ222" s="382"/>
      <c r="AK222" s="382"/>
      <c r="AL222" s="382"/>
      <c r="AM222" s="382"/>
      <c r="AN222" s="382"/>
      <c r="AO222" s="382"/>
      <c r="AP222" s="382"/>
      <c r="AQ222" s="382"/>
      <c r="AR222" s="382"/>
      <c r="AS222" s="382"/>
      <c r="AT222" s="382"/>
      <c r="AU222" s="382"/>
      <c r="AV222" s="382"/>
      <c r="AW222" s="382"/>
      <c r="AX222" s="382"/>
      <c r="AY222" s="382"/>
      <c r="AZ222" s="382"/>
      <c r="BA222" s="382"/>
      <c r="BB222" s="382"/>
      <c r="BC222" s="382"/>
      <c r="BD222" s="382"/>
      <c r="BE222" s="382"/>
      <c r="BF222" s="382"/>
      <c r="BG222" s="382"/>
      <c r="BH222" s="382"/>
      <c r="BI222" s="382"/>
      <c r="BJ222" s="382"/>
      <c r="BK222" s="382"/>
      <c r="BL222" s="382"/>
      <c r="BM222" s="382"/>
      <c r="BN222" s="382"/>
      <c r="BO222" s="382"/>
    </row>
    <row r="223" spans="1:67" s="88" customFormat="1" ht="10.55" customHeight="1" x14ac:dyDescent="0.2">
      <c r="A223" s="675"/>
      <c r="B223" s="2807"/>
      <c r="C223" s="2808"/>
      <c r="D223" s="2809"/>
      <c r="E223" s="2561"/>
      <c r="F223" s="2562"/>
      <c r="G223" s="1015"/>
      <c r="H223" s="524"/>
      <c r="I223" s="1409">
        <f t="shared" si="55"/>
        <v>0</v>
      </c>
      <c r="J223" s="1421">
        <f t="shared" si="56"/>
        <v>0</v>
      </c>
      <c r="K223" s="679"/>
      <c r="L223" s="1002"/>
      <c r="M223" s="1428">
        <f t="shared" si="57"/>
        <v>0</v>
      </c>
      <c r="N223" s="1106"/>
      <c r="O223" s="674">
        <f t="shared" si="58"/>
        <v>0</v>
      </c>
      <c r="P223" s="682"/>
      <c r="Q223" s="286"/>
      <c r="R223" s="287"/>
      <c r="S223" s="280"/>
      <c r="T223" s="280"/>
      <c r="U223" s="280"/>
      <c r="V223" s="280"/>
      <c r="W223" s="280"/>
      <c r="X223" s="280"/>
      <c r="Y223" s="280"/>
      <c r="Z223" s="284"/>
      <c r="AA223" s="284"/>
      <c r="AB223" s="284"/>
      <c r="AC223" s="284"/>
      <c r="AD223" s="284"/>
      <c r="AE223" s="284"/>
      <c r="AF223" s="447"/>
      <c r="AG223" s="447"/>
      <c r="AH223" s="447"/>
      <c r="AI223" s="382"/>
      <c r="AJ223" s="382"/>
      <c r="AK223" s="382"/>
      <c r="AL223" s="382"/>
      <c r="AM223" s="382"/>
      <c r="AN223" s="382"/>
      <c r="AO223" s="382"/>
      <c r="AP223" s="382"/>
      <c r="AQ223" s="382"/>
      <c r="AR223" s="382"/>
      <c r="AS223" s="382"/>
      <c r="AT223" s="382"/>
      <c r="AU223" s="382"/>
      <c r="AV223" s="382"/>
      <c r="AW223" s="382"/>
      <c r="AX223" s="382"/>
      <c r="AY223" s="382"/>
      <c r="AZ223" s="382"/>
      <c r="BA223" s="382"/>
      <c r="BB223" s="382"/>
      <c r="BC223" s="382"/>
      <c r="BD223" s="382"/>
      <c r="BE223" s="382"/>
      <c r="BF223" s="382"/>
      <c r="BG223" s="382"/>
      <c r="BH223" s="382"/>
      <c r="BI223" s="382"/>
      <c r="BJ223" s="382"/>
      <c r="BK223" s="382"/>
      <c r="BL223" s="382"/>
      <c r="BM223" s="382"/>
      <c r="BN223" s="382"/>
      <c r="BO223" s="382"/>
    </row>
    <row r="224" spans="1:67" s="88" customFormat="1" ht="10.55" customHeight="1" x14ac:dyDescent="0.2">
      <c r="A224" s="675"/>
      <c r="B224" s="2807"/>
      <c r="C224" s="2808"/>
      <c r="D224" s="2809"/>
      <c r="E224" s="2561"/>
      <c r="F224" s="2562"/>
      <c r="G224" s="1015"/>
      <c r="H224" s="524"/>
      <c r="I224" s="1409">
        <f t="shared" si="55"/>
        <v>0</v>
      </c>
      <c r="J224" s="1421">
        <f t="shared" si="56"/>
        <v>0</v>
      </c>
      <c r="K224" s="679"/>
      <c r="L224" s="1002"/>
      <c r="M224" s="1428">
        <f t="shared" si="57"/>
        <v>0</v>
      </c>
      <c r="N224" s="1106"/>
      <c r="O224" s="674">
        <f t="shared" si="58"/>
        <v>0</v>
      </c>
      <c r="P224" s="682"/>
      <c r="Q224" s="286"/>
      <c r="R224" s="287"/>
      <c r="S224" s="280"/>
      <c r="T224" s="280"/>
      <c r="U224" s="280"/>
      <c r="V224" s="280"/>
      <c r="W224" s="280"/>
      <c r="X224" s="280"/>
      <c r="Y224" s="280"/>
      <c r="Z224" s="284"/>
      <c r="AA224" s="284"/>
      <c r="AB224" s="284"/>
      <c r="AC224" s="284"/>
      <c r="AD224" s="284"/>
      <c r="AE224" s="284"/>
      <c r="AF224" s="447"/>
      <c r="AG224" s="447"/>
      <c r="AH224" s="447"/>
      <c r="AI224" s="382"/>
      <c r="AJ224" s="382"/>
      <c r="AK224" s="382"/>
      <c r="AL224" s="382"/>
      <c r="AM224" s="382"/>
      <c r="AN224" s="382"/>
      <c r="AO224" s="382"/>
      <c r="AP224" s="382"/>
      <c r="AQ224" s="382"/>
      <c r="AR224" s="382"/>
      <c r="AS224" s="382"/>
      <c r="AT224" s="382"/>
      <c r="AU224" s="382"/>
      <c r="AV224" s="382"/>
      <c r="AW224" s="382"/>
      <c r="AX224" s="382"/>
      <c r="AY224" s="382"/>
      <c r="AZ224" s="382"/>
      <c r="BA224" s="382"/>
      <c r="BB224" s="382"/>
      <c r="BC224" s="382"/>
      <c r="BD224" s="382"/>
      <c r="BE224" s="382"/>
      <c r="BF224" s="382"/>
      <c r="BG224" s="382"/>
      <c r="BH224" s="382"/>
      <c r="BI224" s="382"/>
      <c r="BJ224" s="382"/>
      <c r="BK224" s="382"/>
      <c r="BL224" s="382"/>
      <c r="BM224" s="382"/>
      <c r="BN224" s="382"/>
      <c r="BO224" s="382"/>
    </row>
    <row r="225" spans="1:67" s="88" customFormat="1" ht="10.55" customHeight="1" x14ac:dyDescent="0.2">
      <c r="A225" s="1085"/>
      <c r="B225" s="2804"/>
      <c r="C225" s="2805"/>
      <c r="D225" s="2806"/>
      <c r="E225" s="2793"/>
      <c r="F225" s="2794"/>
      <c r="G225" s="1086"/>
      <c r="H225" s="1087"/>
      <c r="I225" s="1437">
        <f t="shared" si="55"/>
        <v>0</v>
      </c>
      <c r="J225" s="1413"/>
      <c r="K225" s="1088"/>
      <c r="L225" s="1089"/>
      <c r="M225" s="1431">
        <f t="shared" si="57"/>
        <v>0</v>
      </c>
      <c r="N225" s="1106"/>
      <c r="O225" s="674">
        <f t="shared" si="58"/>
        <v>0</v>
      </c>
      <c r="P225" s="682"/>
      <c r="Q225" s="286"/>
      <c r="R225" s="287"/>
      <c r="S225" s="280"/>
      <c r="T225" s="280"/>
      <c r="U225" s="280"/>
      <c r="V225" s="280"/>
      <c r="W225" s="280"/>
      <c r="X225" s="280"/>
      <c r="Y225" s="280"/>
      <c r="Z225" s="284"/>
      <c r="AA225" s="284"/>
      <c r="AB225" s="284"/>
      <c r="AC225" s="284"/>
      <c r="AD225" s="284"/>
      <c r="AE225" s="284"/>
      <c r="AF225" s="447"/>
      <c r="AG225" s="447"/>
      <c r="AH225" s="447"/>
      <c r="AI225" s="382"/>
      <c r="AJ225" s="382"/>
      <c r="AK225" s="382"/>
      <c r="AL225" s="382"/>
      <c r="AM225" s="382"/>
      <c r="AN225" s="382"/>
      <c r="AO225" s="382"/>
      <c r="AP225" s="382"/>
      <c r="AQ225" s="382"/>
      <c r="AR225" s="382"/>
      <c r="AS225" s="382"/>
      <c r="AT225" s="382"/>
      <c r="AU225" s="382"/>
      <c r="AV225" s="382"/>
      <c r="AW225" s="382"/>
      <c r="AX225" s="382"/>
      <c r="AY225" s="382"/>
      <c r="AZ225" s="382"/>
      <c r="BA225" s="382"/>
      <c r="BB225" s="382"/>
      <c r="BC225" s="382"/>
      <c r="BD225" s="382"/>
      <c r="BE225" s="382"/>
      <c r="BF225" s="382"/>
      <c r="BG225" s="382"/>
      <c r="BH225" s="382"/>
      <c r="BI225" s="382"/>
      <c r="BJ225" s="382"/>
      <c r="BK225" s="382"/>
      <c r="BL225" s="382"/>
      <c r="BM225" s="382"/>
      <c r="BN225" s="382"/>
      <c r="BO225" s="382"/>
    </row>
    <row r="226" spans="1:67" s="88" customFormat="1" ht="10.55" customHeight="1" x14ac:dyDescent="0.2">
      <c r="A226" s="1011" t="s">
        <v>390</v>
      </c>
      <c r="B226" s="2783"/>
      <c r="C226" s="2784"/>
      <c r="D226" s="2785"/>
      <c r="E226" s="2810">
        <f>SUM(E227:E239)</f>
        <v>0</v>
      </c>
      <c r="F226" s="2811"/>
      <c r="G226" s="2747"/>
      <c r="H226" s="2748"/>
      <c r="I226" s="1435">
        <f>IF(E226=0,0,J226/E226)</f>
        <v>0</v>
      </c>
      <c r="J226" s="1423">
        <f>SUM(J227:J239)</f>
        <v>0</v>
      </c>
      <c r="K226" s="2749">
        <f>IF(E226=0,0,M226/E226*100)</f>
        <v>0</v>
      </c>
      <c r="L226" s="2750"/>
      <c r="M226" s="1430">
        <f>SUM(M227:M239)</f>
        <v>0</v>
      </c>
      <c r="N226" s="1106"/>
      <c r="O226" s="387">
        <f>IF(H226="",G226,H226)</f>
        <v>0</v>
      </c>
      <c r="P226" s="682"/>
      <c r="Q226" s="286"/>
      <c r="R226" s="287"/>
      <c r="S226" s="280"/>
      <c r="T226" s="280"/>
      <c r="U226" s="280"/>
      <c r="V226" s="280"/>
      <c r="W226" s="280"/>
      <c r="X226" s="280"/>
      <c r="Y226" s="280"/>
      <c r="Z226" s="284"/>
      <c r="AA226" s="284"/>
      <c r="AB226" s="284"/>
      <c r="AC226" s="284"/>
      <c r="AD226" s="284"/>
      <c r="AE226" s="284"/>
      <c r="AF226" s="447"/>
      <c r="AG226" s="447"/>
      <c r="AH226" s="447"/>
      <c r="AI226" s="382"/>
      <c r="AJ226" s="382"/>
      <c r="AK226" s="382"/>
      <c r="AL226" s="382"/>
      <c r="AM226" s="382"/>
      <c r="AN226" s="382"/>
      <c r="AO226" s="382"/>
      <c r="AP226" s="382"/>
      <c r="AQ226" s="382"/>
      <c r="AR226" s="382"/>
      <c r="AS226" s="382"/>
      <c r="AT226" s="382"/>
      <c r="AU226" s="382"/>
      <c r="AV226" s="382"/>
      <c r="AW226" s="382"/>
      <c r="AX226" s="382"/>
      <c r="AY226" s="382"/>
      <c r="AZ226" s="382"/>
      <c r="BA226" s="382"/>
      <c r="BB226" s="382"/>
      <c r="BC226" s="382"/>
      <c r="BD226" s="382"/>
      <c r="BE226" s="382"/>
      <c r="BF226" s="382"/>
      <c r="BG226" s="382"/>
      <c r="BH226" s="382"/>
      <c r="BI226" s="382"/>
      <c r="BJ226" s="382"/>
      <c r="BK226" s="382"/>
      <c r="BL226" s="382"/>
      <c r="BM226" s="382"/>
      <c r="BN226" s="382"/>
      <c r="BO226" s="382"/>
    </row>
    <row r="227" spans="1:67" s="88" customFormat="1" ht="10.55" customHeight="1" x14ac:dyDescent="0.2">
      <c r="A227" s="1013" t="s">
        <v>391</v>
      </c>
      <c r="B227" s="2790"/>
      <c r="C227" s="2791"/>
      <c r="D227" s="2792"/>
      <c r="E227" s="2734"/>
      <c r="F227" s="2735"/>
      <c r="G227" s="1785">
        <v>30</v>
      </c>
      <c r="H227" s="524"/>
      <c r="I227" s="1409">
        <f t="shared" ref="I227:I240" si="59">IF($O227&gt;0,-PMT(($I$9),$O227,1),0)</f>
        <v>4.7777640736176463E-2</v>
      </c>
      <c r="J227" s="1421">
        <f t="shared" ref="J227:J239" si="60">ROUND(E227*I227,0)</f>
        <v>0</v>
      </c>
      <c r="K227" s="678">
        <v>1.5</v>
      </c>
      <c r="L227" s="1002"/>
      <c r="M227" s="1428">
        <f t="shared" ref="M227:M240" si="61">ROUND(E227/100*IF(ISBLANK(L227),K227,L227),0)</f>
        <v>0</v>
      </c>
      <c r="N227" s="1106"/>
      <c r="O227" s="674">
        <f t="shared" ref="O227:O240" si="62">IF(ISBLANK(H227),G227,H227)</f>
        <v>30</v>
      </c>
      <c r="P227" s="682"/>
      <c r="Q227" s="286"/>
      <c r="R227" s="287"/>
      <c r="S227" s="280"/>
      <c r="T227" s="280"/>
      <c r="U227" s="280"/>
      <c r="V227" s="280"/>
      <c r="W227" s="280"/>
      <c r="X227" s="280"/>
      <c r="Y227" s="280"/>
      <c r="Z227" s="284"/>
      <c r="AA227" s="284"/>
      <c r="AB227" s="284"/>
      <c r="AC227" s="284"/>
      <c r="AD227" s="284"/>
      <c r="AE227" s="284"/>
      <c r="AF227" s="447"/>
      <c r="AG227" s="447"/>
      <c r="AH227" s="447"/>
      <c r="AI227" s="382"/>
      <c r="AJ227" s="382"/>
      <c r="AK227" s="382"/>
      <c r="AL227" s="382"/>
      <c r="AM227" s="382"/>
      <c r="AN227" s="382"/>
      <c r="AO227" s="382"/>
      <c r="AP227" s="382"/>
      <c r="AQ227" s="382"/>
      <c r="AR227" s="382"/>
      <c r="AS227" s="382"/>
      <c r="AT227" s="382"/>
      <c r="AU227" s="382"/>
      <c r="AV227" s="382"/>
      <c r="AW227" s="382"/>
      <c r="AX227" s="382"/>
      <c r="AY227" s="382"/>
      <c r="AZ227" s="382"/>
      <c r="BA227" s="382"/>
      <c r="BB227" s="382"/>
      <c r="BC227" s="382"/>
      <c r="BD227" s="382"/>
      <c r="BE227" s="382"/>
      <c r="BF227" s="382"/>
      <c r="BG227" s="382"/>
      <c r="BH227" s="382"/>
      <c r="BI227" s="382"/>
      <c r="BJ227" s="382"/>
      <c r="BK227" s="382"/>
      <c r="BL227" s="382"/>
      <c r="BM227" s="382"/>
      <c r="BN227" s="382"/>
      <c r="BO227" s="382"/>
    </row>
    <row r="228" spans="1:67" s="88" customFormat="1" ht="10.55" customHeight="1" x14ac:dyDescent="0.2">
      <c r="A228" s="1013" t="s">
        <v>392</v>
      </c>
      <c r="B228" s="2807"/>
      <c r="C228" s="2808"/>
      <c r="D228" s="2809"/>
      <c r="E228" s="2561"/>
      <c r="F228" s="2562"/>
      <c r="G228" s="1785">
        <v>30</v>
      </c>
      <c r="H228" s="524"/>
      <c r="I228" s="1409">
        <f t="shared" si="59"/>
        <v>4.7777640736176463E-2</v>
      </c>
      <c r="J228" s="1421">
        <f t="shared" si="60"/>
        <v>0</v>
      </c>
      <c r="K228" s="678">
        <v>2</v>
      </c>
      <c r="L228" s="1002"/>
      <c r="M228" s="1428">
        <f t="shared" si="61"/>
        <v>0</v>
      </c>
      <c r="N228" s="1106"/>
      <c r="O228" s="674">
        <f t="shared" si="62"/>
        <v>30</v>
      </c>
      <c r="P228" s="682"/>
      <c r="Q228" s="286"/>
      <c r="R228" s="287"/>
      <c r="S228" s="280"/>
      <c r="T228" s="280"/>
      <c r="U228" s="280"/>
      <c r="V228" s="280"/>
      <c r="W228" s="280"/>
      <c r="X228" s="280"/>
      <c r="Y228" s="280"/>
      <c r="Z228" s="284"/>
      <c r="AA228" s="284"/>
      <c r="AB228" s="284"/>
      <c r="AC228" s="284"/>
      <c r="AD228" s="284"/>
      <c r="AE228" s="284"/>
      <c r="AF228" s="447"/>
      <c r="AG228" s="447"/>
      <c r="AH228" s="447"/>
      <c r="AI228" s="382"/>
      <c r="AJ228" s="382"/>
      <c r="AK228" s="382"/>
      <c r="AL228" s="382"/>
      <c r="AM228" s="382"/>
      <c r="AN228" s="382"/>
      <c r="AO228" s="382"/>
      <c r="AP228" s="382"/>
      <c r="AQ228" s="382"/>
      <c r="AR228" s="382"/>
      <c r="AS228" s="382"/>
      <c r="AT228" s="382"/>
      <c r="AU228" s="382"/>
      <c r="AV228" s="382"/>
      <c r="AW228" s="382"/>
      <c r="AX228" s="382"/>
      <c r="AY228" s="382"/>
      <c r="AZ228" s="382"/>
      <c r="BA228" s="382"/>
      <c r="BB228" s="382"/>
      <c r="BC228" s="382"/>
      <c r="BD228" s="382"/>
      <c r="BE228" s="382"/>
      <c r="BF228" s="382"/>
      <c r="BG228" s="382"/>
      <c r="BH228" s="382"/>
      <c r="BI228" s="382"/>
      <c r="BJ228" s="382"/>
      <c r="BK228" s="382"/>
      <c r="BL228" s="382"/>
      <c r="BM228" s="382"/>
      <c r="BN228" s="382"/>
      <c r="BO228" s="382"/>
    </row>
    <row r="229" spans="1:67" s="88" customFormat="1" ht="10.55" customHeight="1" x14ac:dyDescent="0.2">
      <c r="A229" s="1013" t="s">
        <v>393</v>
      </c>
      <c r="B229" s="2807"/>
      <c r="C229" s="2808"/>
      <c r="D229" s="2809"/>
      <c r="E229" s="2561"/>
      <c r="F229" s="2562"/>
      <c r="G229" s="1785">
        <v>30</v>
      </c>
      <c r="H229" s="524"/>
      <c r="I229" s="1409">
        <f t="shared" si="59"/>
        <v>4.7777640736176463E-2</v>
      </c>
      <c r="J229" s="1421">
        <f t="shared" si="60"/>
        <v>0</v>
      </c>
      <c r="K229" s="678">
        <v>2</v>
      </c>
      <c r="L229" s="1002"/>
      <c r="M229" s="1428">
        <f t="shared" si="61"/>
        <v>0</v>
      </c>
      <c r="N229" s="1106"/>
      <c r="O229" s="674">
        <f t="shared" si="62"/>
        <v>30</v>
      </c>
      <c r="P229" s="682"/>
      <c r="Q229" s="286"/>
      <c r="R229" s="287"/>
      <c r="S229" s="280"/>
      <c r="T229" s="280"/>
      <c r="U229" s="280"/>
      <c r="V229" s="280"/>
      <c r="W229" s="280"/>
      <c r="X229" s="280"/>
      <c r="Y229" s="280"/>
      <c r="Z229" s="284"/>
      <c r="AA229" s="284"/>
      <c r="AB229" s="284"/>
      <c r="AC229" s="284"/>
      <c r="AD229" s="284"/>
      <c r="AE229" s="284"/>
      <c r="AF229" s="447"/>
      <c r="AG229" s="447"/>
      <c r="AH229" s="447"/>
      <c r="AI229" s="382"/>
      <c r="AJ229" s="382"/>
      <c r="AK229" s="382"/>
      <c r="AL229" s="382"/>
      <c r="AM229" s="382"/>
      <c r="AN229" s="382"/>
      <c r="AO229" s="382"/>
      <c r="AP229" s="382"/>
      <c r="AQ229" s="382"/>
      <c r="AR229" s="382"/>
      <c r="AS229" s="382"/>
      <c r="AT229" s="382"/>
      <c r="AU229" s="382"/>
      <c r="AV229" s="382"/>
      <c r="AW229" s="382"/>
      <c r="AX229" s="382"/>
      <c r="AY229" s="382"/>
      <c r="AZ229" s="382"/>
      <c r="BA229" s="382"/>
      <c r="BB229" s="382"/>
      <c r="BC229" s="382"/>
      <c r="BD229" s="382"/>
      <c r="BE229" s="382"/>
      <c r="BF229" s="382"/>
      <c r="BG229" s="382"/>
      <c r="BH229" s="382"/>
      <c r="BI229" s="382"/>
      <c r="BJ229" s="382"/>
      <c r="BK229" s="382"/>
      <c r="BL229" s="382"/>
      <c r="BM229" s="382"/>
      <c r="BN229" s="382"/>
      <c r="BO229" s="382"/>
    </row>
    <row r="230" spans="1:67" s="88" customFormat="1" ht="10.55" customHeight="1" x14ac:dyDescent="0.2">
      <c r="A230" s="1013" t="s">
        <v>394</v>
      </c>
      <c r="B230" s="2807"/>
      <c r="C230" s="2808"/>
      <c r="D230" s="2809"/>
      <c r="E230" s="2561"/>
      <c r="F230" s="2562"/>
      <c r="G230" s="1785">
        <v>30</v>
      </c>
      <c r="H230" s="524"/>
      <c r="I230" s="1409">
        <f t="shared" si="59"/>
        <v>4.7777640736176463E-2</v>
      </c>
      <c r="J230" s="1421">
        <f t="shared" si="60"/>
        <v>0</v>
      </c>
      <c r="K230" s="678">
        <v>0.5</v>
      </c>
      <c r="L230" s="1002"/>
      <c r="M230" s="1428">
        <f t="shared" si="61"/>
        <v>0</v>
      </c>
      <c r="N230" s="1106"/>
      <c r="O230" s="674">
        <f t="shared" si="62"/>
        <v>30</v>
      </c>
      <c r="P230" s="682"/>
      <c r="Q230" s="286"/>
      <c r="R230" s="287"/>
      <c r="S230" s="280"/>
      <c r="T230" s="280"/>
      <c r="U230" s="280"/>
      <c r="V230" s="280"/>
      <c r="W230" s="280"/>
      <c r="X230" s="280"/>
      <c r="Y230" s="280"/>
      <c r="Z230" s="284"/>
      <c r="AA230" s="284"/>
      <c r="AB230" s="284"/>
      <c r="AC230" s="284"/>
      <c r="AD230" s="284"/>
      <c r="AE230" s="284"/>
      <c r="AF230" s="447"/>
      <c r="AG230" s="447"/>
      <c r="AH230" s="447"/>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2"/>
      <c r="BD230" s="382"/>
      <c r="BE230" s="382"/>
      <c r="BF230" s="382"/>
      <c r="BG230" s="382"/>
      <c r="BH230" s="382"/>
      <c r="BI230" s="382"/>
      <c r="BJ230" s="382"/>
      <c r="BK230" s="382"/>
      <c r="BL230" s="382"/>
      <c r="BM230" s="382"/>
      <c r="BN230" s="382"/>
      <c r="BO230" s="382"/>
    </row>
    <row r="231" spans="1:67" s="88" customFormat="1" ht="10.55" customHeight="1" x14ac:dyDescent="0.2">
      <c r="A231" s="675"/>
      <c r="B231" s="2807"/>
      <c r="C231" s="2808"/>
      <c r="D231" s="2809"/>
      <c r="E231" s="2561"/>
      <c r="F231" s="2562"/>
      <c r="G231" s="1015"/>
      <c r="H231" s="524"/>
      <c r="I231" s="1409">
        <f t="shared" si="59"/>
        <v>0</v>
      </c>
      <c r="J231" s="1421">
        <f t="shared" si="60"/>
        <v>0</v>
      </c>
      <c r="K231" s="679"/>
      <c r="L231" s="1002"/>
      <c r="M231" s="1428">
        <f t="shared" si="61"/>
        <v>0</v>
      </c>
      <c r="N231" s="1106"/>
      <c r="O231" s="674">
        <f t="shared" si="62"/>
        <v>0</v>
      </c>
      <c r="P231" s="682"/>
      <c r="Q231" s="286"/>
      <c r="R231" s="287"/>
      <c r="S231" s="280"/>
      <c r="T231" s="280"/>
      <c r="U231" s="280"/>
      <c r="V231" s="280"/>
      <c r="W231" s="280"/>
      <c r="X231" s="280"/>
      <c r="Y231" s="280"/>
      <c r="Z231" s="284"/>
      <c r="AA231" s="284"/>
      <c r="AB231" s="284"/>
      <c r="AC231" s="284"/>
      <c r="AD231" s="284"/>
      <c r="AE231" s="284"/>
      <c r="AF231" s="447"/>
      <c r="AG231" s="447"/>
      <c r="AH231" s="447"/>
      <c r="AI231" s="382"/>
      <c r="AJ231" s="382"/>
      <c r="AK231" s="382"/>
      <c r="AL231" s="382"/>
      <c r="AM231" s="382"/>
      <c r="AN231" s="382"/>
      <c r="AO231" s="382"/>
      <c r="AP231" s="382"/>
      <c r="AQ231" s="382"/>
      <c r="AR231" s="382"/>
      <c r="AS231" s="382"/>
      <c r="AT231" s="382"/>
      <c r="AU231" s="382"/>
      <c r="AV231" s="382"/>
      <c r="AW231" s="382"/>
      <c r="AX231" s="382"/>
      <c r="AY231" s="382"/>
      <c r="AZ231" s="382"/>
      <c r="BA231" s="382"/>
      <c r="BB231" s="382"/>
      <c r="BC231" s="382"/>
      <c r="BD231" s="382"/>
      <c r="BE231" s="382"/>
      <c r="BF231" s="382"/>
      <c r="BG231" s="382"/>
      <c r="BH231" s="382"/>
      <c r="BI231" s="382"/>
      <c r="BJ231" s="382"/>
      <c r="BK231" s="382"/>
      <c r="BL231" s="382"/>
      <c r="BM231" s="382"/>
      <c r="BN231" s="382"/>
      <c r="BO231" s="382"/>
    </row>
    <row r="232" spans="1:67" s="88" customFormat="1" ht="10.55" customHeight="1" x14ac:dyDescent="0.2">
      <c r="A232" s="675"/>
      <c r="B232" s="2807"/>
      <c r="C232" s="2808"/>
      <c r="D232" s="2809"/>
      <c r="E232" s="2561"/>
      <c r="F232" s="2562"/>
      <c r="G232" s="1015"/>
      <c r="H232" s="524"/>
      <c r="I232" s="1409">
        <f t="shared" si="59"/>
        <v>0</v>
      </c>
      <c r="J232" s="1421">
        <f t="shared" si="60"/>
        <v>0</v>
      </c>
      <c r="K232" s="679"/>
      <c r="L232" s="1002"/>
      <c r="M232" s="1428">
        <f t="shared" si="61"/>
        <v>0</v>
      </c>
      <c r="N232" s="1106"/>
      <c r="O232" s="674">
        <f t="shared" si="62"/>
        <v>0</v>
      </c>
      <c r="P232" s="682"/>
      <c r="Q232" s="286"/>
      <c r="R232" s="287"/>
      <c r="S232" s="280"/>
      <c r="T232" s="280"/>
      <c r="U232" s="280"/>
      <c r="V232" s="280"/>
      <c r="W232" s="280"/>
      <c r="X232" s="280"/>
      <c r="Y232" s="280"/>
      <c r="Z232" s="284"/>
      <c r="AA232" s="284"/>
      <c r="AB232" s="284"/>
      <c r="AC232" s="284"/>
      <c r="AD232" s="284"/>
      <c r="AE232" s="284"/>
      <c r="AF232" s="447"/>
      <c r="AG232" s="447"/>
      <c r="AH232" s="447"/>
      <c r="AI232" s="382"/>
      <c r="AJ232" s="382"/>
      <c r="AK232" s="382"/>
      <c r="AL232" s="382"/>
      <c r="AM232" s="382"/>
      <c r="AN232" s="382"/>
      <c r="AO232" s="382"/>
      <c r="AP232" s="382"/>
      <c r="AQ232" s="382"/>
      <c r="AR232" s="382"/>
      <c r="AS232" s="382"/>
      <c r="AT232" s="382"/>
      <c r="AU232" s="382"/>
      <c r="AV232" s="382"/>
      <c r="AW232" s="382"/>
      <c r="AX232" s="382"/>
      <c r="AY232" s="382"/>
      <c r="AZ232" s="382"/>
      <c r="BA232" s="382"/>
      <c r="BB232" s="382"/>
      <c r="BC232" s="382"/>
      <c r="BD232" s="382"/>
      <c r="BE232" s="382"/>
      <c r="BF232" s="382"/>
      <c r="BG232" s="382"/>
      <c r="BH232" s="382"/>
      <c r="BI232" s="382"/>
      <c r="BJ232" s="382"/>
      <c r="BK232" s="382"/>
      <c r="BL232" s="382"/>
      <c r="BM232" s="382"/>
      <c r="BN232" s="382"/>
      <c r="BO232" s="382"/>
    </row>
    <row r="233" spans="1:67" s="88" customFormat="1" ht="10.55" customHeight="1" x14ac:dyDescent="0.2">
      <c r="A233" s="675"/>
      <c r="B233" s="2807"/>
      <c r="C233" s="2808"/>
      <c r="D233" s="2809"/>
      <c r="E233" s="2561"/>
      <c r="F233" s="2562"/>
      <c r="G233" s="1015"/>
      <c r="H233" s="524"/>
      <c r="I233" s="1409">
        <f t="shared" si="59"/>
        <v>0</v>
      </c>
      <c r="J233" s="1421">
        <f t="shared" si="60"/>
        <v>0</v>
      </c>
      <c r="K233" s="679"/>
      <c r="L233" s="1002"/>
      <c r="M233" s="1428">
        <f t="shared" si="61"/>
        <v>0</v>
      </c>
      <c r="N233" s="1106"/>
      <c r="O233" s="674">
        <f t="shared" si="62"/>
        <v>0</v>
      </c>
      <c r="P233" s="682"/>
      <c r="Q233" s="286"/>
      <c r="R233" s="287"/>
      <c r="S233" s="280"/>
      <c r="T233" s="280"/>
      <c r="U233" s="280"/>
      <c r="V233" s="280"/>
      <c r="W233" s="280"/>
      <c r="X233" s="280"/>
      <c r="Y233" s="280"/>
      <c r="Z233" s="284"/>
      <c r="AA233" s="284"/>
      <c r="AB233" s="284"/>
      <c r="AC233" s="284"/>
      <c r="AD233" s="284"/>
      <c r="AE233" s="284"/>
      <c r="AF233" s="447"/>
      <c r="AG233" s="447"/>
      <c r="AH233" s="447"/>
      <c r="AI233" s="382"/>
      <c r="AJ233" s="382"/>
      <c r="AK233" s="382"/>
      <c r="AL233" s="382"/>
      <c r="AM233" s="382"/>
      <c r="AN233" s="382"/>
      <c r="AO233" s="382"/>
      <c r="AP233" s="382"/>
      <c r="AQ233" s="382"/>
      <c r="AR233" s="382"/>
      <c r="AS233" s="382"/>
      <c r="AT233" s="382"/>
      <c r="AU233" s="382"/>
      <c r="AV233" s="382"/>
      <c r="AW233" s="382"/>
      <c r="AX233" s="382"/>
      <c r="AY233" s="382"/>
      <c r="AZ233" s="382"/>
      <c r="BA233" s="382"/>
      <c r="BB233" s="382"/>
      <c r="BC233" s="382"/>
      <c r="BD233" s="382"/>
      <c r="BE233" s="382"/>
      <c r="BF233" s="382"/>
      <c r="BG233" s="382"/>
      <c r="BH233" s="382"/>
      <c r="BI233" s="382"/>
      <c r="BJ233" s="382"/>
      <c r="BK233" s="382"/>
      <c r="BL233" s="382"/>
      <c r="BM233" s="382"/>
      <c r="BN233" s="382"/>
      <c r="BO233" s="382"/>
    </row>
    <row r="234" spans="1:67" s="88" customFormat="1" ht="10.55" customHeight="1" x14ac:dyDescent="0.2">
      <c r="A234" s="675"/>
      <c r="B234" s="2807"/>
      <c r="C234" s="2808"/>
      <c r="D234" s="2809"/>
      <c r="E234" s="2561"/>
      <c r="F234" s="2562"/>
      <c r="G234" s="1015"/>
      <c r="H234" s="524"/>
      <c r="I234" s="1409">
        <f t="shared" si="59"/>
        <v>0</v>
      </c>
      <c r="J234" s="1421">
        <f t="shared" si="60"/>
        <v>0</v>
      </c>
      <c r="K234" s="679"/>
      <c r="L234" s="1002"/>
      <c r="M234" s="1428">
        <f t="shared" si="61"/>
        <v>0</v>
      </c>
      <c r="N234" s="1106"/>
      <c r="O234" s="674">
        <f t="shared" si="62"/>
        <v>0</v>
      </c>
      <c r="P234" s="682"/>
      <c r="Q234" s="286"/>
      <c r="R234" s="287"/>
      <c r="S234" s="280"/>
      <c r="T234" s="280"/>
      <c r="U234" s="280"/>
      <c r="V234" s="280"/>
      <c r="W234" s="280"/>
      <c r="X234" s="280"/>
      <c r="Y234" s="280"/>
      <c r="Z234" s="284"/>
      <c r="AA234" s="284"/>
      <c r="AB234" s="284"/>
      <c r="AC234" s="284"/>
      <c r="AD234" s="284"/>
      <c r="AE234" s="284"/>
      <c r="AF234" s="447"/>
      <c r="AG234" s="447"/>
      <c r="AH234" s="447"/>
      <c r="AI234" s="382"/>
      <c r="AJ234" s="382"/>
      <c r="AK234" s="382"/>
      <c r="AL234" s="382"/>
      <c r="AM234" s="382"/>
      <c r="AN234" s="382"/>
      <c r="AO234" s="382"/>
      <c r="AP234" s="382"/>
      <c r="AQ234" s="382"/>
      <c r="AR234" s="382"/>
      <c r="AS234" s="382"/>
      <c r="AT234" s="382"/>
      <c r="AU234" s="382"/>
      <c r="AV234" s="382"/>
      <c r="AW234" s="382"/>
      <c r="AX234" s="382"/>
      <c r="AY234" s="382"/>
      <c r="AZ234" s="382"/>
      <c r="BA234" s="382"/>
      <c r="BB234" s="382"/>
      <c r="BC234" s="382"/>
      <c r="BD234" s="382"/>
      <c r="BE234" s="382"/>
      <c r="BF234" s="382"/>
      <c r="BG234" s="382"/>
      <c r="BH234" s="382"/>
      <c r="BI234" s="382"/>
      <c r="BJ234" s="382"/>
      <c r="BK234" s="382"/>
      <c r="BL234" s="382"/>
      <c r="BM234" s="382"/>
      <c r="BN234" s="382"/>
      <c r="BO234" s="382"/>
    </row>
    <row r="235" spans="1:67" s="88" customFormat="1" ht="10.55" customHeight="1" x14ac:dyDescent="0.2">
      <c r="A235" s="675"/>
      <c r="B235" s="2807"/>
      <c r="C235" s="2808"/>
      <c r="D235" s="2809"/>
      <c r="E235" s="2561"/>
      <c r="F235" s="2562"/>
      <c r="G235" s="1015"/>
      <c r="H235" s="524"/>
      <c r="I235" s="1409">
        <f t="shared" si="59"/>
        <v>0</v>
      </c>
      <c r="J235" s="1421">
        <f t="shared" si="60"/>
        <v>0</v>
      </c>
      <c r="K235" s="679"/>
      <c r="L235" s="1002"/>
      <c r="M235" s="1428">
        <f t="shared" si="61"/>
        <v>0</v>
      </c>
      <c r="N235" s="1106"/>
      <c r="O235" s="674">
        <f t="shared" si="62"/>
        <v>0</v>
      </c>
      <c r="P235" s="682"/>
      <c r="Q235" s="286"/>
      <c r="R235" s="287"/>
      <c r="S235" s="280"/>
      <c r="T235" s="280"/>
      <c r="U235" s="280"/>
      <c r="V235" s="280"/>
      <c r="W235" s="280"/>
      <c r="X235" s="280"/>
      <c r="Y235" s="280"/>
      <c r="Z235" s="284"/>
      <c r="AA235" s="284"/>
      <c r="AB235" s="284"/>
      <c r="AC235" s="284"/>
      <c r="AD235" s="284"/>
      <c r="AE235" s="284"/>
      <c r="AF235" s="447"/>
      <c r="AG235" s="447"/>
      <c r="AH235" s="447"/>
      <c r="AI235" s="382"/>
      <c r="AJ235" s="382"/>
      <c r="AK235" s="382"/>
      <c r="AL235" s="382"/>
      <c r="AM235" s="382"/>
      <c r="AN235" s="382"/>
      <c r="AO235" s="382"/>
      <c r="AP235" s="382"/>
      <c r="AQ235" s="382"/>
      <c r="AR235" s="382"/>
      <c r="AS235" s="382"/>
      <c r="AT235" s="382"/>
      <c r="AU235" s="382"/>
      <c r="AV235" s="382"/>
      <c r="AW235" s="382"/>
      <c r="AX235" s="382"/>
      <c r="AY235" s="382"/>
      <c r="AZ235" s="382"/>
      <c r="BA235" s="382"/>
      <c r="BB235" s="382"/>
      <c r="BC235" s="382"/>
      <c r="BD235" s="382"/>
      <c r="BE235" s="382"/>
      <c r="BF235" s="382"/>
      <c r="BG235" s="382"/>
      <c r="BH235" s="382"/>
      <c r="BI235" s="382"/>
      <c r="BJ235" s="382"/>
      <c r="BK235" s="382"/>
      <c r="BL235" s="382"/>
      <c r="BM235" s="382"/>
      <c r="BN235" s="382"/>
      <c r="BO235" s="382"/>
    </row>
    <row r="236" spans="1:67" s="88" customFormat="1" ht="10.55" customHeight="1" x14ac:dyDescent="0.2">
      <c r="A236" s="675"/>
      <c r="B236" s="2807"/>
      <c r="C236" s="2808"/>
      <c r="D236" s="2809"/>
      <c r="E236" s="2561"/>
      <c r="F236" s="2562"/>
      <c r="G236" s="1015"/>
      <c r="H236" s="524"/>
      <c r="I236" s="1409">
        <f t="shared" si="59"/>
        <v>0</v>
      </c>
      <c r="J236" s="1421">
        <f t="shared" si="60"/>
        <v>0</v>
      </c>
      <c r="K236" s="679"/>
      <c r="L236" s="1002"/>
      <c r="M236" s="1428">
        <f t="shared" si="61"/>
        <v>0</v>
      </c>
      <c r="N236" s="1106"/>
      <c r="O236" s="674">
        <f t="shared" si="62"/>
        <v>0</v>
      </c>
      <c r="P236" s="682"/>
      <c r="Q236" s="286"/>
      <c r="R236" s="287"/>
      <c r="S236" s="280"/>
      <c r="T236" s="280"/>
      <c r="U236" s="280"/>
      <c r="V236" s="280"/>
      <c r="W236" s="280"/>
      <c r="X236" s="280"/>
      <c r="Y236" s="280"/>
      <c r="Z236" s="284"/>
      <c r="AA236" s="284"/>
      <c r="AB236" s="284"/>
      <c r="AC236" s="284"/>
      <c r="AD236" s="284"/>
      <c r="AE236" s="284"/>
      <c r="AF236" s="447"/>
      <c r="AG236" s="447"/>
      <c r="AH236" s="447"/>
      <c r="AI236" s="382"/>
      <c r="AJ236" s="382"/>
      <c r="AK236" s="382"/>
      <c r="AL236" s="382"/>
      <c r="AM236" s="382"/>
      <c r="AN236" s="382"/>
      <c r="AO236" s="382"/>
      <c r="AP236" s="382"/>
      <c r="AQ236" s="382"/>
      <c r="AR236" s="382"/>
      <c r="AS236" s="382"/>
      <c r="AT236" s="382"/>
      <c r="AU236" s="382"/>
      <c r="AV236" s="382"/>
      <c r="AW236" s="382"/>
      <c r="AX236" s="382"/>
      <c r="AY236" s="382"/>
      <c r="AZ236" s="382"/>
      <c r="BA236" s="382"/>
      <c r="BB236" s="382"/>
      <c r="BC236" s="382"/>
      <c r="BD236" s="382"/>
      <c r="BE236" s="382"/>
      <c r="BF236" s="382"/>
      <c r="BG236" s="382"/>
      <c r="BH236" s="382"/>
      <c r="BI236" s="382"/>
      <c r="BJ236" s="382"/>
      <c r="BK236" s="382"/>
      <c r="BL236" s="382"/>
      <c r="BM236" s="382"/>
      <c r="BN236" s="382"/>
      <c r="BO236" s="382"/>
    </row>
    <row r="237" spans="1:67" s="88" customFormat="1" ht="10.55" customHeight="1" x14ac:dyDescent="0.2">
      <c r="A237" s="675"/>
      <c r="B237" s="2807"/>
      <c r="C237" s="2808"/>
      <c r="D237" s="2809"/>
      <c r="E237" s="2561"/>
      <c r="F237" s="2562"/>
      <c r="G237" s="1015"/>
      <c r="H237" s="524"/>
      <c r="I237" s="1409">
        <f t="shared" si="59"/>
        <v>0</v>
      </c>
      <c r="J237" s="1421">
        <f t="shared" si="60"/>
        <v>0</v>
      </c>
      <c r="K237" s="679"/>
      <c r="L237" s="1002"/>
      <c r="M237" s="1428">
        <f t="shared" si="61"/>
        <v>0</v>
      </c>
      <c r="N237" s="1106"/>
      <c r="O237" s="674">
        <f t="shared" si="62"/>
        <v>0</v>
      </c>
      <c r="P237" s="682"/>
      <c r="Q237" s="286"/>
      <c r="R237" s="287"/>
      <c r="S237" s="280"/>
      <c r="T237" s="280"/>
      <c r="U237" s="280"/>
      <c r="V237" s="280"/>
      <c r="W237" s="280"/>
      <c r="X237" s="280"/>
      <c r="Y237" s="280"/>
      <c r="Z237" s="284"/>
      <c r="AA237" s="284"/>
      <c r="AB237" s="284"/>
      <c r="AC237" s="284"/>
      <c r="AD237" s="284"/>
      <c r="AE237" s="284"/>
      <c r="AF237" s="447"/>
      <c r="AG237" s="447"/>
      <c r="AH237" s="447"/>
      <c r="AI237" s="382"/>
      <c r="AJ237" s="382"/>
      <c r="AK237" s="382"/>
      <c r="AL237" s="382"/>
      <c r="AM237" s="382"/>
      <c r="AN237" s="382"/>
      <c r="AO237" s="382"/>
      <c r="AP237" s="382"/>
      <c r="AQ237" s="382"/>
      <c r="AR237" s="382"/>
      <c r="AS237" s="382"/>
      <c r="AT237" s="382"/>
      <c r="AU237" s="382"/>
      <c r="AV237" s="382"/>
      <c r="AW237" s="382"/>
      <c r="AX237" s="382"/>
      <c r="AY237" s="382"/>
      <c r="AZ237" s="382"/>
      <c r="BA237" s="382"/>
      <c r="BB237" s="382"/>
      <c r="BC237" s="382"/>
      <c r="BD237" s="382"/>
      <c r="BE237" s="382"/>
      <c r="BF237" s="382"/>
      <c r="BG237" s="382"/>
      <c r="BH237" s="382"/>
      <c r="BI237" s="382"/>
      <c r="BJ237" s="382"/>
      <c r="BK237" s="382"/>
      <c r="BL237" s="382"/>
      <c r="BM237" s="382"/>
      <c r="BN237" s="382"/>
      <c r="BO237" s="382"/>
    </row>
    <row r="238" spans="1:67" s="88" customFormat="1" ht="10.55" customHeight="1" x14ac:dyDescent="0.2">
      <c r="A238" s="675"/>
      <c r="B238" s="2807"/>
      <c r="C238" s="2808"/>
      <c r="D238" s="2809"/>
      <c r="E238" s="2561"/>
      <c r="F238" s="2562"/>
      <c r="G238" s="1015"/>
      <c r="H238" s="524"/>
      <c r="I238" s="1409">
        <f t="shared" si="59"/>
        <v>0</v>
      </c>
      <c r="J238" s="1421">
        <f t="shared" si="60"/>
        <v>0</v>
      </c>
      <c r="K238" s="679"/>
      <c r="L238" s="1002"/>
      <c r="M238" s="1428">
        <f t="shared" si="61"/>
        <v>0</v>
      </c>
      <c r="N238" s="1106"/>
      <c r="O238" s="674">
        <f t="shared" si="62"/>
        <v>0</v>
      </c>
      <c r="P238" s="682"/>
      <c r="Q238" s="286"/>
      <c r="R238" s="287"/>
      <c r="S238" s="280"/>
      <c r="T238" s="280"/>
      <c r="U238" s="280"/>
      <c r="V238" s="280"/>
      <c r="W238" s="280"/>
      <c r="X238" s="280"/>
      <c r="Y238" s="280"/>
      <c r="Z238" s="284"/>
      <c r="AA238" s="284"/>
      <c r="AB238" s="284"/>
      <c r="AC238" s="284"/>
      <c r="AD238" s="284"/>
      <c r="AE238" s="284"/>
      <c r="AF238" s="447"/>
      <c r="AG238" s="447"/>
      <c r="AH238" s="447"/>
      <c r="AI238" s="382"/>
      <c r="AJ238" s="382"/>
      <c r="AK238" s="382"/>
      <c r="AL238" s="382"/>
      <c r="AM238" s="382"/>
      <c r="AN238" s="382"/>
      <c r="AO238" s="382"/>
      <c r="AP238" s="382"/>
      <c r="AQ238" s="382"/>
      <c r="AR238" s="382"/>
      <c r="AS238" s="382"/>
      <c r="AT238" s="382"/>
      <c r="AU238" s="382"/>
      <c r="AV238" s="382"/>
      <c r="AW238" s="382"/>
      <c r="AX238" s="382"/>
      <c r="AY238" s="382"/>
      <c r="AZ238" s="382"/>
      <c r="BA238" s="382"/>
      <c r="BB238" s="382"/>
      <c r="BC238" s="382"/>
      <c r="BD238" s="382"/>
      <c r="BE238" s="382"/>
      <c r="BF238" s="382"/>
      <c r="BG238" s="382"/>
      <c r="BH238" s="382"/>
      <c r="BI238" s="382"/>
      <c r="BJ238" s="382"/>
      <c r="BK238" s="382"/>
      <c r="BL238" s="382"/>
      <c r="BM238" s="382"/>
      <c r="BN238" s="382"/>
      <c r="BO238" s="382"/>
    </row>
    <row r="239" spans="1:67" s="88" customFormat="1" ht="10.55" customHeight="1" x14ac:dyDescent="0.2">
      <c r="A239" s="675"/>
      <c r="B239" s="2807"/>
      <c r="C239" s="2808"/>
      <c r="D239" s="2809"/>
      <c r="E239" s="2561"/>
      <c r="F239" s="2562"/>
      <c r="G239" s="1015"/>
      <c r="H239" s="524"/>
      <c r="I239" s="1409">
        <f t="shared" si="59"/>
        <v>0</v>
      </c>
      <c r="J239" s="1421">
        <f t="shared" si="60"/>
        <v>0</v>
      </c>
      <c r="K239" s="679"/>
      <c r="L239" s="1002"/>
      <c r="M239" s="1428">
        <f t="shared" si="61"/>
        <v>0</v>
      </c>
      <c r="N239" s="1106"/>
      <c r="O239" s="674">
        <f t="shared" si="62"/>
        <v>0</v>
      </c>
      <c r="P239" s="682"/>
      <c r="Q239" s="286"/>
      <c r="R239" s="287"/>
      <c r="S239" s="280"/>
      <c r="T239" s="280"/>
      <c r="U239" s="280"/>
      <c r="V239" s="280"/>
      <c r="W239" s="280"/>
      <c r="X239" s="280"/>
      <c r="Y239" s="280"/>
      <c r="Z239" s="284"/>
      <c r="AA239" s="284"/>
      <c r="AB239" s="284"/>
      <c r="AC239" s="284"/>
      <c r="AD239" s="284"/>
      <c r="AE239" s="284"/>
      <c r="AF239" s="447"/>
      <c r="AG239" s="447"/>
      <c r="AH239" s="447"/>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c r="BL239" s="382"/>
      <c r="BM239" s="382"/>
      <c r="BN239" s="382"/>
      <c r="BO239" s="382"/>
    </row>
    <row r="240" spans="1:67" s="88" customFormat="1" ht="10.55" customHeight="1" x14ac:dyDescent="0.2">
      <c r="A240" s="1017"/>
      <c r="B240" s="2804"/>
      <c r="C240" s="2805"/>
      <c r="D240" s="2806"/>
      <c r="E240" s="2793"/>
      <c r="F240" s="2794"/>
      <c r="G240" s="1018"/>
      <c r="H240" s="1019"/>
      <c r="I240" s="1436">
        <f t="shared" si="59"/>
        <v>0</v>
      </c>
      <c r="J240" s="1422"/>
      <c r="K240" s="680"/>
      <c r="L240" s="1020"/>
      <c r="M240" s="1429">
        <f t="shared" si="61"/>
        <v>0</v>
      </c>
      <c r="N240" s="1106"/>
      <c r="O240" s="674">
        <f t="shared" si="62"/>
        <v>0</v>
      </c>
      <c r="P240" s="682"/>
      <c r="Q240" s="286"/>
      <c r="R240" s="287"/>
      <c r="S240" s="280"/>
      <c r="T240" s="280"/>
      <c r="U240" s="280"/>
      <c r="V240" s="280"/>
      <c r="W240" s="280"/>
      <c r="X240" s="280"/>
      <c r="Y240" s="280"/>
      <c r="Z240" s="284"/>
      <c r="AA240" s="284"/>
      <c r="AB240" s="284"/>
      <c r="AC240" s="284"/>
      <c r="AD240" s="284"/>
      <c r="AE240" s="284"/>
      <c r="AF240" s="447"/>
      <c r="AG240" s="447"/>
      <c r="AH240" s="447"/>
      <c r="AI240" s="382"/>
      <c r="AJ240" s="382"/>
      <c r="AK240" s="382"/>
      <c r="AL240" s="382"/>
      <c r="AM240" s="382"/>
      <c r="AN240" s="382"/>
      <c r="AO240" s="382"/>
      <c r="AP240" s="382"/>
      <c r="AQ240" s="382"/>
      <c r="AR240" s="382"/>
      <c r="AS240" s="382"/>
      <c r="AT240" s="382"/>
      <c r="AU240" s="382"/>
      <c r="AV240" s="382"/>
      <c r="AW240" s="382"/>
      <c r="AX240" s="382"/>
      <c r="AY240" s="382"/>
      <c r="AZ240" s="382"/>
      <c r="BA240" s="382"/>
      <c r="BB240" s="382"/>
      <c r="BC240" s="382"/>
      <c r="BD240" s="382"/>
      <c r="BE240" s="382"/>
      <c r="BF240" s="382"/>
      <c r="BG240" s="382"/>
      <c r="BH240" s="382"/>
      <c r="BI240" s="382"/>
      <c r="BJ240" s="382"/>
      <c r="BK240" s="382"/>
      <c r="BL240" s="382"/>
      <c r="BM240" s="382"/>
      <c r="BN240" s="382"/>
      <c r="BO240" s="382"/>
    </row>
    <row r="241" spans="1:67" s="88" customFormat="1" ht="10.55" customHeight="1" x14ac:dyDescent="0.2">
      <c r="A241" s="1011" t="s">
        <v>395</v>
      </c>
      <c r="B241" s="2783"/>
      <c r="C241" s="2784"/>
      <c r="D241" s="2785"/>
      <c r="E241" s="2810">
        <f>SUM(E242:E254)</f>
        <v>0</v>
      </c>
      <c r="F241" s="2811"/>
      <c r="G241" s="2747"/>
      <c r="H241" s="2748"/>
      <c r="I241" s="1435">
        <f>IF(E241=0,0,J241/E241)</f>
        <v>0</v>
      </c>
      <c r="J241" s="1423">
        <f>SUM(J242:J254)</f>
        <v>0</v>
      </c>
      <c r="K241" s="2749">
        <f>IF(E241=0,0,M241/E241*100)</f>
        <v>0</v>
      </c>
      <c r="L241" s="2750"/>
      <c r="M241" s="1430">
        <f>SUM(M242:M254)</f>
        <v>0</v>
      </c>
      <c r="N241" s="1106"/>
      <c r="O241" s="387">
        <f>IF(H241="",G241,H241)</f>
        <v>0</v>
      </c>
      <c r="P241" s="682"/>
      <c r="Q241" s="286"/>
      <c r="R241" s="287"/>
      <c r="S241" s="280"/>
      <c r="T241" s="280"/>
      <c r="U241" s="280"/>
      <c r="V241" s="280"/>
      <c r="W241" s="280"/>
      <c r="X241" s="280"/>
      <c r="Y241" s="280"/>
      <c r="Z241" s="284"/>
      <c r="AA241" s="284"/>
      <c r="AB241" s="284"/>
      <c r="AC241" s="284"/>
      <c r="AD241" s="284"/>
      <c r="AE241" s="284"/>
      <c r="AF241" s="447"/>
      <c r="AG241" s="447"/>
      <c r="AH241" s="447"/>
      <c r="AI241" s="382"/>
      <c r="AJ241" s="382"/>
      <c r="AK241" s="382"/>
      <c r="AL241" s="382"/>
      <c r="AM241" s="382"/>
      <c r="AN241" s="382"/>
      <c r="AO241" s="382"/>
      <c r="AP241" s="382"/>
      <c r="AQ241" s="382"/>
      <c r="AR241" s="382"/>
      <c r="AS241" s="382"/>
      <c r="AT241" s="382"/>
      <c r="AU241" s="382"/>
      <c r="AV241" s="382"/>
      <c r="AW241" s="382"/>
      <c r="AX241" s="382"/>
      <c r="AY241" s="382"/>
      <c r="AZ241" s="382"/>
      <c r="BA241" s="382"/>
      <c r="BB241" s="382"/>
      <c r="BC241" s="382"/>
      <c r="BD241" s="382"/>
      <c r="BE241" s="382"/>
      <c r="BF241" s="382"/>
      <c r="BG241" s="382"/>
      <c r="BH241" s="382"/>
      <c r="BI241" s="382"/>
      <c r="BJ241" s="382"/>
      <c r="BK241" s="382"/>
      <c r="BL241" s="382"/>
      <c r="BM241" s="382"/>
      <c r="BN241" s="382"/>
      <c r="BO241" s="382"/>
    </row>
    <row r="242" spans="1:67" s="88" customFormat="1" ht="10.55" customHeight="1" x14ac:dyDescent="0.2">
      <c r="A242" s="1013" t="s">
        <v>396</v>
      </c>
      <c r="B242" s="2790"/>
      <c r="C242" s="2791"/>
      <c r="D242" s="2792"/>
      <c r="E242" s="2734"/>
      <c r="F242" s="2735"/>
      <c r="G242" s="1785">
        <v>30</v>
      </c>
      <c r="H242" s="524"/>
      <c r="I242" s="1409">
        <f t="shared" ref="I242:I255" si="63">IF($O242&gt;0,-PMT(($I$9),$O242,1),0)</f>
        <v>4.7777640736176463E-2</v>
      </c>
      <c r="J242" s="1421">
        <f t="shared" ref="J242:J254" si="64">ROUND(E242*I242,0)</f>
        <v>0</v>
      </c>
      <c r="K242" s="678">
        <v>1</v>
      </c>
      <c r="L242" s="1002"/>
      <c r="M242" s="1428">
        <f t="shared" ref="M242:M255" si="65">ROUND(E242/100*IF(ISBLANK(L242),K242,L242),0)</f>
        <v>0</v>
      </c>
      <c r="N242" s="1106"/>
      <c r="O242" s="674">
        <f t="shared" ref="O242:O255" si="66">IF(ISBLANK(H242),G242,H242)</f>
        <v>30</v>
      </c>
      <c r="P242" s="682"/>
      <c r="Q242" s="286"/>
      <c r="R242" s="287"/>
      <c r="S242" s="280"/>
      <c r="T242" s="280"/>
      <c r="U242" s="280"/>
      <c r="V242" s="280"/>
      <c r="W242" s="280"/>
      <c r="X242" s="280"/>
      <c r="Y242" s="280"/>
      <c r="Z242" s="284"/>
      <c r="AA242" s="284"/>
      <c r="AB242" s="284"/>
      <c r="AC242" s="284"/>
      <c r="AD242" s="284"/>
      <c r="AE242" s="284"/>
      <c r="AF242" s="447"/>
      <c r="AG242" s="447"/>
      <c r="AH242" s="447"/>
      <c r="AI242" s="382"/>
      <c r="AJ242" s="382"/>
      <c r="AK242" s="382"/>
      <c r="AL242" s="382"/>
      <c r="AM242" s="382"/>
      <c r="AN242" s="382"/>
      <c r="AO242" s="382"/>
      <c r="AP242" s="382"/>
      <c r="AQ242" s="382"/>
      <c r="AR242" s="382"/>
      <c r="AS242" s="382"/>
      <c r="AT242" s="382"/>
      <c r="AU242" s="382"/>
      <c r="AV242" s="382"/>
      <c r="AW242" s="382"/>
      <c r="AX242" s="382"/>
      <c r="AY242" s="382"/>
      <c r="AZ242" s="382"/>
      <c r="BA242" s="382"/>
      <c r="BB242" s="382"/>
      <c r="BC242" s="382"/>
      <c r="BD242" s="382"/>
      <c r="BE242" s="382"/>
      <c r="BF242" s="382"/>
      <c r="BG242" s="382"/>
      <c r="BH242" s="382"/>
      <c r="BI242" s="382"/>
      <c r="BJ242" s="382"/>
      <c r="BK242" s="382"/>
      <c r="BL242" s="382"/>
      <c r="BM242" s="382"/>
      <c r="BN242" s="382"/>
      <c r="BO242" s="382"/>
    </row>
    <row r="243" spans="1:67" s="88" customFormat="1" ht="10.55" customHeight="1" x14ac:dyDescent="0.2">
      <c r="A243" s="1013" t="s">
        <v>397</v>
      </c>
      <c r="B243" s="2807"/>
      <c r="C243" s="2808"/>
      <c r="D243" s="2809"/>
      <c r="E243" s="2561"/>
      <c r="F243" s="2562"/>
      <c r="G243" s="1785">
        <v>30</v>
      </c>
      <c r="H243" s="524"/>
      <c r="I243" s="1409">
        <f t="shared" si="63"/>
        <v>4.7777640736176463E-2</v>
      </c>
      <c r="J243" s="1421">
        <f t="shared" si="64"/>
        <v>0</v>
      </c>
      <c r="K243" s="678">
        <v>1</v>
      </c>
      <c r="L243" s="1002"/>
      <c r="M243" s="1428">
        <f t="shared" si="65"/>
        <v>0</v>
      </c>
      <c r="N243" s="1106"/>
      <c r="O243" s="674">
        <f t="shared" si="66"/>
        <v>30</v>
      </c>
      <c r="P243" s="682"/>
      <c r="Q243" s="286"/>
      <c r="R243" s="287"/>
      <c r="S243" s="280"/>
      <c r="T243" s="280"/>
      <c r="U243" s="280"/>
      <c r="V243" s="280"/>
      <c r="W243" s="280"/>
      <c r="X243" s="280"/>
      <c r="Y243" s="280"/>
      <c r="Z243" s="284"/>
      <c r="AA243" s="284"/>
      <c r="AB243" s="284"/>
      <c r="AC243" s="284"/>
      <c r="AD243" s="284"/>
      <c r="AE243" s="284"/>
      <c r="AF243" s="447"/>
      <c r="AG243" s="447"/>
      <c r="AH243" s="447"/>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382"/>
      <c r="BM243" s="382"/>
      <c r="BN243" s="382"/>
      <c r="BO243" s="382"/>
    </row>
    <row r="244" spans="1:67" s="88" customFormat="1" ht="10.55" customHeight="1" x14ac:dyDescent="0.2">
      <c r="A244" s="1013" t="s">
        <v>398</v>
      </c>
      <c r="B244" s="2807"/>
      <c r="C244" s="2808"/>
      <c r="D244" s="2809"/>
      <c r="E244" s="2561"/>
      <c r="F244" s="2562"/>
      <c r="G244" s="1785">
        <v>30</v>
      </c>
      <c r="H244" s="524"/>
      <c r="I244" s="1409">
        <f t="shared" si="63"/>
        <v>4.7777640736176463E-2</v>
      </c>
      <c r="J244" s="1421">
        <f t="shared" si="64"/>
        <v>0</v>
      </c>
      <c r="K244" s="678">
        <v>1</v>
      </c>
      <c r="L244" s="1002"/>
      <c r="M244" s="1428">
        <f t="shared" si="65"/>
        <v>0</v>
      </c>
      <c r="N244" s="1106"/>
      <c r="O244" s="674">
        <f t="shared" si="66"/>
        <v>30</v>
      </c>
      <c r="P244" s="682"/>
      <c r="Q244" s="286"/>
      <c r="R244" s="287"/>
      <c r="S244" s="280"/>
      <c r="T244" s="280"/>
      <c r="U244" s="280"/>
      <c r="V244" s="280"/>
      <c r="W244" s="280"/>
      <c r="X244" s="280"/>
      <c r="Y244" s="280"/>
      <c r="Z244" s="284"/>
      <c r="AA244" s="284"/>
      <c r="AB244" s="284"/>
      <c r="AC244" s="284"/>
      <c r="AD244" s="284"/>
      <c r="AE244" s="284"/>
      <c r="AF244" s="447"/>
      <c r="AG244" s="447"/>
      <c r="AH244" s="447"/>
      <c r="AI244" s="382"/>
      <c r="AJ244" s="382"/>
      <c r="AK244" s="382"/>
      <c r="AL244" s="382"/>
      <c r="AM244" s="382"/>
      <c r="AN244" s="382"/>
      <c r="AO244" s="382"/>
      <c r="AP244" s="382"/>
      <c r="AQ244" s="382"/>
      <c r="AR244" s="382"/>
      <c r="AS244" s="382"/>
      <c r="AT244" s="382"/>
      <c r="AU244" s="382"/>
      <c r="AV244" s="382"/>
      <c r="AW244" s="382"/>
      <c r="AX244" s="382"/>
      <c r="AY244" s="382"/>
      <c r="AZ244" s="382"/>
      <c r="BA244" s="382"/>
      <c r="BB244" s="382"/>
      <c r="BC244" s="382"/>
      <c r="BD244" s="382"/>
      <c r="BE244" s="382"/>
      <c r="BF244" s="382"/>
      <c r="BG244" s="382"/>
      <c r="BH244" s="382"/>
      <c r="BI244" s="382"/>
      <c r="BJ244" s="382"/>
      <c r="BK244" s="382"/>
      <c r="BL244" s="382"/>
      <c r="BM244" s="382"/>
      <c r="BN244" s="382"/>
      <c r="BO244" s="382"/>
    </row>
    <row r="245" spans="1:67" s="88" customFormat="1" ht="10.55" customHeight="1" x14ac:dyDescent="0.2">
      <c r="A245" s="1013" t="s">
        <v>399</v>
      </c>
      <c r="B245" s="2807"/>
      <c r="C245" s="2808"/>
      <c r="D245" s="2809"/>
      <c r="E245" s="2561"/>
      <c r="F245" s="2562"/>
      <c r="G245" s="1785">
        <v>30</v>
      </c>
      <c r="H245" s="524"/>
      <c r="I245" s="1409">
        <f t="shared" si="63"/>
        <v>4.7777640736176463E-2</v>
      </c>
      <c r="J245" s="1421">
        <f t="shared" si="64"/>
        <v>0</v>
      </c>
      <c r="K245" s="678">
        <v>1.5</v>
      </c>
      <c r="L245" s="1002"/>
      <c r="M245" s="1428">
        <f t="shared" si="65"/>
        <v>0</v>
      </c>
      <c r="N245" s="1106"/>
      <c r="O245" s="674">
        <f t="shared" si="66"/>
        <v>30</v>
      </c>
      <c r="P245" s="682"/>
      <c r="Q245" s="286"/>
      <c r="R245" s="287"/>
      <c r="S245" s="280"/>
      <c r="T245" s="280"/>
      <c r="U245" s="280"/>
      <c r="V245" s="280"/>
      <c r="W245" s="280"/>
      <c r="X245" s="280"/>
      <c r="Y245" s="280"/>
      <c r="Z245" s="284"/>
      <c r="AA245" s="284"/>
      <c r="AB245" s="284"/>
      <c r="AC245" s="284"/>
      <c r="AD245" s="284"/>
      <c r="AE245" s="284"/>
      <c r="AF245" s="447"/>
      <c r="AG245" s="447"/>
      <c r="AH245" s="447"/>
      <c r="AI245" s="382"/>
      <c r="AJ245" s="382"/>
      <c r="AK245" s="382"/>
      <c r="AL245" s="382"/>
      <c r="AM245" s="382"/>
      <c r="AN245" s="382"/>
      <c r="AO245" s="382"/>
      <c r="AP245" s="382"/>
      <c r="AQ245" s="382"/>
      <c r="AR245" s="382"/>
      <c r="AS245" s="382"/>
      <c r="AT245" s="382"/>
      <c r="AU245" s="382"/>
      <c r="AV245" s="382"/>
      <c r="AW245" s="382"/>
      <c r="AX245" s="382"/>
      <c r="AY245" s="382"/>
      <c r="AZ245" s="382"/>
      <c r="BA245" s="382"/>
      <c r="BB245" s="382"/>
      <c r="BC245" s="382"/>
      <c r="BD245" s="382"/>
      <c r="BE245" s="382"/>
      <c r="BF245" s="382"/>
      <c r="BG245" s="382"/>
      <c r="BH245" s="382"/>
      <c r="BI245" s="382"/>
      <c r="BJ245" s="382"/>
      <c r="BK245" s="382"/>
      <c r="BL245" s="382"/>
      <c r="BM245" s="382"/>
      <c r="BN245" s="382"/>
      <c r="BO245" s="382"/>
    </row>
    <row r="246" spans="1:67" s="88" customFormat="1" ht="10.55" customHeight="1" x14ac:dyDescent="0.2">
      <c r="A246" s="1013" t="s">
        <v>400</v>
      </c>
      <c r="B246" s="2807"/>
      <c r="C246" s="2808"/>
      <c r="D246" s="2809"/>
      <c r="E246" s="2561"/>
      <c r="F246" s="2562"/>
      <c r="G246" s="1785">
        <v>30</v>
      </c>
      <c r="H246" s="524"/>
      <c r="I246" s="1409">
        <f t="shared" si="63"/>
        <v>4.7777640736176463E-2</v>
      </c>
      <c r="J246" s="1421">
        <f t="shared" si="64"/>
        <v>0</v>
      </c>
      <c r="K246" s="678">
        <v>1.5</v>
      </c>
      <c r="L246" s="1002"/>
      <c r="M246" s="1428">
        <f t="shared" si="65"/>
        <v>0</v>
      </c>
      <c r="N246" s="1106"/>
      <c r="O246" s="674">
        <f t="shared" si="66"/>
        <v>30</v>
      </c>
      <c r="P246" s="682"/>
      <c r="Q246" s="286"/>
      <c r="R246" s="287"/>
      <c r="S246" s="280"/>
      <c r="T246" s="280"/>
      <c r="U246" s="280"/>
      <c r="V246" s="280"/>
      <c r="W246" s="280"/>
      <c r="X246" s="280"/>
      <c r="Y246" s="280"/>
      <c r="Z246" s="284"/>
      <c r="AA246" s="284"/>
      <c r="AB246" s="284"/>
      <c r="AC246" s="284"/>
      <c r="AD246" s="284"/>
      <c r="AE246" s="284"/>
      <c r="AF246" s="447"/>
      <c r="AG246" s="447"/>
      <c r="AH246" s="447"/>
      <c r="AI246" s="382"/>
      <c r="AJ246" s="382"/>
      <c r="AK246" s="382"/>
      <c r="AL246" s="382"/>
      <c r="AM246" s="382"/>
      <c r="AN246" s="382"/>
      <c r="AO246" s="382"/>
      <c r="AP246" s="382"/>
      <c r="AQ246" s="382"/>
      <c r="AR246" s="382"/>
      <c r="AS246" s="382"/>
      <c r="AT246" s="382"/>
      <c r="AU246" s="382"/>
      <c r="AV246" s="382"/>
      <c r="AW246" s="382"/>
      <c r="AX246" s="382"/>
      <c r="AY246" s="382"/>
      <c r="AZ246" s="382"/>
      <c r="BA246" s="382"/>
      <c r="BB246" s="382"/>
      <c r="BC246" s="382"/>
      <c r="BD246" s="382"/>
      <c r="BE246" s="382"/>
      <c r="BF246" s="382"/>
      <c r="BG246" s="382"/>
      <c r="BH246" s="382"/>
      <c r="BI246" s="382"/>
      <c r="BJ246" s="382"/>
      <c r="BK246" s="382"/>
      <c r="BL246" s="382"/>
      <c r="BM246" s="382"/>
      <c r="BN246" s="382"/>
      <c r="BO246" s="382"/>
    </row>
    <row r="247" spans="1:67" s="88" customFormat="1" ht="10.55" customHeight="1" x14ac:dyDescent="0.2">
      <c r="A247" s="1013" t="s">
        <v>352</v>
      </c>
      <c r="B247" s="2807"/>
      <c r="C247" s="2808"/>
      <c r="D247" s="2809"/>
      <c r="E247" s="2561"/>
      <c r="F247" s="2562"/>
      <c r="G247" s="1785">
        <v>20</v>
      </c>
      <c r="H247" s="524"/>
      <c r="I247" s="1409">
        <f t="shared" si="63"/>
        <v>6.4147128734474465E-2</v>
      </c>
      <c r="J247" s="1421">
        <f t="shared" si="64"/>
        <v>0</v>
      </c>
      <c r="K247" s="678">
        <v>2</v>
      </c>
      <c r="L247" s="1002"/>
      <c r="M247" s="1428">
        <f t="shared" si="65"/>
        <v>0</v>
      </c>
      <c r="N247" s="1106"/>
      <c r="O247" s="674">
        <f t="shared" si="66"/>
        <v>20</v>
      </c>
      <c r="P247" s="682"/>
      <c r="Q247" s="286"/>
      <c r="R247" s="287"/>
      <c r="S247" s="280"/>
      <c r="T247" s="280"/>
      <c r="U247" s="280"/>
      <c r="V247" s="280"/>
      <c r="W247" s="280"/>
      <c r="X247" s="280"/>
      <c r="Y247" s="280"/>
      <c r="Z247" s="284"/>
      <c r="AA247" s="284"/>
      <c r="AB247" s="284"/>
      <c r="AC247" s="284"/>
      <c r="AD247" s="284"/>
      <c r="AE247" s="284"/>
      <c r="AF247" s="447"/>
      <c r="AG247" s="447"/>
      <c r="AH247" s="447"/>
      <c r="AI247" s="382"/>
      <c r="AJ247" s="382"/>
      <c r="AK247" s="382"/>
      <c r="AL247" s="382"/>
      <c r="AM247" s="382"/>
      <c r="AN247" s="382"/>
      <c r="AO247" s="382"/>
      <c r="AP247" s="382"/>
      <c r="AQ247" s="382"/>
      <c r="AR247" s="382"/>
      <c r="AS247" s="382"/>
      <c r="AT247" s="382"/>
      <c r="AU247" s="382"/>
      <c r="AV247" s="382"/>
      <c r="AW247" s="382"/>
      <c r="AX247" s="382"/>
      <c r="AY247" s="382"/>
      <c r="AZ247" s="382"/>
      <c r="BA247" s="382"/>
      <c r="BB247" s="382"/>
      <c r="BC247" s="382"/>
      <c r="BD247" s="382"/>
      <c r="BE247" s="382"/>
      <c r="BF247" s="382"/>
      <c r="BG247" s="382"/>
      <c r="BH247" s="382"/>
      <c r="BI247" s="382"/>
      <c r="BJ247" s="382"/>
      <c r="BK247" s="382"/>
      <c r="BL247" s="382"/>
      <c r="BM247" s="382"/>
      <c r="BN247" s="382"/>
      <c r="BO247" s="382"/>
    </row>
    <row r="248" spans="1:67" s="88" customFormat="1" ht="10.55" customHeight="1" x14ac:dyDescent="0.2">
      <c r="A248" s="1013" t="s">
        <v>333</v>
      </c>
      <c r="B248" s="2807"/>
      <c r="C248" s="2808"/>
      <c r="D248" s="2809"/>
      <c r="E248" s="2561"/>
      <c r="F248" s="2562"/>
      <c r="G248" s="1785">
        <v>20</v>
      </c>
      <c r="H248" s="524"/>
      <c r="I248" s="1409">
        <f t="shared" si="63"/>
        <v>6.4147128734474465E-2</v>
      </c>
      <c r="J248" s="1421">
        <f t="shared" si="64"/>
        <v>0</v>
      </c>
      <c r="K248" s="678">
        <v>8</v>
      </c>
      <c r="L248" s="1002"/>
      <c r="M248" s="1428">
        <f t="shared" si="65"/>
        <v>0</v>
      </c>
      <c r="N248" s="1106"/>
      <c r="O248" s="674">
        <f t="shared" si="66"/>
        <v>20</v>
      </c>
      <c r="P248" s="682"/>
      <c r="Q248" s="286"/>
      <c r="R248" s="287"/>
      <c r="S248" s="280"/>
      <c r="T248" s="280"/>
      <c r="U248" s="280"/>
      <c r="V248" s="280"/>
      <c r="W248" s="280"/>
      <c r="X248" s="280"/>
      <c r="Y248" s="280"/>
      <c r="Z248" s="284"/>
      <c r="AA248" s="284"/>
      <c r="AB248" s="284"/>
      <c r="AC248" s="284"/>
      <c r="AD248" s="284"/>
      <c r="AE248" s="284"/>
      <c r="AF248" s="447"/>
      <c r="AG248" s="447"/>
      <c r="AH248" s="447"/>
      <c r="AI248" s="382"/>
      <c r="AJ248" s="382"/>
      <c r="AK248" s="382"/>
      <c r="AL248" s="382"/>
      <c r="AM248" s="382"/>
      <c r="AN248" s="382"/>
      <c r="AO248" s="382"/>
      <c r="AP248" s="382"/>
      <c r="AQ248" s="382"/>
      <c r="AR248" s="382"/>
      <c r="AS248" s="382"/>
      <c r="AT248" s="382"/>
      <c r="AU248" s="382"/>
      <c r="AV248" s="382"/>
      <c r="AW248" s="382"/>
      <c r="AX248" s="382"/>
      <c r="AY248" s="382"/>
      <c r="AZ248" s="382"/>
      <c r="BA248" s="382"/>
      <c r="BB248" s="382"/>
      <c r="BC248" s="382"/>
      <c r="BD248" s="382"/>
      <c r="BE248" s="382"/>
      <c r="BF248" s="382"/>
      <c r="BG248" s="382"/>
      <c r="BH248" s="382"/>
      <c r="BI248" s="382"/>
      <c r="BJ248" s="382"/>
      <c r="BK248" s="382"/>
      <c r="BL248" s="382"/>
      <c r="BM248" s="382"/>
      <c r="BN248" s="382"/>
      <c r="BO248" s="382"/>
    </row>
    <row r="249" spans="1:67" s="88" customFormat="1" ht="10.55" customHeight="1" x14ac:dyDescent="0.2">
      <c r="A249" s="1013" t="s">
        <v>334</v>
      </c>
      <c r="B249" s="2807"/>
      <c r="C249" s="2808"/>
      <c r="D249" s="2809"/>
      <c r="E249" s="2561"/>
      <c r="F249" s="2562"/>
      <c r="G249" s="1785">
        <v>30</v>
      </c>
      <c r="H249" s="524"/>
      <c r="I249" s="1409">
        <f t="shared" si="63"/>
        <v>4.7777640736176463E-2</v>
      </c>
      <c r="J249" s="1421">
        <f t="shared" si="64"/>
        <v>0</v>
      </c>
      <c r="K249" s="678"/>
      <c r="L249" s="1002"/>
      <c r="M249" s="1428">
        <f t="shared" si="65"/>
        <v>0</v>
      </c>
      <c r="N249" s="1106"/>
      <c r="O249" s="674">
        <f t="shared" si="66"/>
        <v>30</v>
      </c>
      <c r="P249" s="682"/>
      <c r="Q249" s="286"/>
      <c r="R249" s="287"/>
      <c r="S249" s="280"/>
      <c r="T249" s="280"/>
      <c r="U249" s="280"/>
      <c r="V249" s="280"/>
      <c r="W249" s="280"/>
      <c r="X249" s="280"/>
      <c r="Y249" s="280"/>
      <c r="Z249" s="284"/>
      <c r="AA249" s="284"/>
      <c r="AB249" s="284"/>
      <c r="AC249" s="284"/>
      <c r="AD249" s="284"/>
      <c r="AE249" s="284"/>
      <c r="AF249" s="447"/>
      <c r="AG249" s="447"/>
      <c r="AH249" s="447"/>
      <c r="AI249" s="382"/>
      <c r="AJ249" s="382"/>
      <c r="AK249" s="382"/>
      <c r="AL249" s="382"/>
      <c r="AM249" s="382"/>
      <c r="AN249" s="382"/>
      <c r="AO249" s="382"/>
      <c r="AP249" s="382"/>
      <c r="AQ249" s="382"/>
      <c r="AR249" s="382"/>
      <c r="AS249" s="382"/>
      <c r="AT249" s="382"/>
      <c r="AU249" s="382"/>
      <c r="AV249" s="382"/>
      <c r="AW249" s="382"/>
      <c r="AX249" s="382"/>
      <c r="AY249" s="382"/>
      <c r="AZ249" s="382"/>
      <c r="BA249" s="382"/>
      <c r="BB249" s="382"/>
      <c r="BC249" s="382"/>
      <c r="BD249" s="382"/>
      <c r="BE249" s="382"/>
      <c r="BF249" s="382"/>
      <c r="BG249" s="382"/>
      <c r="BH249" s="382"/>
      <c r="BI249" s="382"/>
      <c r="BJ249" s="382"/>
      <c r="BK249" s="382"/>
      <c r="BL249" s="382"/>
      <c r="BM249" s="382"/>
      <c r="BN249" s="382"/>
      <c r="BO249" s="382"/>
    </row>
    <row r="250" spans="1:67" s="88" customFormat="1" ht="10.55" customHeight="1" x14ac:dyDescent="0.2">
      <c r="A250" s="675"/>
      <c r="B250" s="2807"/>
      <c r="C250" s="2808"/>
      <c r="D250" s="2809"/>
      <c r="E250" s="2561"/>
      <c r="F250" s="2562"/>
      <c r="G250" s="1015"/>
      <c r="H250" s="524"/>
      <c r="I250" s="1409">
        <f t="shared" si="63"/>
        <v>0</v>
      </c>
      <c r="J250" s="1421">
        <f t="shared" si="64"/>
        <v>0</v>
      </c>
      <c r="K250" s="679"/>
      <c r="L250" s="1002"/>
      <c r="M250" s="1428">
        <f t="shared" si="65"/>
        <v>0</v>
      </c>
      <c r="N250" s="1106"/>
      <c r="O250" s="674">
        <f t="shared" si="66"/>
        <v>0</v>
      </c>
      <c r="P250" s="682"/>
      <c r="Q250" s="286"/>
      <c r="R250" s="287"/>
      <c r="S250" s="280"/>
      <c r="T250" s="280"/>
      <c r="U250" s="280"/>
      <c r="V250" s="280"/>
      <c r="W250" s="280"/>
      <c r="X250" s="280"/>
      <c r="Y250" s="280"/>
      <c r="Z250" s="284"/>
      <c r="AA250" s="284"/>
      <c r="AB250" s="284"/>
      <c r="AC250" s="284"/>
      <c r="AD250" s="284"/>
      <c r="AE250" s="284"/>
      <c r="AF250" s="447"/>
      <c r="AG250" s="447"/>
      <c r="AH250" s="447"/>
      <c r="AI250" s="382"/>
      <c r="AJ250" s="382"/>
      <c r="AK250" s="382"/>
      <c r="AL250" s="382"/>
      <c r="AM250" s="382"/>
      <c r="AN250" s="382"/>
      <c r="AO250" s="382"/>
      <c r="AP250" s="382"/>
      <c r="AQ250" s="382"/>
      <c r="AR250" s="382"/>
      <c r="AS250" s="382"/>
      <c r="AT250" s="382"/>
      <c r="AU250" s="382"/>
      <c r="AV250" s="382"/>
      <c r="AW250" s="382"/>
      <c r="AX250" s="382"/>
      <c r="AY250" s="382"/>
      <c r="AZ250" s="382"/>
      <c r="BA250" s="382"/>
      <c r="BB250" s="382"/>
      <c r="BC250" s="382"/>
      <c r="BD250" s="382"/>
      <c r="BE250" s="382"/>
      <c r="BF250" s="382"/>
      <c r="BG250" s="382"/>
      <c r="BH250" s="382"/>
      <c r="BI250" s="382"/>
      <c r="BJ250" s="382"/>
      <c r="BK250" s="382"/>
      <c r="BL250" s="382"/>
      <c r="BM250" s="382"/>
      <c r="BN250" s="382"/>
      <c r="BO250" s="382"/>
    </row>
    <row r="251" spans="1:67" s="88" customFormat="1" ht="10.55" customHeight="1" x14ac:dyDescent="0.2">
      <c r="A251" s="675"/>
      <c r="B251" s="2807"/>
      <c r="C251" s="2808"/>
      <c r="D251" s="2809"/>
      <c r="E251" s="2561"/>
      <c r="F251" s="2562"/>
      <c r="G251" s="1015"/>
      <c r="H251" s="524"/>
      <c r="I251" s="1409">
        <f t="shared" si="63"/>
        <v>0</v>
      </c>
      <c r="J251" s="1421">
        <f t="shared" si="64"/>
        <v>0</v>
      </c>
      <c r="K251" s="679"/>
      <c r="L251" s="1002"/>
      <c r="M251" s="1428">
        <f t="shared" si="65"/>
        <v>0</v>
      </c>
      <c r="N251" s="1106"/>
      <c r="O251" s="674">
        <f t="shared" si="66"/>
        <v>0</v>
      </c>
      <c r="P251" s="682"/>
      <c r="Q251" s="286"/>
      <c r="R251" s="287"/>
      <c r="S251" s="280"/>
      <c r="T251" s="280"/>
      <c r="U251" s="280"/>
      <c r="V251" s="280"/>
      <c r="W251" s="280"/>
      <c r="X251" s="280"/>
      <c r="Y251" s="280"/>
      <c r="Z251" s="284"/>
      <c r="AA251" s="284"/>
      <c r="AB251" s="284"/>
      <c r="AC251" s="284"/>
      <c r="AD251" s="284"/>
      <c r="AE251" s="284"/>
      <c r="AF251" s="447"/>
      <c r="AG251" s="447"/>
      <c r="AH251" s="447"/>
      <c r="AI251" s="382"/>
      <c r="AJ251" s="382"/>
      <c r="AK251" s="382"/>
      <c r="AL251" s="382"/>
      <c r="AM251" s="382"/>
      <c r="AN251" s="382"/>
      <c r="AO251" s="382"/>
      <c r="AP251" s="382"/>
      <c r="AQ251" s="382"/>
      <c r="AR251" s="382"/>
      <c r="AS251" s="382"/>
      <c r="AT251" s="382"/>
      <c r="AU251" s="382"/>
      <c r="AV251" s="382"/>
      <c r="AW251" s="382"/>
      <c r="AX251" s="382"/>
      <c r="AY251" s="382"/>
      <c r="AZ251" s="382"/>
      <c r="BA251" s="382"/>
      <c r="BB251" s="382"/>
      <c r="BC251" s="382"/>
      <c r="BD251" s="382"/>
      <c r="BE251" s="382"/>
      <c r="BF251" s="382"/>
      <c r="BG251" s="382"/>
      <c r="BH251" s="382"/>
      <c r="BI251" s="382"/>
      <c r="BJ251" s="382"/>
      <c r="BK251" s="382"/>
      <c r="BL251" s="382"/>
      <c r="BM251" s="382"/>
      <c r="BN251" s="382"/>
      <c r="BO251" s="382"/>
    </row>
    <row r="252" spans="1:67" s="88" customFormat="1" ht="10.55" customHeight="1" x14ac:dyDescent="0.2">
      <c r="A252" s="675"/>
      <c r="B252" s="2807"/>
      <c r="C252" s="2808"/>
      <c r="D252" s="2809"/>
      <c r="E252" s="2561"/>
      <c r="F252" s="2562"/>
      <c r="G252" s="1015"/>
      <c r="H252" s="524"/>
      <c r="I252" s="1409">
        <f t="shared" si="63"/>
        <v>0</v>
      </c>
      <c r="J252" s="1421">
        <f t="shared" si="64"/>
        <v>0</v>
      </c>
      <c r="K252" s="679"/>
      <c r="L252" s="1002"/>
      <c r="M252" s="1428">
        <f t="shared" si="65"/>
        <v>0</v>
      </c>
      <c r="N252" s="1106"/>
      <c r="O252" s="674">
        <f t="shared" si="66"/>
        <v>0</v>
      </c>
      <c r="P252" s="682"/>
      <c r="Q252" s="286"/>
      <c r="R252" s="287"/>
      <c r="S252" s="280"/>
      <c r="T252" s="280"/>
      <c r="U252" s="280"/>
      <c r="V252" s="280"/>
      <c r="W252" s="280"/>
      <c r="X252" s="280"/>
      <c r="Y252" s="280"/>
      <c r="Z252" s="284"/>
      <c r="AA252" s="284"/>
      <c r="AB252" s="284"/>
      <c r="AC252" s="284"/>
      <c r="AD252" s="284"/>
      <c r="AE252" s="284"/>
      <c r="AF252" s="447"/>
      <c r="AG252" s="447"/>
      <c r="AH252" s="447"/>
      <c r="AI252" s="382"/>
      <c r="AJ252" s="382"/>
      <c r="AK252" s="382"/>
      <c r="AL252" s="382"/>
      <c r="AM252" s="382"/>
      <c r="AN252" s="382"/>
      <c r="AO252" s="382"/>
      <c r="AP252" s="382"/>
      <c r="AQ252" s="382"/>
      <c r="AR252" s="382"/>
      <c r="AS252" s="382"/>
      <c r="AT252" s="382"/>
      <c r="AU252" s="382"/>
      <c r="AV252" s="382"/>
      <c r="AW252" s="382"/>
      <c r="AX252" s="382"/>
      <c r="AY252" s="382"/>
      <c r="AZ252" s="382"/>
      <c r="BA252" s="382"/>
      <c r="BB252" s="382"/>
      <c r="BC252" s="382"/>
      <c r="BD252" s="382"/>
      <c r="BE252" s="382"/>
      <c r="BF252" s="382"/>
      <c r="BG252" s="382"/>
      <c r="BH252" s="382"/>
      <c r="BI252" s="382"/>
      <c r="BJ252" s="382"/>
      <c r="BK252" s="382"/>
      <c r="BL252" s="382"/>
      <c r="BM252" s="382"/>
      <c r="BN252" s="382"/>
      <c r="BO252" s="382"/>
    </row>
    <row r="253" spans="1:67" s="88" customFormat="1" ht="10.55" customHeight="1" x14ac:dyDescent="0.2">
      <c r="A253" s="675"/>
      <c r="B253" s="2807"/>
      <c r="C253" s="2808"/>
      <c r="D253" s="2809"/>
      <c r="E253" s="2561"/>
      <c r="F253" s="2562"/>
      <c r="G253" s="1015"/>
      <c r="H253" s="524"/>
      <c r="I253" s="1409">
        <f t="shared" si="63"/>
        <v>0</v>
      </c>
      <c r="J253" s="1421">
        <f t="shared" si="64"/>
        <v>0</v>
      </c>
      <c r="K253" s="679"/>
      <c r="L253" s="1002"/>
      <c r="M253" s="1428">
        <f t="shared" si="65"/>
        <v>0</v>
      </c>
      <c r="N253" s="1106"/>
      <c r="O253" s="674">
        <f t="shared" si="66"/>
        <v>0</v>
      </c>
      <c r="P253" s="682"/>
      <c r="Q253" s="286"/>
      <c r="R253" s="287"/>
      <c r="S253" s="280"/>
      <c r="T253" s="280"/>
      <c r="U253" s="280"/>
      <c r="V253" s="280"/>
      <c r="W253" s="280"/>
      <c r="X253" s="280"/>
      <c r="Y253" s="280"/>
      <c r="Z253" s="284"/>
      <c r="AA253" s="284"/>
      <c r="AB253" s="284"/>
      <c r="AC253" s="284"/>
      <c r="AD253" s="284"/>
      <c r="AE253" s="284"/>
      <c r="AF253" s="447"/>
      <c r="AG253" s="447"/>
      <c r="AH253" s="447"/>
      <c r="AI253" s="382"/>
      <c r="AJ253" s="382"/>
      <c r="AK253" s="382"/>
      <c r="AL253" s="382"/>
      <c r="AM253" s="382"/>
      <c r="AN253" s="382"/>
      <c r="AO253" s="382"/>
      <c r="AP253" s="382"/>
      <c r="AQ253" s="382"/>
      <c r="AR253" s="382"/>
      <c r="AS253" s="382"/>
      <c r="AT253" s="382"/>
      <c r="AU253" s="382"/>
      <c r="AV253" s="382"/>
      <c r="AW253" s="382"/>
      <c r="AX253" s="382"/>
      <c r="AY253" s="382"/>
      <c r="AZ253" s="382"/>
      <c r="BA253" s="382"/>
      <c r="BB253" s="382"/>
      <c r="BC253" s="382"/>
      <c r="BD253" s="382"/>
      <c r="BE253" s="382"/>
      <c r="BF253" s="382"/>
      <c r="BG253" s="382"/>
      <c r="BH253" s="382"/>
      <c r="BI253" s="382"/>
      <c r="BJ253" s="382"/>
      <c r="BK253" s="382"/>
      <c r="BL253" s="382"/>
      <c r="BM253" s="382"/>
      <c r="BN253" s="382"/>
      <c r="BO253" s="382"/>
    </row>
    <row r="254" spans="1:67" s="88" customFormat="1" ht="10.55" customHeight="1" x14ac:dyDescent="0.2">
      <c r="A254" s="675"/>
      <c r="B254" s="2807"/>
      <c r="C254" s="2808"/>
      <c r="D254" s="2809"/>
      <c r="E254" s="2561"/>
      <c r="F254" s="2562"/>
      <c r="G254" s="1015"/>
      <c r="H254" s="524"/>
      <c r="I254" s="1409">
        <f t="shared" si="63"/>
        <v>0</v>
      </c>
      <c r="J254" s="1421">
        <f t="shared" si="64"/>
        <v>0</v>
      </c>
      <c r="K254" s="679"/>
      <c r="L254" s="1002"/>
      <c r="M254" s="1428">
        <f t="shared" si="65"/>
        <v>0</v>
      </c>
      <c r="N254" s="1106"/>
      <c r="O254" s="674">
        <f t="shared" si="66"/>
        <v>0</v>
      </c>
      <c r="P254" s="682"/>
      <c r="Q254" s="286"/>
      <c r="R254" s="287"/>
      <c r="S254" s="280"/>
      <c r="T254" s="280"/>
      <c r="U254" s="280"/>
      <c r="V254" s="280"/>
      <c r="W254" s="280"/>
      <c r="X254" s="280"/>
      <c r="Y254" s="280"/>
      <c r="Z254" s="284"/>
      <c r="AA254" s="284"/>
      <c r="AB254" s="284"/>
      <c r="AC254" s="284"/>
      <c r="AD254" s="284"/>
      <c r="AE254" s="284"/>
      <c r="AF254" s="447"/>
      <c r="AG254" s="447"/>
      <c r="AH254" s="447"/>
      <c r="AI254" s="382"/>
      <c r="AJ254" s="382"/>
      <c r="AK254" s="382"/>
      <c r="AL254" s="382"/>
      <c r="AM254" s="382"/>
      <c r="AN254" s="382"/>
      <c r="AO254" s="382"/>
      <c r="AP254" s="382"/>
      <c r="AQ254" s="382"/>
      <c r="AR254" s="382"/>
      <c r="AS254" s="382"/>
      <c r="AT254" s="382"/>
      <c r="AU254" s="382"/>
      <c r="AV254" s="382"/>
      <c r="AW254" s="382"/>
      <c r="AX254" s="382"/>
      <c r="AY254" s="382"/>
      <c r="AZ254" s="382"/>
      <c r="BA254" s="382"/>
      <c r="BB254" s="382"/>
      <c r="BC254" s="382"/>
      <c r="BD254" s="382"/>
      <c r="BE254" s="382"/>
      <c r="BF254" s="382"/>
      <c r="BG254" s="382"/>
      <c r="BH254" s="382"/>
      <c r="BI254" s="382"/>
      <c r="BJ254" s="382"/>
      <c r="BK254" s="382"/>
      <c r="BL254" s="382"/>
      <c r="BM254" s="382"/>
      <c r="BN254" s="382"/>
      <c r="BO254" s="382"/>
    </row>
    <row r="255" spans="1:67" s="88" customFormat="1" ht="10.55" customHeight="1" x14ac:dyDescent="0.2">
      <c r="A255" s="1017"/>
      <c r="B255" s="2804"/>
      <c r="C255" s="2805"/>
      <c r="D255" s="2806"/>
      <c r="E255" s="2793"/>
      <c r="F255" s="2794"/>
      <c r="G255" s="1018"/>
      <c r="H255" s="1019"/>
      <c r="I255" s="1436">
        <f t="shared" si="63"/>
        <v>0</v>
      </c>
      <c r="J255" s="1422"/>
      <c r="K255" s="680"/>
      <c r="L255" s="1020"/>
      <c r="M255" s="1429">
        <f t="shared" si="65"/>
        <v>0</v>
      </c>
      <c r="N255" s="1106"/>
      <c r="O255" s="674">
        <f t="shared" si="66"/>
        <v>0</v>
      </c>
      <c r="P255" s="682"/>
      <c r="Q255" s="286"/>
      <c r="R255" s="287"/>
      <c r="S255" s="280"/>
      <c r="T255" s="280"/>
      <c r="U255" s="280"/>
      <c r="V255" s="280"/>
      <c r="W255" s="280"/>
      <c r="X255" s="280"/>
      <c r="Y255" s="280"/>
      <c r="Z255" s="284"/>
      <c r="AA255" s="284"/>
      <c r="AB255" s="284"/>
      <c r="AC255" s="284"/>
      <c r="AD255" s="284"/>
      <c r="AE255" s="284"/>
      <c r="AF255" s="447"/>
      <c r="AG255" s="447"/>
      <c r="AH255" s="447"/>
      <c r="AI255" s="382"/>
      <c r="AJ255" s="382"/>
      <c r="AK255" s="382"/>
      <c r="AL255" s="382"/>
      <c r="AM255" s="382"/>
      <c r="AN255" s="382"/>
      <c r="AO255" s="382"/>
      <c r="AP255" s="382"/>
      <c r="AQ255" s="382"/>
      <c r="AR255" s="382"/>
      <c r="AS255" s="382"/>
      <c r="AT255" s="382"/>
      <c r="AU255" s="382"/>
      <c r="AV255" s="382"/>
      <c r="AW255" s="382"/>
      <c r="AX255" s="382"/>
      <c r="AY255" s="382"/>
      <c r="AZ255" s="382"/>
      <c r="BA255" s="382"/>
      <c r="BB255" s="382"/>
      <c r="BC255" s="382"/>
      <c r="BD255" s="382"/>
      <c r="BE255" s="382"/>
      <c r="BF255" s="382"/>
      <c r="BG255" s="382"/>
      <c r="BH255" s="382"/>
      <c r="BI255" s="382"/>
      <c r="BJ255" s="382"/>
      <c r="BK255" s="382"/>
      <c r="BL255" s="382"/>
      <c r="BM255" s="382"/>
      <c r="BN255" s="382"/>
      <c r="BO255" s="382"/>
    </row>
    <row r="256" spans="1:67" s="88" customFormat="1" ht="10.55" customHeight="1" x14ac:dyDescent="0.2">
      <c r="A256" s="1011" t="s">
        <v>401</v>
      </c>
      <c r="B256" s="2783"/>
      <c r="C256" s="2784"/>
      <c r="D256" s="2785"/>
      <c r="E256" s="2810">
        <f>SUM(E257:E269)</f>
        <v>0</v>
      </c>
      <c r="F256" s="2811"/>
      <c r="G256" s="2747"/>
      <c r="H256" s="2748"/>
      <c r="I256" s="1435">
        <f>IF(E256=0,0,J256/E256)</f>
        <v>0</v>
      </c>
      <c r="J256" s="1423">
        <f>SUM(J257:J269)</f>
        <v>0</v>
      </c>
      <c r="K256" s="2749">
        <f>IF(E256=0,0,M256/E256*100)</f>
        <v>0</v>
      </c>
      <c r="L256" s="2750"/>
      <c r="M256" s="1430">
        <f>SUM(M257:M269)</f>
        <v>0</v>
      </c>
      <c r="N256" s="1106"/>
      <c r="O256" s="387">
        <f>IF(H256="",G256,H256)</f>
        <v>0</v>
      </c>
      <c r="P256" s="682"/>
      <c r="Q256" s="286"/>
      <c r="R256" s="287"/>
      <c r="S256" s="280"/>
      <c r="T256" s="280"/>
      <c r="U256" s="280"/>
      <c r="V256" s="280"/>
      <c r="W256" s="280"/>
      <c r="X256" s="280"/>
      <c r="Y256" s="280"/>
      <c r="Z256" s="284"/>
      <c r="AA256" s="284"/>
      <c r="AB256" s="284"/>
      <c r="AC256" s="284"/>
      <c r="AD256" s="284"/>
      <c r="AE256" s="284"/>
      <c r="AF256" s="447"/>
      <c r="AG256" s="447"/>
      <c r="AH256" s="447"/>
      <c r="AI256" s="382"/>
      <c r="AJ256" s="382"/>
      <c r="AK256" s="382"/>
      <c r="AL256" s="382"/>
      <c r="AM256" s="382"/>
      <c r="AN256" s="382"/>
      <c r="AO256" s="382"/>
      <c r="AP256" s="382"/>
      <c r="AQ256" s="382"/>
      <c r="AR256" s="382"/>
      <c r="AS256" s="382"/>
      <c r="AT256" s="382"/>
      <c r="AU256" s="382"/>
      <c r="AV256" s="382"/>
      <c r="AW256" s="382"/>
      <c r="AX256" s="382"/>
      <c r="AY256" s="382"/>
      <c r="AZ256" s="382"/>
      <c r="BA256" s="382"/>
      <c r="BB256" s="382"/>
      <c r="BC256" s="382"/>
      <c r="BD256" s="382"/>
      <c r="BE256" s="382"/>
      <c r="BF256" s="382"/>
      <c r="BG256" s="382"/>
      <c r="BH256" s="382"/>
      <c r="BI256" s="382"/>
      <c r="BJ256" s="382"/>
      <c r="BK256" s="382"/>
      <c r="BL256" s="382"/>
      <c r="BM256" s="382"/>
      <c r="BN256" s="382"/>
      <c r="BO256" s="382"/>
    </row>
    <row r="257" spans="1:67" s="88" customFormat="1" ht="10.55" customHeight="1" x14ac:dyDescent="0.2">
      <c r="A257" s="1013" t="s">
        <v>402</v>
      </c>
      <c r="B257" s="2790"/>
      <c r="C257" s="2791"/>
      <c r="D257" s="2792"/>
      <c r="E257" s="2734"/>
      <c r="F257" s="2735"/>
      <c r="G257" s="1785">
        <v>15</v>
      </c>
      <c r="H257" s="524"/>
      <c r="I257" s="1409">
        <f t="shared" ref="I257:I270" si="67">IF($O257&gt;0,-PMT(($I$9),$O257,1),0)</f>
        <v>8.0766456051533542E-2</v>
      </c>
      <c r="J257" s="1421">
        <f t="shared" ref="J257:J269" si="68">ROUND(E257*I257,0)</f>
        <v>0</v>
      </c>
      <c r="K257" s="678">
        <v>1.5</v>
      </c>
      <c r="L257" s="1002"/>
      <c r="M257" s="1428">
        <f t="shared" ref="M257:M270" si="69">ROUND(E257/100*IF(ISBLANK(L257),K257,L257),0)</f>
        <v>0</v>
      </c>
      <c r="N257" s="1106"/>
      <c r="O257" s="674">
        <f t="shared" ref="O257:O270" si="70">IF(ISBLANK(H257),G257,H257)</f>
        <v>15</v>
      </c>
      <c r="P257" s="682"/>
      <c r="Q257" s="286"/>
      <c r="R257" s="287"/>
      <c r="S257" s="280"/>
      <c r="T257" s="280"/>
      <c r="U257" s="280"/>
      <c r="V257" s="280"/>
      <c r="W257" s="280"/>
      <c r="X257" s="280"/>
      <c r="Y257" s="280"/>
      <c r="Z257" s="284"/>
      <c r="AA257" s="284"/>
      <c r="AB257" s="284"/>
      <c r="AC257" s="284"/>
      <c r="AD257" s="284"/>
      <c r="AE257" s="284"/>
      <c r="AF257" s="447"/>
      <c r="AG257" s="447"/>
      <c r="AH257" s="447"/>
      <c r="AI257" s="382"/>
      <c r="AJ257" s="382"/>
      <c r="AK257" s="382"/>
      <c r="AL257" s="382"/>
      <c r="AM257" s="382"/>
      <c r="AN257" s="382"/>
      <c r="AO257" s="382"/>
      <c r="AP257" s="382"/>
      <c r="AQ257" s="382"/>
      <c r="AR257" s="382"/>
      <c r="AS257" s="382"/>
      <c r="AT257" s="382"/>
      <c r="AU257" s="382"/>
      <c r="AV257" s="382"/>
      <c r="AW257" s="382"/>
      <c r="AX257" s="382"/>
      <c r="AY257" s="382"/>
      <c r="AZ257" s="382"/>
      <c r="BA257" s="382"/>
      <c r="BB257" s="382"/>
      <c r="BC257" s="382"/>
      <c r="BD257" s="382"/>
      <c r="BE257" s="382"/>
      <c r="BF257" s="382"/>
      <c r="BG257" s="382"/>
      <c r="BH257" s="382"/>
      <c r="BI257" s="382"/>
      <c r="BJ257" s="382"/>
      <c r="BK257" s="382"/>
      <c r="BL257" s="382"/>
      <c r="BM257" s="382"/>
      <c r="BN257" s="382"/>
      <c r="BO257" s="382"/>
    </row>
    <row r="258" spans="1:67" s="88" customFormat="1" ht="10.55" customHeight="1" x14ac:dyDescent="0.2">
      <c r="A258" s="1013" t="s">
        <v>403</v>
      </c>
      <c r="B258" s="2807"/>
      <c r="C258" s="2808"/>
      <c r="D258" s="2809"/>
      <c r="E258" s="2561"/>
      <c r="F258" s="2562"/>
      <c r="G258" s="1785">
        <v>15</v>
      </c>
      <c r="H258" s="524"/>
      <c r="I258" s="1409">
        <f t="shared" si="67"/>
        <v>8.0766456051533542E-2</v>
      </c>
      <c r="J258" s="1421">
        <f t="shared" si="68"/>
        <v>0</v>
      </c>
      <c r="K258" s="678">
        <v>1</v>
      </c>
      <c r="L258" s="1002"/>
      <c r="M258" s="1428">
        <f t="shared" si="69"/>
        <v>0</v>
      </c>
      <c r="N258" s="1106"/>
      <c r="O258" s="674">
        <f t="shared" si="70"/>
        <v>15</v>
      </c>
      <c r="P258" s="682"/>
      <c r="Q258" s="286"/>
      <c r="R258" s="287"/>
      <c r="S258" s="280"/>
      <c r="T258" s="280"/>
      <c r="U258" s="280"/>
      <c r="V258" s="280"/>
      <c r="W258" s="280"/>
      <c r="X258" s="280"/>
      <c r="Y258" s="280"/>
      <c r="Z258" s="284"/>
      <c r="AA258" s="284"/>
      <c r="AB258" s="284"/>
      <c r="AC258" s="284"/>
      <c r="AD258" s="284"/>
      <c r="AE258" s="284"/>
      <c r="AF258" s="447"/>
      <c r="AG258" s="447"/>
      <c r="AH258" s="447"/>
      <c r="AI258" s="382"/>
      <c r="AJ258" s="382"/>
      <c r="AK258" s="382"/>
      <c r="AL258" s="382"/>
      <c r="AM258" s="382"/>
      <c r="AN258" s="382"/>
      <c r="AO258" s="382"/>
      <c r="AP258" s="382"/>
      <c r="AQ258" s="382"/>
      <c r="AR258" s="382"/>
      <c r="AS258" s="382"/>
      <c r="AT258" s="382"/>
      <c r="AU258" s="382"/>
      <c r="AV258" s="382"/>
      <c r="AW258" s="382"/>
      <c r="AX258" s="382"/>
      <c r="AY258" s="382"/>
      <c r="AZ258" s="382"/>
      <c r="BA258" s="382"/>
      <c r="BB258" s="382"/>
      <c r="BC258" s="382"/>
      <c r="BD258" s="382"/>
      <c r="BE258" s="382"/>
      <c r="BF258" s="382"/>
      <c r="BG258" s="382"/>
      <c r="BH258" s="382"/>
      <c r="BI258" s="382"/>
      <c r="BJ258" s="382"/>
      <c r="BK258" s="382"/>
      <c r="BL258" s="382"/>
      <c r="BM258" s="382"/>
      <c r="BN258" s="382"/>
      <c r="BO258" s="382"/>
    </row>
    <row r="259" spans="1:67" s="88" customFormat="1" ht="10.55" customHeight="1" x14ac:dyDescent="0.2">
      <c r="A259" s="1013" t="s">
        <v>404</v>
      </c>
      <c r="B259" s="2807"/>
      <c r="C259" s="2808"/>
      <c r="D259" s="2809"/>
      <c r="E259" s="2561"/>
      <c r="F259" s="2562"/>
      <c r="G259" s="1785">
        <v>15</v>
      </c>
      <c r="H259" s="524"/>
      <c r="I259" s="1409">
        <f t="shared" si="67"/>
        <v>8.0766456051533542E-2</v>
      </c>
      <c r="J259" s="1421">
        <f t="shared" si="68"/>
        <v>0</v>
      </c>
      <c r="K259" s="678">
        <v>1.5</v>
      </c>
      <c r="L259" s="1002"/>
      <c r="M259" s="1428">
        <f t="shared" si="69"/>
        <v>0</v>
      </c>
      <c r="N259" s="1106"/>
      <c r="O259" s="674">
        <f t="shared" si="70"/>
        <v>15</v>
      </c>
      <c r="P259" s="682"/>
      <c r="Q259" s="286"/>
      <c r="R259" s="287"/>
      <c r="S259" s="280"/>
      <c r="T259" s="280"/>
      <c r="U259" s="280"/>
      <c r="V259" s="280"/>
      <c r="W259" s="280"/>
      <c r="X259" s="280"/>
      <c r="Y259" s="280"/>
      <c r="Z259" s="284"/>
      <c r="AA259" s="284"/>
      <c r="AB259" s="284"/>
      <c r="AC259" s="284"/>
      <c r="AD259" s="284"/>
      <c r="AE259" s="284"/>
      <c r="AF259" s="447"/>
      <c r="AG259" s="447"/>
      <c r="AH259" s="447"/>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L259" s="382"/>
      <c r="BM259" s="382"/>
      <c r="BN259" s="382"/>
      <c r="BO259" s="382"/>
    </row>
    <row r="260" spans="1:67" s="88" customFormat="1" ht="10.55" customHeight="1" x14ac:dyDescent="0.2">
      <c r="A260" s="1013" t="s">
        <v>405</v>
      </c>
      <c r="B260" s="2807"/>
      <c r="C260" s="2808"/>
      <c r="D260" s="2809"/>
      <c r="E260" s="2561"/>
      <c r="F260" s="2562"/>
      <c r="G260" s="1785">
        <v>15</v>
      </c>
      <c r="H260" s="524"/>
      <c r="I260" s="1409">
        <f t="shared" si="67"/>
        <v>8.0766456051533542E-2</v>
      </c>
      <c r="J260" s="1421">
        <f t="shared" si="68"/>
        <v>0</v>
      </c>
      <c r="K260" s="678">
        <v>0</v>
      </c>
      <c r="L260" s="1002"/>
      <c r="M260" s="1428">
        <f t="shared" si="69"/>
        <v>0</v>
      </c>
      <c r="N260" s="1106"/>
      <c r="O260" s="674">
        <f t="shared" si="70"/>
        <v>15</v>
      </c>
      <c r="P260" s="682"/>
      <c r="Q260" s="286"/>
      <c r="R260" s="287"/>
      <c r="S260" s="280"/>
      <c r="T260" s="280"/>
      <c r="U260" s="280"/>
      <c r="V260" s="280"/>
      <c r="W260" s="280"/>
      <c r="X260" s="280"/>
      <c r="Y260" s="280"/>
      <c r="Z260" s="284"/>
      <c r="AA260" s="284"/>
      <c r="AB260" s="284"/>
      <c r="AC260" s="284"/>
      <c r="AD260" s="284"/>
      <c r="AE260" s="284"/>
      <c r="AF260" s="447"/>
      <c r="AG260" s="447"/>
      <c r="AH260" s="447"/>
      <c r="AI260" s="382"/>
      <c r="AJ260" s="382"/>
      <c r="AK260" s="382"/>
      <c r="AL260" s="382"/>
      <c r="AM260" s="382"/>
      <c r="AN260" s="382"/>
      <c r="AO260" s="382"/>
      <c r="AP260" s="382"/>
      <c r="AQ260" s="382"/>
      <c r="AR260" s="382"/>
      <c r="AS260" s="382"/>
      <c r="AT260" s="382"/>
      <c r="AU260" s="382"/>
      <c r="AV260" s="382"/>
      <c r="AW260" s="382"/>
      <c r="AX260" s="382"/>
      <c r="AY260" s="382"/>
      <c r="AZ260" s="382"/>
      <c r="BA260" s="382"/>
      <c r="BB260" s="382"/>
      <c r="BC260" s="382"/>
      <c r="BD260" s="382"/>
      <c r="BE260" s="382"/>
      <c r="BF260" s="382"/>
      <c r="BG260" s="382"/>
      <c r="BH260" s="382"/>
      <c r="BI260" s="382"/>
      <c r="BJ260" s="382"/>
      <c r="BK260" s="382"/>
      <c r="BL260" s="382"/>
      <c r="BM260" s="382"/>
      <c r="BN260" s="382"/>
      <c r="BO260" s="382"/>
    </row>
    <row r="261" spans="1:67" s="88" customFormat="1" ht="10.55" customHeight="1" x14ac:dyDescent="0.2">
      <c r="A261" s="675"/>
      <c r="B261" s="2807"/>
      <c r="C261" s="2808"/>
      <c r="D261" s="2809"/>
      <c r="E261" s="2561"/>
      <c r="F261" s="2562"/>
      <c r="G261" s="1015"/>
      <c r="H261" s="524"/>
      <c r="I261" s="1409">
        <f t="shared" si="67"/>
        <v>0</v>
      </c>
      <c r="J261" s="1421">
        <f t="shared" si="68"/>
        <v>0</v>
      </c>
      <c r="K261" s="679"/>
      <c r="L261" s="1002"/>
      <c r="M261" s="1428">
        <f t="shared" si="69"/>
        <v>0</v>
      </c>
      <c r="N261" s="1106"/>
      <c r="O261" s="674">
        <f t="shared" si="70"/>
        <v>0</v>
      </c>
      <c r="P261" s="682"/>
      <c r="Q261" s="286"/>
      <c r="R261" s="287"/>
      <c r="S261" s="280"/>
      <c r="T261" s="280"/>
      <c r="U261" s="280"/>
      <c r="V261" s="280"/>
      <c r="W261" s="280"/>
      <c r="X261" s="280"/>
      <c r="Y261" s="280"/>
      <c r="Z261" s="284"/>
      <c r="AA261" s="284"/>
      <c r="AB261" s="284"/>
      <c r="AC261" s="284"/>
      <c r="AD261" s="284"/>
      <c r="AE261" s="284"/>
      <c r="AF261" s="447"/>
      <c r="AG261" s="447"/>
      <c r="AH261" s="447"/>
      <c r="AI261" s="382"/>
      <c r="AJ261" s="382"/>
      <c r="AK261" s="382"/>
      <c r="AL261" s="382"/>
      <c r="AM261" s="382"/>
      <c r="AN261" s="382"/>
      <c r="AO261" s="382"/>
      <c r="AP261" s="382"/>
      <c r="AQ261" s="382"/>
      <c r="AR261" s="382"/>
      <c r="AS261" s="382"/>
      <c r="AT261" s="382"/>
      <c r="AU261" s="382"/>
      <c r="AV261" s="382"/>
      <c r="AW261" s="382"/>
      <c r="AX261" s="382"/>
      <c r="AY261" s="382"/>
      <c r="AZ261" s="382"/>
      <c r="BA261" s="382"/>
      <c r="BB261" s="382"/>
      <c r="BC261" s="382"/>
      <c r="BD261" s="382"/>
      <c r="BE261" s="382"/>
      <c r="BF261" s="382"/>
      <c r="BG261" s="382"/>
      <c r="BH261" s="382"/>
      <c r="BI261" s="382"/>
      <c r="BJ261" s="382"/>
      <c r="BK261" s="382"/>
      <c r="BL261" s="382"/>
      <c r="BM261" s="382"/>
      <c r="BN261" s="382"/>
      <c r="BO261" s="382"/>
    </row>
    <row r="262" spans="1:67" s="88" customFormat="1" ht="10.55" customHeight="1" x14ac:dyDescent="0.2">
      <c r="A262" s="675"/>
      <c r="B262" s="2807"/>
      <c r="C262" s="2808"/>
      <c r="D262" s="2809"/>
      <c r="E262" s="2561"/>
      <c r="F262" s="2562"/>
      <c r="G262" s="1015"/>
      <c r="H262" s="524"/>
      <c r="I262" s="1409">
        <f t="shared" si="67"/>
        <v>0</v>
      </c>
      <c r="J262" s="1421">
        <f t="shared" si="68"/>
        <v>0</v>
      </c>
      <c r="K262" s="679"/>
      <c r="L262" s="1002"/>
      <c r="M262" s="1428">
        <f t="shared" si="69"/>
        <v>0</v>
      </c>
      <c r="N262" s="1106"/>
      <c r="O262" s="674">
        <f t="shared" si="70"/>
        <v>0</v>
      </c>
      <c r="P262" s="682"/>
      <c r="Q262" s="286"/>
      <c r="R262" s="287"/>
      <c r="S262" s="280"/>
      <c r="T262" s="280"/>
      <c r="U262" s="280"/>
      <c r="V262" s="280"/>
      <c r="W262" s="280"/>
      <c r="X262" s="280"/>
      <c r="Y262" s="280"/>
      <c r="Z262" s="284"/>
      <c r="AA262" s="284"/>
      <c r="AB262" s="284"/>
      <c r="AC262" s="284"/>
      <c r="AD262" s="284"/>
      <c r="AE262" s="284"/>
      <c r="AF262" s="447"/>
      <c r="AG262" s="447"/>
      <c r="AH262" s="447"/>
      <c r="AI262" s="382"/>
      <c r="AJ262" s="382"/>
      <c r="AK262" s="382"/>
      <c r="AL262" s="382"/>
      <c r="AM262" s="382"/>
      <c r="AN262" s="382"/>
      <c r="AO262" s="382"/>
      <c r="AP262" s="382"/>
      <c r="AQ262" s="382"/>
      <c r="AR262" s="382"/>
      <c r="AS262" s="382"/>
      <c r="AT262" s="382"/>
      <c r="AU262" s="382"/>
      <c r="AV262" s="382"/>
      <c r="AW262" s="382"/>
      <c r="AX262" s="382"/>
      <c r="AY262" s="382"/>
      <c r="AZ262" s="382"/>
      <c r="BA262" s="382"/>
      <c r="BB262" s="382"/>
      <c r="BC262" s="382"/>
      <c r="BD262" s="382"/>
      <c r="BE262" s="382"/>
      <c r="BF262" s="382"/>
      <c r="BG262" s="382"/>
      <c r="BH262" s="382"/>
      <c r="BI262" s="382"/>
      <c r="BJ262" s="382"/>
      <c r="BK262" s="382"/>
      <c r="BL262" s="382"/>
      <c r="BM262" s="382"/>
      <c r="BN262" s="382"/>
      <c r="BO262" s="382"/>
    </row>
    <row r="263" spans="1:67" s="88" customFormat="1" ht="10.55" customHeight="1" x14ac:dyDescent="0.2">
      <c r="A263" s="675"/>
      <c r="B263" s="2807"/>
      <c r="C263" s="2808"/>
      <c r="D263" s="2809"/>
      <c r="E263" s="2561"/>
      <c r="F263" s="2562"/>
      <c r="G263" s="1015"/>
      <c r="H263" s="524"/>
      <c r="I263" s="1409">
        <f t="shared" si="67"/>
        <v>0</v>
      </c>
      <c r="J263" s="1421">
        <f t="shared" si="68"/>
        <v>0</v>
      </c>
      <c r="K263" s="679"/>
      <c r="L263" s="1002"/>
      <c r="M263" s="1428">
        <f t="shared" si="69"/>
        <v>0</v>
      </c>
      <c r="N263" s="1106"/>
      <c r="O263" s="674">
        <f t="shared" si="70"/>
        <v>0</v>
      </c>
      <c r="P263" s="682"/>
      <c r="Q263" s="286"/>
      <c r="R263" s="287"/>
      <c r="S263" s="280"/>
      <c r="T263" s="280"/>
      <c r="U263" s="280"/>
      <c r="V263" s="280"/>
      <c r="W263" s="280"/>
      <c r="X263" s="280"/>
      <c r="Y263" s="280"/>
      <c r="Z263" s="284"/>
      <c r="AA263" s="284"/>
      <c r="AB263" s="284"/>
      <c r="AC263" s="284"/>
      <c r="AD263" s="284"/>
      <c r="AE263" s="284"/>
      <c r="AF263" s="447"/>
      <c r="AG263" s="447"/>
      <c r="AH263" s="447"/>
      <c r="AI263" s="382"/>
      <c r="AJ263" s="382"/>
      <c r="AK263" s="382"/>
      <c r="AL263" s="382"/>
      <c r="AM263" s="382"/>
      <c r="AN263" s="382"/>
      <c r="AO263" s="382"/>
      <c r="AP263" s="382"/>
      <c r="AQ263" s="382"/>
      <c r="AR263" s="382"/>
      <c r="AS263" s="382"/>
      <c r="AT263" s="382"/>
      <c r="AU263" s="382"/>
      <c r="AV263" s="382"/>
      <c r="AW263" s="382"/>
      <c r="AX263" s="382"/>
      <c r="AY263" s="382"/>
      <c r="AZ263" s="382"/>
      <c r="BA263" s="382"/>
      <c r="BB263" s="382"/>
      <c r="BC263" s="382"/>
      <c r="BD263" s="382"/>
      <c r="BE263" s="382"/>
      <c r="BF263" s="382"/>
      <c r="BG263" s="382"/>
      <c r="BH263" s="382"/>
      <c r="BI263" s="382"/>
      <c r="BJ263" s="382"/>
      <c r="BK263" s="382"/>
      <c r="BL263" s="382"/>
      <c r="BM263" s="382"/>
      <c r="BN263" s="382"/>
      <c r="BO263" s="382"/>
    </row>
    <row r="264" spans="1:67" s="88" customFormat="1" ht="10.55" customHeight="1" x14ac:dyDescent="0.2">
      <c r="A264" s="675"/>
      <c r="B264" s="2807"/>
      <c r="C264" s="2808"/>
      <c r="D264" s="2809"/>
      <c r="E264" s="2561"/>
      <c r="F264" s="2562"/>
      <c r="G264" s="1015"/>
      <c r="H264" s="524"/>
      <c r="I264" s="1409">
        <f t="shared" si="67"/>
        <v>0</v>
      </c>
      <c r="J264" s="1421">
        <f t="shared" si="68"/>
        <v>0</v>
      </c>
      <c r="K264" s="679"/>
      <c r="L264" s="1002"/>
      <c r="M264" s="1428">
        <f t="shared" si="69"/>
        <v>0</v>
      </c>
      <c r="N264" s="1106"/>
      <c r="O264" s="674">
        <f t="shared" si="70"/>
        <v>0</v>
      </c>
      <c r="P264" s="682"/>
      <c r="Q264" s="286"/>
      <c r="R264" s="287"/>
      <c r="S264" s="280"/>
      <c r="T264" s="280"/>
      <c r="U264" s="280"/>
      <c r="V264" s="280"/>
      <c r="W264" s="280"/>
      <c r="X264" s="280"/>
      <c r="Y264" s="280"/>
      <c r="Z264" s="284"/>
      <c r="AA264" s="284"/>
      <c r="AB264" s="284"/>
      <c r="AC264" s="284"/>
      <c r="AD264" s="284"/>
      <c r="AE264" s="284"/>
      <c r="AF264" s="447"/>
      <c r="AG264" s="447"/>
      <c r="AH264" s="447"/>
      <c r="AI264" s="382"/>
      <c r="AJ264" s="382"/>
      <c r="AK264" s="382"/>
      <c r="AL264" s="382"/>
      <c r="AM264" s="382"/>
      <c r="AN264" s="382"/>
      <c r="AO264" s="382"/>
      <c r="AP264" s="382"/>
      <c r="AQ264" s="382"/>
      <c r="AR264" s="382"/>
      <c r="AS264" s="382"/>
      <c r="AT264" s="382"/>
      <c r="AU264" s="382"/>
      <c r="AV264" s="382"/>
      <c r="AW264" s="382"/>
      <c r="AX264" s="382"/>
      <c r="AY264" s="382"/>
      <c r="AZ264" s="382"/>
      <c r="BA264" s="382"/>
      <c r="BB264" s="382"/>
      <c r="BC264" s="382"/>
      <c r="BD264" s="382"/>
      <c r="BE264" s="382"/>
      <c r="BF264" s="382"/>
      <c r="BG264" s="382"/>
      <c r="BH264" s="382"/>
      <c r="BI264" s="382"/>
      <c r="BJ264" s="382"/>
      <c r="BK264" s="382"/>
      <c r="BL264" s="382"/>
      <c r="BM264" s="382"/>
      <c r="BN264" s="382"/>
      <c r="BO264" s="382"/>
    </row>
    <row r="265" spans="1:67" s="88" customFormat="1" ht="10.55" customHeight="1" x14ac:dyDescent="0.2">
      <c r="A265" s="675"/>
      <c r="B265" s="2807"/>
      <c r="C265" s="2808"/>
      <c r="D265" s="2809"/>
      <c r="E265" s="2561"/>
      <c r="F265" s="2562"/>
      <c r="G265" s="1015"/>
      <c r="H265" s="524"/>
      <c r="I265" s="1409">
        <f t="shared" si="67"/>
        <v>0</v>
      </c>
      <c r="J265" s="1421">
        <f t="shared" si="68"/>
        <v>0</v>
      </c>
      <c r="K265" s="679"/>
      <c r="L265" s="1002"/>
      <c r="M265" s="1428">
        <f t="shared" si="69"/>
        <v>0</v>
      </c>
      <c r="N265" s="1106"/>
      <c r="O265" s="674">
        <f t="shared" si="70"/>
        <v>0</v>
      </c>
      <c r="P265" s="682"/>
      <c r="Q265" s="286"/>
      <c r="R265" s="287"/>
      <c r="S265" s="280"/>
      <c r="T265" s="280"/>
      <c r="U265" s="280"/>
      <c r="V265" s="280"/>
      <c r="W265" s="280"/>
      <c r="X265" s="280"/>
      <c r="Y265" s="280"/>
      <c r="Z265" s="284"/>
      <c r="AA265" s="284"/>
      <c r="AB265" s="284"/>
      <c r="AC265" s="284"/>
      <c r="AD265" s="284"/>
      <c r="AE265" s="284"/>
      <c r="AF265" s="447"/>
      <c r="AG265" s="447"/>
      <c r="AH265" s="447"/>
      <c r="AI265" s="382"/>
      <c r="AJ265" s="382"/>
      <c r="AK265" s="382"/>
      <c r="AL265" s="382"/>
      <c r="AM265" s="382"/>
      <c r="AN265" s="382"/>
      <c r="AO265" s="382"/>
      <c r="AP265" s="382"/>
      <c r="AQ265" s="382"/>
      <c r="AR265" s="382"/>
      <c r="AS265" s="382"/>
      <c r="AT265" s="382"/>
      <c r="AU265" s="382"/>
      <c r="AV265" s="382"/>
      <c r="AW265" s="382"/>
      <c r="AX265" s="382"/>
      <c r="AY265" s="382"/>
      <c r="AZ265" s="382"/>
      <c r="BA265" s="382"/>
      <c r="BB265" s="382"/>
      <c r="BC265" s="382"/>
      <c r="BD265" s="382"/>
      <c r="BE265" s="382"/>
      <c r="BF265" s="382"/>
      <c r="BG265" s="382"/>
      <c r="BH265" s="382"/>
      <c r="BI265" s="382"/>
      <c r="BJ265" s="382"/>
      <c r="BK265" s="382"/>
      <c r="BL265" s="382"/>
      <c r="BM265" s="382"/>
      <c r="BN265" s="382"/>
      <c r="BO265" s="382"/>
    </row>
    <row r="266" spans="1:67" s="88" customFormat="1" ht="10.55" customHeight="1" x14ac:dyDescent="0.2">
      <c r="A266" s="675"/>
      <c r="B266" s="2807"/>
      <c r="C266" s="2808"/>
      <c r="D266" s="2809"/>
      <c r="E266" s="2561"/>
      <c r="F266" s="2562"/>
      <c r="G266" s="1015"/>
      <c r="H266" s="524"/>
      <c r="I266" s="1409">
        <f t="shared" si="67"/>
        <v>0</v>
      </c>
      <c r="J266" s="1421">
        <f t="shared" si="68"/>
        <v>0</v>
      </c>
      <c r="K266" s="679"/>
      <c r="L266" s="1002"/>
      <c r="M266" s="1428">
        <f t="shared" si="69"/>
        <v>0</v>
      </c>
      <c r="N266" s="1106"/>
      <c r="O266" s="674">
        <f t="shared" si="70"/>
        <v>0</v>
      </c>
      <c r="P266" s="682"/>
      <c r="Q266" s="286"/>
      <c r="R266" s="287"/>
      <c r="S266" s="280"/>
      <c r="T266" s="280"/>
      <c r="U266" s="280"/>
      <c r="V266" s="280"/>
      <c r="W266" s="280"/>
      <c r="X266" s="280"/>
      <c r="Y266" s="280"/>
      <c r="Z266" s="284"/>
      <c r="AA266" s="284"/>
      <c r="AB266" s="284"/>
      <c r="AC266" s="284"/>
      <c r="AD266" s="284"/>
      <c r="AE266" s="284"/>
      <c r="AF266" s="447"/>
      <c r="AG266" s="447"/>
      <c r="AH266" s="447"/>
      <c r="AI266" s="382"/>
      <c r="AJ266" s="382"/>
      <c r="AK266" s="382"/>
      <c r="AL266" s="382"/>
      <c r="AM266" s="382"/>
      <c r="AN266" s="382"/>
      <c r="AO266" s="382"/>
      <c r="AP266" s="382"/>
      <c r="AQ266" s="382"/>
      <c r="AR266" s="382"/>
      <c r="AS266" s="382"/>
      <c r="AT266" s="382"/>
      <c r="AU266" s="382"/>
      <c r="AV266" s="382"/>
      <c r="AW266" s="382"/>
      <c r="AX266" s="382"/>
      <c r="AY266" s="382"/>
      <c r="AZ266" s="382"/>
      <c r="BA266" s="382"/>
      <c r="BB266" s="382"/>
      <c r="BC266" s="382"/>
      <c r="BD266" s="382"/>
      <c r="BE266" s="382"/>
      <c r="BF266" s="382"/>
      <c r="BG266" s="382"/>
      <c r="BH266" s="382"/>
      <c r="BI266" s="382"/>
      <c r="BJ266" s="382"/>
      <c r="BK266" s="382"/>
      <c r="BL266" s="382"/>
      <c r="BM266" s="382"/>
      <c r="BN266" s="382"/>
      <c r="BO266" s="382"/>
    </row>
    <row r="267" spans="1:67" s="88" customFormat="1" ht="10.55" customHeight="1" x14ac:dyDescent="0.2">
      <c r="A267" s="675"/>
      <c r="B267" s="2807"/>
      <c r="C267" s="2808"/>
      <c r="D267" s="2809"/>
      <c r="E267" s="2561"/>
      <c r="F267" s="2562"/>
      <c r="G267" s="1015"/>
      <c r="H267" s="524"/>
      <c r="I267" s="1409">
        <f t="shared" si="67"/>
        <v>0</v>
      </c>
      <c r="J267" s="1421">
        <f t="shared" si="68"/>
        <v>0</v>
      </c>
      <c r="K267" s="679"/>
      <c r="L267" s="1002"/>
      <c r="M267" s="1428">
        <f t="shared" si="69"/>
        <v>0</v>
      </c>
      <c r="N267" s="1106"/>
      <c r="O267" s="674">
        <f t="shared" si="70"/>
        <v>0</v>
      </c>
      <c r="P267" s="682"/>
      <c r="Q267" s="286"/>
      <c r="R267" s="287"/>
      <c r="S267" s="280"/>
      <c r="T267" s="280"/>
      <c r="U267" s="280"/>
      <c r="V267" s="280"/>
      <c r="W267" s="280"/>
      <c r="X267" s="280"/>
      <c r="Y267" s="280"/>
      <c r="Z267" s="284"/>
      <c r="AA267" s="284"/>
      <c r="AB267" s="284"/>
      <c r="AC267" s="284"/>
      <c r="AD267" s="284"/>
      <c r="AE267" s="284"/>
      <c r="AF267" s="447"/>
      <c r="AG267" s="447"/>
      <c r="AH267" s="447"/>
      <c r="AI267" s="382"/>
      <c r="AJ267" s="382"/>
      <c r="AK267" s="382"/>
      <c r="AL267" s="382"/>
      <c r="AM267" s="382"/>
      <c r="AN267" s="382"/>
      <c r="AO267" s="382"/>
      <c r="AP267" s="382"/>
      <c r="AQ267" s="382"/>
      <c r="AR267" s="382"/>
      <c r="AS267" s="382"/>
      <c r="AT267" s="382"/>
      <c r="AU267" s="382"/>
      <c r="AV267" s="382"/>
      <c r="AW267" s="382"/>
      <c r="AX267" s="382"/>
      <c r="AY267" s="382"/>
      <c r="AZ267" s="382"/>
      <c r="BA267" s="382"/>
      <c r="BB267" s="382"/>
      <c r="BC267" s="382"/>
      <c r="BD267" s="382"/>
      <c r="BE267" s="382"/>
      <c r="BF267" s="382"/>
      <c r="BG267" s="382"/>
      <c r="BH267" s="382"/>
      <c r="BI267" s="382"/>
      <c r="BJ267" s="382"/>
      <c r="BK267" s="382"/>
      <c r="BL267" s="382"/>
      <c r="BM267" s="382"/>
      <c r="BN267" s="382"/>
      <c r="BO267" s="382"/>
    </row>
    <row r="268" spans="1:67" s="88" customFormat="1" ht="10.55" customHeight="1" x14ac:dyDescent="0.2">
      <c r="A268" s="675"/>
      <c r="B268" s="2807"/>
      <c r="C268" s="2808"/>
      <c r="D268" s="2809"/>
      <c r="E268" s="2561"/>
      <c r="F268" s="2562"/>
      <c r="G268" s="1015"/>
      <c r="H268" s="524"/>
      <c r="I268" s="1409">
        <f t="shared" si="67"/>
        <v>0</v>
      </c>
      <c r="J268" s="1421">
        <f t="shared" si="68"/>
        <v>0</v>
      </c>
      <c r="K268" s="679"/>
      <c r="L268" s="1002"/>
      <c r="M268" s="1428">
        <f t="shared" si="69"/>
        <v>0</v>
      </c>
      <c r="N268" s="1106"/>
      <c r="O268" s="674">
        <f t="shared" si="70"/>
        <v>0</v>
      </c>
      <c r="P268" s="682"/>
      <c r="Q268" s="286"/>
      <c r="R268" s="287"/>
      <c r="S268" s="280"/>
      <c r="T268" s="280"/>
      <c r="U268" s="280"/>
      <c r="V268" s="280"/>
      <c r="W268" s="280"/>
      <c r="X268" s="280"/>
      <c r="Y268" s="280"/>
      <c r="Z268" s="284"/>
      <c r="AA268" s="284"/>
      <c r="AB268" s="284"/>
      <c r="AC268" s="284"/>
      <c r="AD268" s="284"/>
      <c r="AE268" s="284"/>
      <c r="AF268" s="447"/>
      <c r="AG268" s="447"/>
      <c r="AH268" s="447"/>
      <c r="AI268" s="382"/>
      <c r="AJ268" s="382"/>
      <c r="AK268" s="382"/>
      <c r="AL268" s="382"/>
      <c r="AM268" s="382"/>
      <c r="AN268" s="382"/>
      <c r="AO268" s="382"/>
      <c r="AP268" s="382"/>
      <c r="AQ268" s="382"/>
      <c r="AR268" s="382"/>
      <c r="AS268" s="382"/>
      <c r="AT268" s="382"/>
      <c r="AU268" s="382"/>
      <c r="AV268" s="382"/>
      <c r="AW268" s="382"/>
      <c r="AX268" s="382"/>
      <c r="AY268" s="382"/>
      <c r="AZ268" s="382"/>
      <c r="BA268" s="382"/>
      <c r="BB268" s="382"/>
      <c r="BC268" s="382"/>
      <c r="BD268" s="382"/>
      <c r="BE268" s="382"/>
      <c r="BF268" s="382"/>
      <c r="BG268" s="382"/>
      <c r="BH268" s="382"/>
      <c r="BI268" s="382"/>
      <c r="BJ268" s="382"/>
      <c r="BK268" s="382"/>
      <c r="BL268" s="382"/>
      <c r="BM268" s="382"/>
      <c r="BN268" s="382"/>
      <c r="BO268" s="382"/>
    </row>
    <row r="269" spans="1:67" s="88" customFormat="1" ht="10.55" customHeight="1" x14ac:dyDescent="0.2">
      <c r="A269" s="675"/>
      <c r="B269" s="2807"/>
      <c r="C269" s="2808"/>
      <c r="D269" s="2809"/>
      <c r="E269" s="2561"/>
      <c r="F269" s="2562"/>
      <c r="G269" s="1015"/>
      <c r="H269" s="524"/>
      <c r="I269" s="1409">
        <f t="shared" si="67"/>
        <v>0</v>
      </c>
      <c r="J269" s="1421">
        <f t="shared" si="68"/>
        <v>0</v>
      </c>
      <c r="K269" s="679"/>
      <c r="L269" s="1002"/>
      <c r="M269" s="1428">
        <f t="shared" si="69"/>
        <v>0</v>
      </c>
      <c r="N269" s="1106"/>
      <c r="O269" s="674">
        <f t="shared" si="70"/>
        <v>0</v>
      </c>
      <c r="P269" s="682"/>
      <c r="Q269" s="286"/>
      <c r="R269" s="287"/>
      <c r="S269" s="280"/>
      <c r="T269" s="280"/>
      <c r="U269" s="280"/>
      <c r="V269" s="280"/>
      <c r="W269" s="280"/>
      <c r="X269" s="280"/>
      <c r="Y269" s="280"/>
      <c r="Z269" s="284"/>
      <c r="AA269" s="284"/>
      <c r="AB269" s="284"/>
      <c r="AC269" s="284"/>
      <c r="AD269" s="284"/>
      <c r="AE269" s="284"/>
      <c r="AF269" s="447"/>
      <c r="AG269" s="447"/>
      <c r="AH269" s="447"/>
      <c r="AI269" s="382"/>
      <c r="AJ269" s="382"/>
      <c r="AK269" s="382"/>
      <c r="AL269" s="382"/>
      <c r="AM269" s="382"/>
      <c r="AN269" s="382"/>
      <c r="AO269" s="382"/>
      <c r="AP269" s="382"/>
      <c r="AQ269" s="382"/>
      <c r="AR269" s="382"/>
      <c r="AS269" s="382"/>
      <c r="AT269" s="382"/>
      <c r="AU269" s="382"/>
      <c r="AV269" s="382"/>
      <c r="AW269" s="382"/>
      <c r="AX269" s="382"/>
      <c r="AY269" s="382"/>
      <c r="AZ269" s="382"/>
      <c r="BA269" s="382"/>
      <c r="BB269" s="382"/>
      <c r="BC269" s="382"/>
      <c r="BD269" s="382"/>
      <c r="BE269" s="382"/>
      <c r="BF269" s="382"/>
      <c r="BG269" s="382"/>
      <c r="BH269" s="382"/>
      <c r="BI269" s="382"/>
      <c r="BJ269" s="382"/>
      <c r="BK269" s="382"/>
      <c r="BL269" s="382"/>
      <c r="BM269" s="382"/>
      <c r="BN269" s="382"/>
      <c r="BO269" s="382"/>
    </row>
    <row r="270" spans="1:67" s="88" customFormat="1" ht="10.55" customHeight="1" x14ac:dyDescent="0.2">
      <c r="A270" s="1017"/>
      <c r="B270" s="2804"/>
      <c r="C270" s="2805"/>
      <c r="D270" s="2806"/>
      <c r="E270" s="2793"/>
      <c r="F270" s="2794"/>
      <c r="G270" s="1018"/>
      <c r="H270" s="1019"/>
      <c r="I270" s="1436">
        <f t="shared" si="67"/>
        <v>0</v>
      </c>
      <c r="J270" s="1422"/>
      <c r="K270" s="680"/>
      <c r="L270" s="1020"/>
      <c r="M270" s="1429">
        <f t="shared" si="69"/>
        <v>0</v>
      </c>
      <c r="N270" s="1106"/>
      <c r="O270" s="674">
        <f t="shared" si="70"/>
        <v>0</v>
      </c>
      <c r="P270" s="682"/>
      <c r="Q270" s="286"/>
      <c r="R270" s="287"/>
      <c r="S270" s="280"/>
      <c r="T270" s="280"/>
      <c r="U270" s="280"/>
      <c r="V270" s="280"/>
      <c r="W270" s="280"/>
      <c r="X270" s="280"/>
      <c r="Y270" s="280"/>
      <c r="Z270" s="284"/>
      <c r="AA270" s="284"/>
      <c r="AB270" s="284"/>
      <c r="AC270" s="284"/>
      <c r="AD270" s="284"/>
      <c r="AE270" s="284"/>
      <c r="AF270" s="447"/>
      <c r="AG270" s="447"/>
      <c r="AH270" s="447"/>
      <c r="AI270" s="382"/>
      <c r="AJ270" s="382"/>
      <c r="AK270" s="382"/>
      <c r="AL270" s="382"/>
      <c r="AM270" s="382"/>
      <c r="AN270" s="382"/>
      <c r="AO270" s="382"/>
      <c r="AP270" s="382"/>
      <c r="AQ270" s="382"/>
      <c r="AR270" s="382"/>
      <c r="AS270" s="382"/>
      <c r="AT270" s="382"/>
      <c r="AU270" s="382"/>
      <c r="AV270" s="382"/>
      <c r="AW270" s="382"/>
      <c r="AX270" s="382"/>
      <c r="AY270" s="382"/>
      <c r="AZ270" s="382"/>
      <c r="BA270" s="382"/>
      <c r="BB270" s="382"/>
      <c r="BC270" s="382"/>
      <c r="BD270" s="382"/>
      <c r="BE270" s="382"/>
      <c r="BF270" s="382"/>
      <c r="BG270" s="382"/>
      <c r="BH270" s="382"/>
      <c r="BI270" s="382"/>
      <c r="BJ270" s="382"/>
      <c r="BK270" s="382"/>
      <c r="BL270" s="382"/>
      <c r="BM270" s="382"/>
      <c r="BN270" s="382"/>
      <c r="BO270" s="382"/>
    </row>
    <row r="271" spans="1:67" s="88" customFormat="1" ht="10.55" customHeight="1" x14ac:dyDescent="0.2">
      <c r="A271" s="1011" t="s">
        <v>406</v>
      </c>
      <c r="B271" s="2783"/>
      <c r="C271" s="2784"/>
      <c r="D271" s="2785"/>
      <c r="E271" s="2810">
        <f>SUM(E272:E284)</f>
        <v>0</v>
      </c>
      <c r="F271" s="2811"/>
      <c r="G271" s="2747"/>
      <c r="H271" s="2748"/>
      <c r="I271" s="1435">
        <f>IF(E271=0,0,J271/E271)</f>
        <v>0</v>
      </c>
      <c r="J271" s="1423">
        <f>SUM(J272:J284)</f>
        <v>0</v>
      </c>
      <c r="K271" s="2749">
        <f>IF(E271=0,0,M271/E271*100)</f>
        <v>0</v>
      </c>
      <c r="L271" s="2750"/>
      <c r="M271" s="1430">
        <f>SUM(M272:M284)</f>
        <v>0</v>
      </c>
      <c r="N271" s="1106"/>
      <c r="O271" s="387">
        <f>IF(H271="",G271,H271)</f>
        <v>0</v>
      </c>
      <c r="P271" s="682"/>
      <c r="Q271" s="286"/>
      <c r="R271" s="287"/>
      <c r="S271" s="280"/>
      <c r="T271" s="280"/>
      <c r="U271" s="280"/>
      <c r="V271" s="280"/>
      <c r="W271" s="280"/>
      <c r="X271" s="280"/>
      <c r="Y271" s="280"/>
      <c r="Z271" s="284"/>
      <c r="AA271" s="284"/>
      <c r="AB271" s="284"/>
      <c r="AC271" s="284"/>
      <c r="AD271" s="284"/>
      <c r="AE271" s="284"/>
      <c r="AF271" s="447"/>
      <c r="AG271" s="447"/>
      <c r="AH271" s="447"/>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2"/>
      <c r="BL271" s="382"/>
      <c r="BM271" s="382"/>
      <c r="BN271" s="382"/>
      <c r="BO271" s="382"/>
    </row>
    <row r="272" spans="1:67" s="88" customFormat="1" ht="10.55" customHeight="1" x14ac:dyDescent="0.2">
      <c r="A272" s="1013" t="s">
        <v>407</v>
      </c>
      <c r="B272" s="2790"/>
      <c r="C272" s="2791"/>
      <c r="D272" s="2792"/>
      <c r="E272" s="2734"/>
      <c r="F272" s="2735"/>
      <c r="G272" s="1785">
        <v>15</v>
      </c>
      <c r="H272" s="524"/>
      <c r="I272" s="1409">
        <f t="shared" ref="I272:I285" si="71">IF($O272&gt;0,-PMT(($I$9),$O272,1),0)</f>
        <v>8.0766456051533542E-2</v>
      </c>
      <c r="J272" s="1421">
        <f t="shared" ref="J272:J284" si="72">ROUND(E272*I272,0)</f>
        <v>0</v>
      </c>
      <c r="K272" s="678">
        <v>0</v>
      </c>
      <c r="L272" s="1002"/>
      <c r="M272" s="1428">
        <f t="shared" ref="M272:M285" si="73">ROUND(E272/100*IF(ISBLANK(L272),K272,L272),0)</f>
        <v>0</v>
      </c>
      <c r="N272" s="1106"/>
      <c r="O272" s="674">
        <f t="shared" ref="O272:O285" si="74">IF(ISBLANK(H272),G272,H272)</f>
        <v>15</v>
      </c>
      <c r="P272" s="682"/>
      <c r="Q272" s="286"/>
      <c r="R272" s="287"/>
      <c r="S272" s="280"/>
      <c r="T272" s="280"/>
      <c r="U272" s="280"/>
      <c r="V272" s="280"/>
      <c r="W272" s="280"/>
      <c r="X272" s="280"/>
      <c r="Y272" s="280"/>
      <c r="Z272" s="284"/>
      <c r="AA272" s="284"/>
      <c r="AB272" s="284"/>
      <c r="AC272" s="284"/>
      <c r="AD272" s="284"/>
      <c r="AE272" s="284"/>
      <c r="AF272" s="447"/>
      <c r="AG272" s="447"/>
      <c r="AH272" s="447"/>
      <c r="AI272" s="382"/>
      <c r="AJ272" s="382"/>
      <c r="AK272" s="382"/>
      <c r="AL272" s="382"/>
      <c r="AM272" s="382"/>
      <c r="AN272" s="382"/>
      <c r="AO272" s="382"/>
      <c r="AP272" s="382"/>
      <c r="AQ272" s="382"/>
      <c r="AR272" s="382"/>
      <c r="AS272" s="382"/>
      <c r="AT272" s="382"/>
      <c r="AU272" s="382"/>
      <c r="AV272" s="382"/>
      <c r="AW272" s="382"/>
      <c r="AX272" s="382"/>
      <c r="AY272" s="382"/>
      <c r="AZ272" s="382"/>
      <c r="BA272" s="382"/>
      <c r="BB272" s="382"/>
      <c r="BC272" s="382"/>
      <c r="BD272" s="382"/>
      <c r="BE272" s="382"/>
      <c r="BF272" s="382"/>
      <c r="BG272" s="382"/>
      <c r="BH272" s="382"/>
      <c r="BI272" s="382"/>
      <c r="BJ272" s="382"/>
      <c r="BK272" s="382"/>
      <c r="BL272" s="382"/>
      <c r="BM272" s="382"/>
      <c r="BN272" s="382"/>
      <c r="BO272" s="382"/>
    </row>
    <row r="273" spans="1:67" s="88" customFormat="1" ht="10.55" customHeight="1" x14ac:dyDescent="0.2">
      <c r="A273" s="1013" t="s">
        <v>408</v>
      </c>
      <c r="B273" s="2807"/>
      <c r="C273" s="2808"/>
      <c r="D273" s="2809"/>
      <c r="E273" s="2561"/>
      <c r="F273" s="2562"/>
      <c r="G273" s="1785">
        <v>15</v>
      </c>
      <c r="H273" s="524"/>
      <c r="I273" s="1409">
        <f t="shared" si="71"/>
        <v>8.0766456051533542E-2</v>
      </c>
      <c r="J273" s="1421">
        <f t="shared" si="72"/>
        <v>0</v>
      </c>
      <c r="K273" s="678">
        <v>0</v>
      </c>
      <c r="L273" s="1002"/>
      <c r="M273" s="1428">
        <f t="shared" si="73"/>
        <v>0</v>
      </c>
      <c r="N273" s="1106"/>
      <c r="O273" s="674">
        <f t="shared" si="74"/>
        <v>15</v>
      </c>
      <c r="P273" s="682"/>
      <c r="Q273" s="286"/>
      <c r="R273" s="287"/>
      <c r="S273" s="280"/>
      <c r="T273" s="280"/>
      <c r="U273" s="280"/>
      <c r="V273" s="280"/>
      <c r="W273" s="280"/>
      <c r="X273" s="280"/>
      <c r="Y273" s="280"/>
      <c r="Z273" s="284"/>
      <c r="AA273" s="284"/>
      <c r="AB273" s="284"/>
      <c r="AC273" s="284"/>
      <c r="AD273" s="284"/>
      <c r="AE273" s="284"/>
      <c r="AF273" s="447"/>
      <c r="AG273" s="447"/>
      <c r="AH273" s="447"/>
      <c r="AI273" s="382"/>
      <c r="AJ273" s="382"/>
      <c r="AK273" s="382"/>
      <c r="AL273" s="382"/>
      <c r="AM273" s="382"/>
      <c r="AN273" s="382"/>
      <c r="AO273" s="382"/>
      <c r="AP273" s="382"/>
      <c r="AQ273" s="382"/>
      <c r="AR273" s="382"/>
      <c r="AS273" s="382"/>
      <c r="AT273" s="382"/>
      <c r="AU273" s="382"/>
      <c r="AV273" s="382"/>
      <c r="AW273" s="382"/>
      <c r="AX273" s="382"/>
      <c r="AY273" s="382"/>
      <c r="AZ273" s="382"/>
      <c r="BA273" s="382"/>
      <c r="BB273" s="382"/>
      <c r="BC273" s="382"/>
      <c r="BD273" s="382"/>
      <c r="BE273" s="382"/>
      <c r="BF273" s="382"/>
      <c r="BG273" s="382"/>
      <c r="BH273" s="382"/>
      <c r="BI273" s="382"/>
      <c r="BJ273" s="382"/>
      <c r="BK273" s="382"/>
      <c r="BL273" s="382"/>
      <c r="BM273" s="382"/>
      <c r="BN273" s="382"/>
      <c r="BO273" s="382"/>
    </row>
    <row r="274" spans="1:67" s="88" customFormat="1" ht="10.55" customHeight="1" x14ac:dyDescent="0.2">
      <c r="A274" s="1013" t="s">
        <v>409</v>
      </c>
      <c r="B274" s="2807"/>
      <c r="C274" s="2808"/>
      <c r="D274" s="2809"/>
      <c r="E274" s="2561"/>
      <c r="F274" s="2562"/>
      <c r="G274" s="1785">
        <v>20</v>
      </c>
      <c r="H274" s="524"/>
      <c r="I274" s="1409">
        <f t="shared" si="71"/>
        <v>6.4147128734474465E-2</v>
      </c>
      <c r="J274" s="1421">
        <f t="shared" si="72"/>
        <v>0</v>
      </c>
      <c r="K274" s="678">
        <v>1</v>
      </c>
      <c r="L274" s="1002"/>
      <c r="M274" s="1428">
        <f t="shared" si="73"/>
        <v>0</v>
      </c>
      <c r="N274" s="1106"/>
      <c r="O274" s="674">
        <f t="shared" si="74"/>
        <v>20</v>
      </c>
      <c r="P274" s="682"/>
      <c r="Q274" s="286"/>
      <c r="R274" s="287"/>
      <c r="S274" s="280"/>
      <c r="T274" s="280"/>
      <c r="U274" s="280"/>
      <c r="V274" s="280"/>
      <c r="W274" s="280"/>
      <c r="X274" s="280"/>
      <c r="Y274" s="280"/>
      <c r="Z274" s="284"/>
      <c r="AA274" s="284"/>
      <c r="AB274" s="284"/>
      <c r="AC274" s="284"/>
      <c r="AD274" s="284"/>
      <c r="AE274" s="284"/>
      <c r="AF274" s="447"/>
      <c r="AG274" s="447"/>
      <c r="AH274" s="447"/>
      <c r="AI274" s="382"/>
      <c r="AJ274" s="382"/>
      <c r="AK274" s="382"/>
      <c r="AL274" s="382"/>
      <c r="AM274" s="382"/>
      <c r="AN274" s="382"/>
      <c r="AO274" s="382"/>
      <c r="AP274" s="382"/>
      <c r="AQ274" s="382"/>
      <c r="AR274" s="382"/>
      <c r="AS274" s="382"/>
      <c r="AT274" s="382"/>
      <c r="AU274" s="382"/>
      <c r="AV274" s="382"/>
      <c r="AW274" s="382"/>
      <c r="AX274" s="382"/>
      <c r="AY274" s="382"/>
      <c r="AZ274" s="382"/>
      <c r="BA274" s="382"/>
      <c r="BB274" s="382"/>
      <c r="BC274" s="382"/>
      <c r="BD274" s="382"/>
      <c r="BE274" s="382"/>
      <c r="BF274" s="382"/>
      <c r="BG274" s="382"/>
      <c r="BH274" s="382"/>
      <c r="BI274" s="382"/>
      <c r="BJ274" s="382"/>
      <c r="BK274" s="382"/>
      <c r="BL274" s="382"/>
      <c r="BM274" s="382"/>
      <c r="BN274" s="382"/>
      <c r="BO274" s="382"/>
    </row>
    <row r="275" spans="1:67" s="88" customFormat="1" ht="10.55" customHeight="1" x14ac:dyDescent="0.2">
      <c r="A275" s="1013" t="s">
        <v>410</v>
      </c>
      <c r="B275" s="2807"/>
      <c r="C275" s="2808"/>
      <c r="D275" s="2809"/>
      <c r="E275" s="2561"/>
      <c r="F275" s="2562"/>
      <c r="G275" s="1785">
        <v>30</v>
      </c>
      <c r="H275" s="524"/>
      <c r="I275" s="1409">
        <f t="shared" si="71"/>
        <v>4.7777640736176463E-2</v>
      </c>
      <c r="J275" s="1421">
        <f t="shared" si="72"/>
        <v>0</v>
      </c>
      <c r="K275" s="678">
        <v>0.5</v>
      </c>
      <c r="L275" s="1002"/>
      <c r="M275" s="1428">
        <f t="shared" si="73"/>
        <v>0</v>
      </c>
      <c r="N275" s="1106"/>
      <c r="O275" s="674">
        <f t="shared" si="74"/>
        <v>30</v>
      </c>
      <c r="P275" s="682"/>
      <c r="Q275" s="286"/>
      <c r="R275" s="287"/>
      <c r="S275" s="280"/>
      <c r="T275" s="280"/>
      <c r="U275" s="280"/>
      <c r="V275" s="280"/>
      <c r="W275" s="280"/>
      <c r="X275" s="280"/>
      <c r="Y275" s="280"/>
      <c r="Z275" s="284"/>
      <c r="AA275" s="284"/>
      <c r="AB275" s="284"/>
      <c r="AC275" s="284"/>
      <c r="AD275" s="284"/>
      <c r="AE275" s="284"/>
      <c r="AF275" s="447"/>
      <c r="AG275" s="447"/>
      <c r="AH275" s="447"/>
      <c r="AI275" s="382"/>
      <c r="AJ275" s="382"/>
      <c r="AK275" s="382"/>
      <c r="AL275" s="382"/>
      <c r="AM275" s="382"/>
      <c r="AN275" s="382"/>
      <c r="AO275" s="382"/>
      <c r="AP275" s="382"/>
      <c r="AQ275" s="382"/>
      <c r="AR275" s="382"/>
      <c r="AS275" s="382"/>
      <c r="AT275" s="382"/>
      <c r="AU275" s="382"/>
      <c r="AV275" s="382"/>
      <c r="AW275" s="382"/>
      <c r="AX275" s="382"/>
      <c r="AY275" s="382"/>
      <c r="AZ275" s="382"/>
      <c r="BA275" s="382"/>
      <c r="BB275" s="382"/>
      <c r="BC275" s="382"/>
      <c r="BD275" s="382"/>
      <c r="BE275" s="382"/>
      <c r="BF275" s="382"/>
      <c r="BG275" s="382"/>
      <c r="BH275" s="382"/>
      <c r="BI275" s="382"/>
      <c r="BJ275" s="382"/>
      <c r="BK275" s="382"/>
      <c r="BL275" s="382"/>
      <c r="BM275" s="382"/>
      <c r="BN275" s="382"/>
      <c r="BO275" s="382"/>
    </row>
    <row r="276" spans="1:67" s="88" customFormat="1" ht="10.55" customHeight="1" x14ac:dyDescent="0.2">
      <c r="A276" s="1013" t="s">
        <v>283</v>
      </c>
      <c r="B276" s="2807"/>
      <c r="C276" s="2808"/>
      <c r="D276" s="2809"/>
      <c r="E276" s="2561"/>
      <c r="F276" s="2562"/>
      <c r="G276" s="1785">
        <v>15</v>
      </c>
      <c r="H276" s="524"/>
      <c r="I276" s="1409">
        <f t="shared" si="71"/>
        <v>8.0766456051533542E-2</v>
      </c>
      <c r="J276" s="1421">
        <f t="shared" si="72"/>
        <v>0</v>
      </c>
      <c r="K276" s="678">
        <v>2</v>
      </c>
      <c r="L276" s="1002"/>
      <c r="M276" s="1428">
        <f t="shared" si="73"/>
        <v>0</v>
      </c>
      <c r="N276" s="1106"/>
      <c r="O276" s="674">
        <f t="shared" si="74"/>
        <v>15</v>
      </c>
      <c r="P276" s="682"/>
      <c r="Q276" s="286"/>
      <c r="R276" s="287"/>
      <c r="S276" s="280"/>
      <c r="T276" s="280"/>
      <c r="U276" s="280"/>
      <c r="V276" s="280"/>
      <c r="W276" s="280"/>
      <c r="X276" s="280"/>
      <c r="Y276" s="280"/>
      <c r="Z276" s="284"/>
      <c r="AA276" s="284"/>
      <c r="AB276" s="284"/>
      <c r="AC276" s="284"/>
      <c r="AD276" s="284"/>
      <c r="AE276" s="284"/>
      <c r="AF276" s="447"/>
      <c r="AG276" s="447"/>
      <c r="AH276" s="447"/>
      <c r="AI276" s="382"/>
      <c r="AJ276" s="382"/>
      <c r="AK276" s="382"/>
      <c r="AL276" s="382"/>
      <c r="AM276" s="382"/>
      <c r="AN276" s="382"/>
      <c r="AO276" s="382"/>
      <c r="AP276" s="382"/>
      <c r="AQ276" s="382"/>
      <c r="AR276" s="382"/>
      <c r="AS276" s="382"/>
      <c r="AT276" s="382"/>
      <c r="AU276" s="382"/>
      <c r="AV276" s="382"/>
      <c r="AW276" s="382"/>
      <c r="AX276" s="382"/>
      <c r="AY276" s="382"/>
      <c r="AZ276" s="382"/>
      <c r="BA276" s="382"/>
      <c r="BB276" s="382"/>
      <c r="BC276" s="382"/>
      <c r="BD276" s="382"/>
      <c r="BE276" s="382"/>
      <c r="BF276" s="382"/>
      <c r="BG276" s="382"/>
      <c r="BH276" s="382"/>
      <c r="BI276" s="382"/>
      <c r="BJ276" s="382"/>
      <c r="BK276" s="382"/>
      <c r="BL276" s="382"/>
      <c r="BM276" s="382"/>
      <c r="BN276" s="382"/>
      <c r="BO276" s="382"/>
    </row>
    <row r="277" spans="1:67" s="88" customFormat="1" ht="10.55" customHeight="1" x14ac:dyDescent="0.2">
      <c r="A277" s="1013" t="s">
        <v>411</v>
      </c>
      <c r="B277" s="2807"/>
      <c r="C277" s="2808"/>
      <c r="D277" s="2809"/>
      <c r="E277" s="2561"/>
      <c r="F277" s="2562"/>
      <c r="G277" s="1785">
        <v>20</v>
      </c>
      <c r="H277" s="524"/>
      <c r="I277" s="1409">
        <f t="shared" si="71"/>
        <v>6.4147128734474465E-2</v>
      </c>
      <c r="J277" s="1421">
        <f t="shared" si="72"/>
        <v>0</v>
      </c>
      <c r="K277" s="678">
        <v>1</v>
      </c>
      <c r="L277" s="1002"/>
      <c r="M277" s="1428">
        <f t="shared" si="73"/>
        <v>0</v>
      </c>
      <c r="N277" s="1106"/>
      <c r="O277" s="674">
        <f t="shared" si="74"/>
        <v>20</v>
      </c>
      <c r="P277" s="682"/>
      <c r="Q277" s="286"/>
      <c r="R277" s="287"/>
      <c r="S277" s="280"/>
      <c r="T277" s="280"/>
      <c r="U277" s="280"/>
      <c r="V277" s="280"/>
      <c r="W277" s="280"/>
      <c r="X277" s="280"/>
      <c r="Y277" s="280"/>
      <c r="Z277" s="284"/>
      <c r="AA277" s="284"/>
      <c r="AB277" s="284"/>
      <c r="AC277" s="284"/>
      <c r="AD277" s="284"/>
      <c r="AE277" s="284"/>
      <c r="AF277" s="447"/>
      <c r="AG277" s="447"/>
      <c r="AH277" s="447"/>
      <c r="AI277" s="382"/>
      <c r="AJ277" s="382"/>
      <c r="AK277" s="382"/>
      <c r="AL277" s="382"/>
      <c r="AM277" s="382"/>
      <c r="AN277" s="382"/>
      <c r="AO277" s="382"/>
      <c r="AP277" s="382"/>
      <c r="AQ277" s="382"/>
      <c r="AR277" s="382"/>
      <c r="AS277" s="382"/>
      <c r="AT277" s="382"/>
      <c r="AU277" s="382"/>
      <c r="AV277" s="382"/>
      <c r="AW277" s="382"/>
      <c r="AX277" s="382"/>
      <c r="AY277" s="382"/>
      <c r="AZ277" s="382"/>
      <c r="BA277" s="382"/>
      <c r="BB277" s="382"/>
      <c r="BC277" s="382"/>
      <c r="BD277" s="382"/>
      <c r="BE277" s="382"/>
      <c r="BF277" s="382"/>
      <c r="BG277" s="382"/>
      <c r="BH277" s="382"/>
      <c r="BI277" s="382"/>
      <c r="BJ277" s="382"/>
      <c r="BK277" s="382"/>
      <c r="BL277" s="382"/>
      <c r="BM277" s="382"/>
      <c r="BN277" s="382"/>
      <c r="BO277" s="382"/>
    </row>
    <row r="278" spans="1:67" s="88" customFormat="1" ht="10.55" customHeight="1" x14ac:dyDescent="0.2">
      <c r="A278" s="1013" t="s">
        <v>412</v>
      </c>
      <c r="B278" s="2807"/>
      <c r="C278" s="2808"/>
      <c r="D278" s="2809"/>
      <c r="E278" s="2561"/>
      <c r="F278" s="2562"/>
      <c r="G278" s="1785">
        <v>20</v>
      </c>
      <c r="H278" s="524"/>
      <c r="I278" s="1409">
        <f t="shared" si="71"/>
        <v>6.4147128734474465E-2</v>
      </c>
      <c r="J278" s="1421">
        <f t="shared" si="72"/>
        <v>0</v>
      </c>
      <c r="K278" s="678">
        <v>1</v>
      </c>
      <c r="L278" s="1002"/>
      <c r="M278" s="1428">
        <f t="shared" si="73"/>
        <v>0</v>
      </c>
      <c r="N278" s="1106"/>
      <c r="O278" s="674">
        <f t="shared" si="74"/>
        <v>20</v>
      </c>
      <c r="P278" s="682"/>
      <c r="Q278" s="286"/>
      <c r="R278" s="287"/>
      <c r="S278" s="280"/>
      <c r="T278" s="280"/>
      <c r="U278" s="280"/>
      <c r="V278" s="280"/>
      <c r="W278" s="280"/>
      <c r="X278" s="280"/>
      <c r="Y278" s="280"/>
      <c r="Z278" s="284"/>
      <c r="AA278" s="284"/>
      <c r="AB278" s="284"/>
      <c r="AC278" s="284"/>
      <c r="AD278" s="284"/>
      <c r="AE278" s="284"/>
      <c r="AF278" s="447"/>
      <c r="AG278" s="447"/>
      <c r="AH278" s="447"/>
      <c r="AI278" s="382"/>
      <c r="AJ278" s="382"/>
      <c r="AK278" s="382"/>
      <c r="AL278" s="382"/>
      <c r="AM278" s="382"/>
      <c r="AN278" s="382"/>
      <c r="AO278" s="382"/>
      <c r="AP278" s="382"/>
      <c r="AQ278" s="382"/>
      <c r="AR278" s="382"/>
      <c r="AS278" s="382"/>
      <c r="AT278" s="382"/>
      <c r="AU278" s="382"/>
      <c r="AV278" s="382"/>
      <c r="AW278" s="382"/>
      <c r="AX278" s="382"/>
      <c r="AY278" s="382"/>
      <c r="AZ278" s="382"/>
      <c r="BA278" s="382"/>
      <c r="BB278" s="382"/>
      <c r="BC278" s="382"/>
      <c r="BD278" s="382"/>
      <c r="BE278" s="382"/>
      <c r="BF278" s="382"/>
      <c r="BG278" s="382"/>
      <c r="BH278" s="382"/>
      <c r="BI278" s="382"/>
      <c r="BJ278" s="382"/>
      <c r="BK278" s="382"/>
      <c r="BL278" s="382"/>
      <c r="BM278" s="382"/>
      <c r="BN278" s="382"/>
      <c r="BO278" s="382"/>
    </row>
    <row r="279" spans="1:67" s="88" customFormat="1" ht="10.55" customHeight="1" x14ac:dyDescent="0.2">
      <c r="A279" s="1013" t="s">
        <v>413</v>
      </c>
      <c r="B279" s="2807"/>
      <c r="C279" s="2808"/>
      <c r="D279" s="2809"/>
      <c r="E279" s="2561"/>
      <c r="F279" s="2562"/>
      <c r="G279" s="1785">
        <v>15</v>
      </c>
      <c r="H279" s="524"/>
      <c r="I279" s="1409">
        <f t="shared" si="71"/>
        <v>8.0766456051533542E-2</v>
      </c>
      <c r="J279" s="1421">
        <f t="shared" si="72"/>
        <v>0</v>
      </c>
      <c r="K279" s="678">
        <v>2.5</v>
      </c>
      <c r="L279" s="1002"/>
      <c r="M279" s="1428">
        <f t="shared" si="73"/>
        <v>0</v>
      </c>
      <c r="N279" s="1106"/>
      <c r="O279" s="674">
        <f t="shared" si="74"/>
        <v>15</v>
      </c>
      <c r="P279" s="682"/>
      <c r="Q279" s="286"/>
      <c r="R279" s="287"/>
      <c r="S279" s="280"/>
      <c r="T279" s="280"/>
      <c r="U279" s="280"/>
      <c r="V279" s="280"/>
      <c r="W279" s="280"/>
      <c r="X279" s="280"/>
      <c r="Y279" s="280"/>
      <c r="Z279" s="284"/>
      <c r="AA279" s="284"/>
      <c r="AB279" s="284"/>
      <c r="AC279" s="284"/>
      <c r="AD279" s="284"/>
      <c r="AE279" s="284"/>
      <c r="AF279" s="447"/>
      <c r="AG279" s="447"/>
      <c r="AH279" s="447"/>
      <c r="AI279" s="382"/>
      <c r="AJ279" s="382"/>
      <c r="AK279" s="382"/>
      <c r="AL279" s="382"/>
      <c r="AM279" s="382"/>
      <c r="AN279" s="382"/>
      <c r="AO279" s="382"/>
      <c r="AP279" s="382"/>
      <c r="AQ279" s="382"/>
      <c r="AR279" s="382"/>
      <c r="AS279" s="382"/>
      <c r="AT279" s="382"/>
      <c r="AU279" s="382"/>
      <c r="AV279" s="382"/>
      <c r="AW279" s="382"/>
      <c r="AX279" s="382"/>
      <c r="AY279" s="382"/>
      <c r="AZ279" s="382"/>
      <c r="BA279" s="382"/>
      <c r="BB279" s="382"/>
      <c r="BC279" s="382"/>
      <c r="BD279" s="382"/>
      <c r="BE279" s="382"/>
      <c r="BF279" s="382"/>
      <c r="BG279" s="382"/>
      <c r="BH279" s="382"/>
      <c r="BI279" s="382"/>
      <c r="BJ279" s="382"/>
      <c r="BK279" s="382"/>
      <c r="BL279" s="382"/>
      <c r="BM279" s="382"/>
      <c r="BN279" s="382"/>
      <c r="BO279" s="382"/>
    </row>
    <row r="280" spans="1:67" s="88" customFormat="1" ht="10.55" customHeight="1" x14ac:dyDescent="0.2">
      <c r="A280" s="1013" t="s">
        <v>414</v>
      </c>
      <c r="B280" s="2807"/>
      <c r="C280" s="2808"/>
      <c r="D280" s="2809"/>
      <c r="E280" s="2561"/>
      <c r="F280" s="2562"/>
      <c r="G280" s="1785">
        <v>15</v>
      </c>
      <c r="H280" s="524"/>
      <c r="I280" s="1409">
        <f t="shared" si="71"/>
        <v>8.0766456051533542E-2</v>
      </c>
      <c r="J280" s="1421">
        <f t="shared" si="72"/>
        <v>0</v>
      </c>
      <c r="K280" s="678">
        <v>2.5</v>
      </c>
      <c r="L280" s="1002"/>
      <c r="M280" s="1428">
        <f t="shared" si="73"/>
        <v>0</v>
      </c>
      <c r="N280" s="1106"/>
      <c r="O280" s="674">
        <f t="shared" si="74"/>
        <v>15</v>
      </c>
      <c r="P280" s="682"/>
      <c r="Q280" s="286"/>
      <c r="R280" s="287"/>
      <c r="S280" s="280"/>
      <c r="T280" s="280"/>
      <c r="U280" s="280"/>
      <c r="V280" s="280"/>
      <c r="W280" s="280"/>
      <c r="X280" s="280"/>
      <c r="Y280" s="280"/>
      <c r="Z280" s="284"/>
      <c r="AA280" s="284"/>
      <c r="AB280" s="284"/>
      <c r="AC280" s="284"/>
      <c r="AD280" s="284"/>
      <c r="AE280" s="284"/>
      <c r="AF280" s="447"/>
      <c r="AG280" s="447"/>
      <c r="AH280" s="447"/>
      <c r="AI280" s="382"/>
      <c r="AJ280" s="382"/>
      <c r="AK280" s="382"/>
      <c r="AL280" s="382"/>
      <c r="AM280" s="382"/>
      <c r="AN280" s="382"/>
      <c r="AO280" s="382"/>
      <c r="AP280" s="382"/>
      <c r="AQ280" s="382"/>
      <c r="AR280" s="382"/>
      <c r="AS280" s="382"/>
      <c r="AT280" s="382"/>
      <c r="AU280" s="382"/>
      <c r="AV280" s="382"/>
      <c r="AW280" s="382"/>
      <c r="AX280" s="382"/>
      <c r="AY280" s="382"/>
      <c r="AZ280" s="382"/>
      <c r="BA280" s="382"/>
      <c r="BB280" s="382"/>
      <c r="BC280" s="382"/>
      <c r="BD280" s="382"/>
      <c r="BE280" s="382"/>
      <c r="BF280" s="382"/>
      <c r="BG280" s="382"/>
      <c r="BH280" s="382"/>
      <c r="BI280" s="382"/>
      <c r="BJ280" s="382"/>
      <c r="BK280" s="382"/>
      <c r="BL280" s="382"/>
      <c r="BM280" s="382"/>
      <c r="BN280" s="382"/>
      <c r="BO280" s="382"/>
    </row>
    <row r="281" spans="1:67" s="88" customFormat="1" ht="10.55" customHeight="1" x14ac:dyDescent="0.2">
      <c r="A281" s="675"/>
      <c r="B281" s="2807"/>
      <c r="C281" s="2808"/>
      <c r="D281" s="2809"/>
      <c r="E281" s="2561"/>
      <c r="F281" s="2562"/>
      <c r="G281" s="1015"/>
      <c r="H281" s="524"/>
      <c r="I281" s="1409">
        <f t="shared" si="71"/>
        <v>0</v>
      </c>
      <c r="J281" s="1421">
        <f t="shared" si="72"/>
        <v>0</v>
      </c>
      <c r="K281" s="679"/>
      <c r="L281" s="1002"/>
      <c r="M281" s="1428">
        <f t="shared" si="73"/>
        <v>0</v>
      </c>
      <c r="N281" s="1106"/>
      <c r="O281" s="674">
        <f t="shared" si="74"/>
        <v>0</v>
      </c>
      <c r="P281" s="682"/>
      <c r="Q281" s="286"/>
      <c r="R281" s="287"/>
      <c r="S281" s="280"/>
      <c r="T281" s="280"/>
      <c r="U281" s="280"/>
      <c r="V281" s="280"/>
      <c r="W281" s="280"/>
      <c r="X281" s="280"/>
      <c r="Y281" s="280"/>
      <c r="Z281" s="284"/>
      <c r="AA281" s="284"/>
      <c r="AB281" s="284"/>
      <c r="AC281" s="284"/>
      <c r="AD281" s="284"/>
      <c r="AE281" s="284"/>
      <c r="AF281" s="447"/>
      <c r="AG281" s="447"/>
      <c r="AH281" s="447"/>
      <c r="AI281" s="382"/>
      <c r="AJ281" s="382"/>
      <c r="AK281" s="382"/>
      <c r="AL281" s="382"/>
      <c r="AM281" s="382"/>
      <c r="AN281" s="382"/>
      <c r="AO281" s="382"/>
      <c r="AP281" s="382"/>
      <c r="AQ281" s="382"/>
      <c r="AR281" s="382"/>
      <c r="AS281" s="382"/>
      <c r="AT281" s="382"/>
      <c r="AU281" s="382"/>
      <c r="AV281" s="382"/>
      <c r="AW281" s="382"/>
      <c r="AX281" s="382"/>
      <c r="AY281" s="382"/>
      <c r="AZ281" s="382"/>
      <c r="BA281" s="382"/>
      <c r="BB281" s="382"/>
      <c r="BC281" s="382"/>
      <c r="BD281" s="382"/>
      <c r="BE281" s="382"/>
      <c r="BF281" s="382"/>
      <c r="BG281" s="382"/>
      <c r="BH281" s="382"/>
      <c r="BI281" s="382"/>
      <c r="BJ281" s="382"/>
      <c r="BK281" s="382"/>
      <c r="BL281" s="382"/>
      <c r="BM281" s="382"/>
      <c r="BN281" s="382"/>
      <c r="BO281" s="382"/>
    </row>
    <row r="282" spans="1:67" s="88" customFormat="1" ht="10.55" customHeight="1" x14ac:dyDescent="0.2">
      <c r="A282" s="675"/>
      <c r="B282" s="2807"/>
      <c r="C282" s="2808"/>
      <c r="D282" s="2809"/>
      <c r="E282" s="2561"/>
      <c r="F282" s="2562"/>
      <c r="G282" s="1015"/>
      <c r="H282" s="524"/>
      <c r="I282" s="1409">
        <f t="shared" si="71"/>
        <v>0</v>
      </c>
      <c r="J282" s="1421">
        <f t="shared" si="72"/>
        <v>0</v>
      </c>
      <c r="K282" s="679"/>
      <c r="L282" s="1002"/>
      <c r="M282" s="1428">
        <f t="shared" si="73"/>
        <v>0</v>
      </c>
      <c r="N282" s="1106"/>
      <c r="O282" s="674">
        <f t="shared" si="74"/>
        <v>0</v>
      </c>
      <c r="P282" s="682"/>
      <c r="Q282" s="286"/>
      <c r="R282" s="287"/>
      <c r="S282" s="280"/>
      <c r="T282" s="280"/>
      <c r="U282" s="280"/>
      <c r="V282" s="280"/>
      <c r="W282" s="280"/>
      <c r="X282" s="280"/>
      <c r="Y282" s="280"/>
      <c r="Z282" s="284"/>
      <c r="AA282" s="284"/>
      <c r="AB282" s="284"/>
      <c r="AC282" s="284"/>
      <c r="AD282" s="284"/>
      <c r="AE282" s="284"/>
      <c r="AF282" s="447"/>
      <c r="AG282" s="447"/>
      <c r="AH282" s="447"/>
      <c r="AI282" s="382"/>
      <c r="AJ282" s="382"/>
      <c r="AK282" s="382"/>
      <c r="AL282" s="382"/>
      <c r="AM282" s="382"/>
      <c r="AN282" s="382"/>
      <c r="AO282" s="382"/>
      <c r="AP282" s="382"/>
      <c r="AQ282" s="382"/>
      <c r="AR282" s="382"/>
      <c r="AS282" s="382"/>
      <c r="AT282" s="382"/>
      <c r="AU282" s="382"/>
      <c r="AV282" s="382"/>
      <c r="AW282" s="382"/>
      <c r="AX282" s="382"/>
      <c r="AY282" s="382"/>
      <c r="AZ282" s="382"/>
      <c r="BA282" s="382"/>
      <c r="BB282" s="382"/>
      <c r="BC282" s="382"/>
      <c r="BD282" s="382"/>
      <c r="BE282" s="382"/>
      <c r="BF282" s="382"/>
      <c r="BG282" s="382"/>
      <c r="BH282" s="382"/>
      <c r="BI282" s="382"/>
      <c r="BJ282" s="382"/>
      <c r="BK282" s="382"/>
      <c r="BL282" s="382"/>
      <c r="BM282" s="382"/>
      <c r="BN282" s="382"/>
      <c r="BO282" s="382"/>
    </row>
    <row r="283" spans="1:67" s="88" customFormat="1" ht="10.55" customHeight="1" x14ac:dyDescent="0.2">
      <c r="A283" s="675"/>
      <c r="B283" s="2807"/>
      <c r="C283" s="2808"/>
      <c r="D283" s="2809"/>
      <c r="E283" s="2561"/>
      <c r="F283" s="2562"/>
      <c r="G283" s="1015"/>
      <c r="H283" s="524"/>
      <c r="I283" s="1409">
        <f t="shared" si="71"/>
        <v>0</v>
      </c>
      <c r="J283" s="1421">
        <f t="shared" si="72"/>
        <v>0</v>
      </c>
      <c r="K283" s="679"/>
      <c r="L283" s="1002"/>
      <c r="M283" s="1428">
        <f t="shared" si="73"/>
        <v>0</v>
      </c>
      <c r="N283" s="1106"/>
      <c r="O283" s="674">
        <f t="shared" si="74"/>
        <v>0</v>
      </c>
      <c r="P283" s="682"/>
      <c r="Q283" s="286"/>
      <c r="R283" s="287"/>
      <c r="S283" s="280"/>
      <c r="T283" s="280"/>
      <c r="U283" s="280"/>
      <c r="V283" s="280"/>
      <c r="W283" s="280"/>
      <c r="X283" s="280"/>
      <c r="Y283" s="280"/>
      <c r="Z283" s="284"/>
      <c r="AA283" s="284"/>
      <c r="AB283" s="284"/>
      <c r="AC283" s="284"/>
      <c r="AD283" s="284"/>
      <c r="AE283" s="284"/>
      <c r="AF283" s="447"/>
      <c r="AG283" s="447"/>
      <c r="AH283" s="447"/>
      <c r="AI283" s="382"/>
      <c r="AJ283" s="382"/>
      <c r="AK283" s="382"/>
      <c r="AL283" s="382"/>
      <c r="AM283" s="382"/>
      <c r="AN283" s="382"/>
      <c r="AO283" s="382"/>
      <c r="AP283" s="382"/>
      <c r="AQ283" s="382"/>
      <c r="AR283" s="382"/>
      <c r="AS283" s="382"/>
      <c r="AT283" s="382"/>
      <c r="AU283" s="382"/>
      <c r="AV283" s="382"/>
      <c r="AW283" s="382"/>
      <c r="AX283" s="382"/>
      <c r="AY283" s="382"/>
      <c r="AZ283" s="382"/>
      <c r="BA283" s="382"/>
      <c r="BB283" s="382"/>
      <c r="BC283" s="382"/>
      <c r="BD283" s="382"/>
      <c r="BE283" s="382"/>
      <c r="BF283" s="382"/>
      <c r="BG283" s="382"/>
      <c r="BH283" s="382"/>
      <c r="BI283" s="382"/>
      <c r="BJ283" s="382"/>
      <c r="BK283" s="382"/>
      <c r="BL283" s="382"/>
      <c r="BM283" s="382"/>
      <c r="BN283" s="382"/>
      <c r="BO283" s="382"/>
    </row>
    <row r="284" spans="1:67" s="88" customFormat="1" ht="10.55" customHeight="1" x14ac:dyDescent="0.2">
      <c r="A284" s="675"/>
      <c r="B284" s="2807"/>
      <c r="C284" s="2808"/>
      <c r="D284" s="2809"/>
      <c r="E284" s="2561"/>
      <c r="F284" s="2562"/>
      <c r="G284" s="1015"/>
      <c r="H284" s="524"/>
      <c r="I284" s="1409">
        <f t="shared" si="71"/>
        <v>0</v>
      </c>
      <c r="J284" s="1421">
        <f t="shared" si="72"/>
        <v>0</v>
      </c>
      <c r="K284" s="679"/>
      <c r="L284" s="1002"/>
      <c r="M284" s="1428">
        <f t="shared" si="73"/>
        <v>0</v>
      </c>
      <c r="N284" s="1106"/>
      <c r="O284" s="674">
        <f t="shared" si="74"/>
        <v>0</v>
      </c>
      <c r="P284" s="682"/>
      <c r="Q284" s="286"/>
      <c r="R284" s="287"/>
      <c r="S284" s="280"/>
      <c r="T284" s="280"/>
      <c r="U284" s="280"/>
      <c r="V284" s="280"/>
      <c r="W284" s="280"/>
      <c r="X284" s="280"/>
      <c r="Y284" s="280"/>
      <c r="Z284" s="284"/>
      <c r="AA284" s="284"/>
      <c r="AB284" s="284"/>
      <c r="AC284" s="284"/>
      <c r="AD284" s="284"/>
      <c r="AE284" s="284"/>
      <c r="AF284" s="447"/>
      <c r="AG284" s="447"/>
      <c r="AH284" s="447"/>
      <c r="AI284" s="382"/>
      <c r="AJ284" s="382"/>
      <c r="AK284" s="382"/>
      <c r="AL284" s="382"/>
      <c r="AM284" s="382"/>
      <c r="AN284" s="382"/>
      <c r="AO284" s="382"/>
      <c r="AP284" s="382"/>
      <c r="AQ284" s="382"/>
      <c r="AR284" s="382"/>
      <c r="AS284" s="382"/>
      <c r="AT284" s="382"/>
      <c r="AU284" s="382"/>
      <c r="AV284" s="382"/>
      <c r="AW284" s="382"/>
      <c r="AX284" s="382"/>
      <c r="AY284" s="382"/>
      <c r="AZ284" s="382"/>
      <c r="BA284" s="382"/>
      <c r="BB284" s="382"/>
      <c r="BC284" s="382"/>
      <c r="BD284" s="382"/>
      <c r="BE284" s="382"/>
      <c r="BF284" s="382"/>
      <c r="BG284" s="382"/>
      <c r="BH284" s="382"/>
      <c r="BI284" s="382"/>
      <c r="BJ284" s="382"/>
      <c r="BK284" s="382"/>
      <c r="BL284" s="382"/>
      <c r="BM284" s="382"/>
      <c r="BN284" s="382"/>
      <c r="BO284" s="382"/>
    </row>
    <row r="285" spans="1:67" s="88" customFormat="1" ht="10.55" customHeight="1" x14ac:dyDescent="0.2">
      <c r="A285" s="1085"/>
      <c r="B285" s="2804"/>
      <c r="C285" s="2805"/>
      <c r="D285" s="2806"/>
      <c r="E285" s="2793"/>
      <c r="F285" s="2794"/>
      <c r="G285" s="1086"/>
      <c r="H285" s="1087"/>
      <c r="I285" s="1437">
        <f t="shared" si="71"/>
        <v>0</v>
      </c>
      <c r="J285" s="1413"/>
      <c r="K285" s="1088"/>
      <c r="L285" s="1089"/>
      <c r="M285" s="1431">
        <f t="shared" si="73"/>
        <v>0</v>
      </c>
      <c r="N285" s="1106"/>
      <c r="O285" s="674">
        <f t="shared" si="74"/>
        <v>0</v>
      </c>
      <c r="P285" s="682"/>
      <c r="Q285" s="286"/>
      <c r="R285" s="287"/>
      <c r="S285" s="280"/>
      <c r="T285" s="280"/>
      <c r="U285" s="280"/>
      <c r="V285" s="280"/>
      <c r="W285" s="280"/>
      <c r="X285" s="280"/>
      <c r="Y285" s="280"/>
      <c r="Z285" s="284"/>
      <c r="AA285" s="284"/>
      <c r="AB285" s="284"/>
      <c r="AC285" s="284"/>
      <c r="AD285" s="284"/>
      <c r="AE285" s="284"/>
      <c r="AF285" s="447"/>
      <c r="AG285" s="447"/>
      <c r="AH285" s="447"/>
      <c r="AI285" s="382"/>
      <c r="AJ285" s="382"/>
      <c r="AK285" s="382"/>
      <c r="AL285" s="382"/>
      <c r="AM285" s="382"/>
      <c r="AN285" s="382"/>
      <c r="AO285" s="382"/>
      <c r="AP285" s="382"/>
      <c r="AQ285" s="382"/>
      <c r="AR285" s="382"/>
      <c r="AS285" s="382"/>
      <c r="AT285" s="382"/>
      <c r="AU285" s="382"/>
      <c r="AV285" s="382"/>
      <c r="AW285" s="382"/>
      <c r="AX285" s="382"/>
      <c r="AY285" s="382"/>
      <c r="AZ285" s="382"/>
      <c r="BA285" s="382"/>
      <c r="BB285" s="382"/>
      <c r="BC285" s="382"/>
      <c r="BD285" s="382"/>
      <c r="BE285" s="382"/>
      <c r="BF285" s="382"/>
      <c r="BG285" s="382"/>
      <c r="BH285" s="382"/>
      <c r="BI285" s="382"/>
      <c r="BJ285" s="382"/>
      <c r="BK285" s="382"/>
      <c r="BL285" s="382"/>
      <c r="BM285" s="382"/>
      <c r="BN285" s="382"/>
      <c r="BO285" s="382"/>
    </row>
    <row r="286" spans="1:67" s="88" customFormat="1" ht="10.55" customHeight="1" x14ac:dyDescent="0.2">
      <c r="A286" s="1011" t="s">
        <v>415</v>
      </c>
      <c r="B286" s="2783"/>
      <c r="C286" s="2784"/>
      <c r="D286" s="2785"/>
      <c r="E286" s="2810">
        <f>SUM(E287:E299)</f>
        <v>0</v>
      </c>
      <c r="F286" s="2811"/>
      <c r="G286" s="2747"/>
      <c r="H286" s="2748"/>
      <c r="I286" s="1435">
        <f>IF(E286=0,0,J286/E286)</f>
        <v>0</v>
      </c>
      <c r="J286" s="1423">
        <f>SUM(J287:J299)</f>
        <v>0</v>
      </c>
      <c r="K286" s="2749">
        <f>IF(E286=0,0,M286/E286*100)</f>
        <v>0</v>
      </c>
      <c r="L286" s="2750"/>
      <c r="M286" s="1430">
        <f>SUM(M287:M299)</f>
        <v>0</v>
      </c>
      <c r="N286" s="1106"/>
      <c r="O286" s="387">
        <f>IF(H286="",G286,H286)</f>
        <v>0</v>
      </c>
      <c r="P286" s="682"/>
      <c r="Q286" s="286"/>
      <c r="R286" s="287"/>
      <c r="S286" s="280"/>
      <c r="T286" s="280"/>
      <c r="U286" s="280"/>
      <c r="V286" s="280"/>
      <c r="W286" s="280"/>
      <c r="X286" s="280"/>
      <c r="Y286" s="280"/>
      <c r="Z286" s="284"/>
      <c r="AA286" s="284"/>
      <c r="AB286" s="284"/>
      <c r="AC286" s="284"/>
      <c r="AD286" s="284"/>
      <c r="AE286" s="284"/>
      <c r="AF286" s="447"/>
      <c r="AG286" s="447"/>
      <c r="AH286" s="447"/>
      <c r="AI286" s="382"/>
      <c r="AJ286" s="382"/>
      <c r="AK286" s="382"/>
      <c r="AL286" s="382"/>
      <c r="AM286" s="382"/>
      <c r="AN286" s="382"/>
      <c r="AO286" s="382"/>
      <c r="AP286" s="382"/>
      <c r="AQ286" s="382"/>
      <c r="AR286" s="382"/>
      <c r="AS286" s="382"/>
      <c r="AT286" s="382"/>
      <c r="AU286" s="382"/>
      <c r="AV286" s="382"/>
      <c r="AW286" s="382"/>
      <c r="AX286" s="382"/>
      <c r="AY286" s="382"/>
      <c r="AZ286" s="382"/>
      <c r="BA286" s="382"/>
      <c r="BB286" s="382"/>
      <c r="BC286" s="382"/>
      <c r="BD286" s="382"/>
      <c r="BE286" s="382"/>
      <c r="BF286" s="382"/>
      <c r="BG286" s="382"/>
      <c r="BH286" s="382"/>
      <c r="BI286" s="382"/>
      <c r="BJ286" s="382"/>
      <c r="BK286" s="382"/>
      <c r="BL286" s="382"/>
      <c r="BM286" s="382"/>
      <c r="BN286" s="382"/>
      <c r="BO286" s="382"/>
    </row>
    <row r="287" spans="1:67" s="88" customFormat="1" ht="10.55" customHeight="1" x14ac:dyDescent="0.2">
      <c r="A287" s="1013" t="s">
        <v>416</v>
      </c>
      <c r="B287" s="2790"/>
      <c r="C287" s="2791"/>
      <c r="D287" s="2792"/>
      <c r="E287" s="2734"/>
      <c r="F287" s="2735"/>
      <c r="G287" s="1785">
        <v>20</v>
      </c>
      <c r="H287" s="524"/>
      <c r="I287" s="1409">
        <f t="shared" ref="I287:I300" si="75">IF($O287&gt;0,-PMT(($I$9),$O287,1),0)</f>
        <v>6.4147128734474465E-2</v>
      </c>
      <c r="J287" s="1421">
        <f t="shared" ref="J287:J299" si="76">ROUND(E287*I287,0)</f>
        <v>0</v>
      </c>
      <c r="K287" s="687"/>
      <c r="L287" s="1003"/>
      <c r="M287" s="1428">
        <f t="shared" ref="M287:M300" si="77">ROUND(E287/100*IF(ISBLANK(L287),K287,L287),0)</f>
        <v>0</v>
      </c>
      <c r="N287" s="1106"/>
      <c r="O287" s="674">
        <f t="shared" ref="O287:O300" si="78">IF(ISBLANK(H287),G287,H287)</f>
        <v>20</v>
      </c>
      <c r="P287" s="682"/>
      <c r="Q287" s="286"/>
      <c r="R287" s="287"/>
      <c r="S287" s="280"/>
      <c r="T287" s="280"/>
      <c r="U287" s="280"/>
      <c r="V287" s="280"/>
      <c r="W287" s="280"/>
      <c r="X287" s="280"/>
      <c r="Y287" s="280"/>
      <c r="Z287" s="284"/>
      <c r="AA287" s="284"/>
      <c r="AB287" s="284"/>
      <c r="AC287" s="284"/>
      <c r="AD287" s="284"/>
      <c r="AE287" s="284"/>
      <c r="AF287" s="447"/>
      <c r="AG287" s="447"/>
      <c r="AH287" s="447"/>
      <c r="AI287" s="382"/>
      <c r="AJ287" s="382"/>
      <c r="AK287" s="382"/>
      <c r="AL287" s="382"/>
      <c r="AM287" s="382"/>
      <c r="AN287" s="382"/>
      <c r="AO287" s="382"/>
      <c r="AP287" s="382"/>
      <c r="AQ287" s="382"/>
      <c r="AR287" s="382"/>
      <c r="AS287" s="382"/>
      <c r="AT287" s="382"/>
      <c r="AU287" s="382"/>
      <c r="AV287" s="382"/>
      <c r="AW287" s="382"/>
      <c r="AX287" s="382"/>
      <c r="AY287" s="382"/>
      <c r="AZ287" s="382"/>
      <c r="BA287" s="382"/>
      <c r="BB287" s="382"/>
      <c r="BC287" s="382"/>
      <c r="BD287" s="382"/>
      <c r="BE287" s="382"/>
      <c r="BF287" s="382"/>
      <c r="BG287" s="382"/>
      <c r="BH287" s="382"/>
      <c r="BI287" s="382"/>
      <c r="BJ287" s="382"/>
      <c r="BK287" s="382"/>
      <c r="BL287" s="382"/>
      <c r="BM287" s="382"/>
      <c r="BN287" s="382"/>
      <c r="BO287" s="382"/>
    </row>
    <row r="288" spans="1:67" s="88" customFormat="1" ht="10.55" customHeight="1" x14ac:dyDescent="0.2">
      <c r="A288" s="1013" t="s">
        <v>417</v>
      </c>
      <c r="B288" s="2807"/>
      <c r="C288" s="2808"/>
      <c r="D288" s="2809"/>
      <c r="E288" s="2561"/>
      <c r="F288" s="2562"/>
      <c r="G288" s="1785">
        <v>20</v>
      </c>
      <c r="H288" s="524"/>
      <c r="I288" s="1409">
        <f t="shared" si="75"/>
        <v>6.4147128734474465E-2</v>
      </c>
      <c r="J288" s="1421">
        <f t="shared" si="76"/>
        <v>0</v>
      </c>
      <c r="K288" s="678"/>
      <c r="L288" s="1002"/>
      <c r="M288" s="1428">
        <f t="shared" si="77"/>
        <v>0</v>
      </c>
      <c r="N288" s="1106"/>
      <c r="O288" s="674">
        <f t="shared" si="78"/>
        <v>20</v>
      </c>
      <c r="P288" s="682"/>
      <c r="Q288" s="286"/>
      <c r="R288" s="287"/>
      <c r="S288" s="280"/>
      <c r="T288" s="280"/>
      <c r="U288" s="280"/>
      <c r="V288" s="280"/>
      <c r="W288" s="280"/>
      <c r="X288" s="280"/>
      <c r="Y288" s="280"/>
      <c r="Z288" s="284"/>
      <c r="AA288" s="284"/>
      <c r="AB288" s="284"/>
      <c r="AC288" s="284"/>
      <c r="AD288" s="284"/>
      <c r="AE288" s="284"/>
      <c r="AF288" s="447"/>
      <c r="AG288" s="447"/>
      <c r="AH288" s="447"/>
      <c r="AI288" s="382"/>
      <c r="AJ288" s="382"/>
      <c r="AK288" s="382"/>
      <c r="AL288" s="382"/>
      <c r="AM288" s="382"/>
      <c r="AN288" s="382"/>
      <c r="AO288" s="382"/>
      <c r="AP288" s="382"/>
      <c r="AQ288" s="382"/>
      <c r="AR288" s="382"/>
      <c r="AS288" s="382"/>
      <c r="AT288" s="382"/>
      <c r="AU288" s="382"/>
      <c r="AV288" s="382"/>
      <c r="AW288" s="382"/>
      <c r="AX288" s="382"/>
      <c r="AY288" s="382"/>
      <c r="AZ288" s="382"/>
      <c r="BA288" s="382"/>
      <c r="BB288" s="382"/>
      <c r="BC288" s="382"/>
      <c r="BD288" s="382"/>
      <c r="BE288" s="382"/>
      <c r="BF288" s="382"/>
      <c r="BG288" s="382"/>
      <c r="BH288" s="382"/>
      <c r="BI288" s="382"/>
      <c r="BJ288" s="382"/>
      <c r="BK288" s="382"/>
      <c r="BL288" s="382"/>
      <c r="BM288" s="382"/>
      <c r="BN288" s="382"/>
      <c r="BO288" s="382"/>
    </row>
    <row r="289" spans="1:67" s="88" customFormat="1" ht="10.55" customHeight="1" x14ac:dyDescent="0.2">
      <c r="A289" s="1013" t="s">
        <v>418</v>
      </c>
      <c r="B289" s="2807"/>
      <c r="C289" s="2808"/>
      <c r="D289" s="2809"/>
      <c r="E289" s="2561"/>
      <c r="F289" s="2562"/>
      <c r="G289" s="1785">
        <v>20</v>
      </c>
      <c r="H289" s="524"/>
      <c r="I289" s="1409">
        <f t="shared" si="75"/>
        <v>6.4147128734474465E-2</v>
      </c>
      <c r="J289" s="1421">
        <f t="shared" si="76"/>
        <v>0</v>
      </c>
      <c r="K289" s="678">
        <v>0.5</v>
      </c>
      <c r="L289" s="1002"/>
      <c r="M289" s="1428">
        <f t="shared" si="77"/>
        <v>0</v>
      </c>
      <c r="N289" s="1106"/>
      <c r="O289" s="674">
        <f t="shared" si="78"/>
        <v>20</v>
      </c>
      <c r="P289" s="682"/>
      <c r="Q289" s="286"/>
      <c r="R289" s="287"/>
      <c r="S289" s="280"/>
      <c r="T289" s="280"/>
      <c r="U289" s="280"/>
      <c r="V289" s="280"/>
      <c r="W289" s="280"/>
      <c r="X289" s="280"/>
      <c r="Y289" s="280"/>
      <c r="Z289" s="284"/>
      <c r="AA289" s="284"/>
      <c r="AB289" s="284"/>
      <c r="AC289" s="284"/>
      <c r="AD289" s="284"/>
      <c r="AE289" s="284"/>
      <c r="AF289" s="447"/>
      <c r="AG289" s="447"/>
      <c r="AH289" s="447"/>
      <c r="AI289" s="382"/>
      <c r="AJ289" s="382"/>
      <c r="AK289" s="382"/>
      <c r="AL289" s="382"/>
      <c r="AM289" s="382"/>
      <c r="AN289" s="382"/>
      <c r="AO289" s="382"/>
      <c r="AP289" s="382"/>
      <c r="AQ289" s="382"/>
      <c r="AR289" s="382"/>
      <c r="AS289" s="382"/>
      <c r="AT289" s="382"/>
      <c r="AU289" s="382"/>
      <c r="AV289" s="382"/>
      <c r="AW289" s="382"/>
      <c r="AX289" s="382"/>
      <c r="AY289" s="382"/>
      <c r="AZ289" s="382"/>
      <c r="BA289" s="382"/>
      <c r="BB289" s="382"/>
      <c r="BC289" s="382"/>
      <c r="BD289" s="382"/>
      <c r="BE289" s="382"/>
      <c r="BF289" s="382"/>
      <c r="BG289" s="382"/>
      <c r="BH289" s="382"/>
      <c r="BI289" s="382"/>
      <c r="BJ289" s="382"/>
      <c r="BK289" s="382"/>
      <c r="BL289" s="382"/>
      <c r="BM289" s="382"/>
      <c r="BN289" s="382"/>
      <c r="BO289" s="382"/>
    </row>
    <row r="290" spans="1:67" s="88" customFormat="1" ht="10.55" customHeight="1" x14ac:dyDescent="0.2">
      <c r="A290" s="1013" t="s">
        <v>419</v>
      </c>
      <c r="B290" s="2807"/>
      <c r="C290" s="2808"/>
      <c r="D290" s="2809"/>
      <c r="E290" s="2561"/>
      <c r="F290" s="2562"/>
      <c r="G290" s="1785">
        <v>20</v>
      </c>
      <c r="H290" s="524"/>
      <c r="I290" s="1409">
        <f t="shared" si="75"/>
        <v>6.4147128734474465E-2</v>
      </c>
      <c r="J290" s="1421">
        <f t="shared" si="76"/>
        <v>0</v>
      </c>
      <c r="K290" s="678"/>
      <c r="L290" s="1002"/>
      <c r="M290" s="1428">
        <f t="shared" si="77"/>
        <v>0</v>
      </c>
      <c r="N290" s="1106"/>
      <c r="O290" s="674">
        <f t="shared" si="78"/>
        <v>20</v>
      </c>
      <c r="P290" s="682"/>
      <c r="Q290" s="286"/>
      <c r="R290" s="287"/>
      <c r="S290" s="280"/>
      <c r="T290" s="280"/>
      <c r="U290" s="280"/>
      <c r="V290" s="280"/>
      <c r="W290" s="280"/>
      <c r="X290" s="280"/>
      <c r="Y290" s="280"/>
      <c r="Z290" s="284"/>
      <c r="AA290" s="284"/>
      <c r="AB290" s="284"/>
      <c r="AC290" s="284"/>
      <c r="AD290" s="284"/>
      <c r="AE290" s="284"/>
      <c r="AF290" s="447"/>
      <c r="AG290" s="447"/>
      <c r="AH290" s="447"/>
      <c r="AI290" s="382"/>
      <c r="AJ290" s="382"/>
      <c r="AK290" s="382"/>
      <c r="AL290" s="382"/>
      <c r="AM290" s="382"/>
      <c r="AN290" s="382"/>
      <c r="AO290" s="382"/>
      <c r="AP290" s="382"/>
      <c r="AQ290" s="382"/>
      <c r="AR290" s="382"/>
      <c r="AS290" s="382"/>
      <c r="AT290" s="382"/>
      <c r="AU290" s="382"/>
      <c r="AV290" s="382"/>
      <c r="AW290" s="382"/>
      <c r="AX290" s="382"/>
      <c r="AY290" s="382"/>
      <c r="AZ290" s="382"/>
      <c r="BA290" s="382"/>
      <c r="BB290" s="382"/>
      <c r="BC290" s="382"/>
      <c r="BD290" s="382"/>
      <c r="BE290" s="382"/>
      <c r="BF290" s="382"/>
      <c r="BG290" s="382"/>
      <c r="BH290" s="382"/>
      <c r="BI290" s="382"/>
      <c r="BJ290" s="382"/>
      <c r="BK290" s="382"/>
      <c r="BL290" s="382"/>
      <c r="BM290" s="382"/>
      <c r="BN290" s="382"/>
      <c r="BO290" s="382"/>
    </row>
    <row r="291" spans="1:67" s="88" customFormat="1" ht="10.55" customHeight="1" x14ac:dyDescent="0.2">
      <c r="A291" s="1013" t="s">
        <v>420</v>
      </c>
      <c r="B291" s="2807"/>
      <c r="C291" s="2808"/>
      <c r="D291" s="2809"/>
      <c r="E291" s="2561"/>
      <c r="F291" s="2562"/>
      <c r="G291" s="1785">
        <v>20</v>
      </c>
      <c r="H291" s="524"/>
      <c r="I291" s="1409">
        <f t="shared" si="75"/>
        <v>6.4147128734474465E-2</v>
      </c>
      <c r="J291" s="1421">
        <f t="shared" si="76"/>
        <v>0</v>
      </c>
      <c r="K291" s="678"/>
      <c r="L291" s="1002"/>
      <c r="M291" s="1428">
        <f t="shared" si="77"/>
        <v>0</v>
      </c>
      <c r="N291" s="1106"/>
      <c r="O291" s="674">
        <f t="shared" si="78"/>
        <v>20</v>
      </c>
      <c r="P291" s="682"/>
      <c r="Q291" s="286"/>
      <c r="R291" s="287"/>
      <c r="S291" s="280"/>
      <c r="T291" s="280"/>
      <c r="U291" s="280"/>
      <c r="V291" s="280"/>
      <c r="W291" s="280"/>
      <c r="X291" s="280"/>
      <c r="Y291" s="280"/>
      <c r="Z291" s="284"/>
      <c r="AA291" s="284"/>
      <c r="AB291" s="284"/>
      <c r="AC291" s="284"/>
      <c r="AD291" s="284"/>
      <c r="AE291" s="284"/>
      <c r="AF291" s="447"/>
      <c r="AG291" s="447"/>
      <c r="AH291" s="447"/>
      <c r="AI291" s="382"/>
      <c r="AJ291" s="382"/>
      <c r="AK291" s="382"/>
      <c r="AL291" s="382"/>
      <c r="AM291" s="382"/>
      <c r="AN291" s="382"/>
      <c r="AO291" s="382"/>
      <c r="AP291" s="382"/>
      <c r="AQ291" s="382"/>
      <c r="AR291" s="382"/>
      <c r="AS291" s="382"/>
      <c r="AT291" s="382"/>
      <c r="AU291" s="382"/>
      <c r="AV291" s="382"/>
      <c r="AW291" s="382"/>
      <c r="AX291" s="382"/>
      <c r="AY291" s="382"/>
      <c r="AZ291" s="382"/>
      <c r="BA291" s="382"/>
      <c r="BB291" s="382"/>
      <c r="BC291" s="382"/>
      <c r="BD291" s="382"/>
      <c r="BE291" s="382"/>
      <c r="BF291" s="382"/>
      <c r="BG291" s="382"/>
      <c r="BH291" s="382"/>
      <c r="BI291" s="382"/>
      <c r="BJ291" s="382"/>
      <c r="BK291" s="382"/>
      <c r="BL291" s="382"/>
      <c r="BM291" s="382"/>
      <c r="BN291" s="382"/>
      <c r="BO291" s="382"/>
    </row>
    <row r="292" spans="1:67" s="88" customFormat="1" ht="10.55" customHeight="1" x14ac:dyDescent="0.2">
      <c r="A292" s="1013" t="s">
        <v>421</v>
      </c>
      <c r="B292" s="2807"/>
      <c r="C292" s="2808"/>
      <c r="D292" s="2809"/>
      <c r="E292" s="2561"/>
      <c r="F292" s="2562"/>
      <c r="G292" s="1785">
        <v>20</v>
      </c>
      <c r="H292" s="524"/>
      <c r="I292" s="1409">
        <f t="shared" si="75"/>
        <v>6.4147128734474465E-2</v>
      </c>
      <c r="J292" s="1421">
        <f t="shared" si="76"/>
        <v>0</v>
      </c>
      <c r="K292" s="678">
        <v>2</v>
      </c>
      <c r="L292" s="1002"/>
      <c r="M292" s="1428">
        <f t="shared" si="77"/>
        <v>0</v>
      </c>
      <c r="N292" s="1106"/>
      <c r="O292" s="674">
        <f t="shared" si="78"/>
        <v>20</v>
      </c>
      <c r="P292" s="682"/>
      <c r="Q292" s="286"/>
      <c r="R292" s="287"/>
      <c r="S292" s="280"/>
      <c r="T292" s="280"/>
      <c r="U292" s="280"/>
      <c r="V292" s="280"/>
      <c r="W292" s="280"/>
      <c r="X292" s="280"/>
      <c r="Y292" s="280"/>
      <c r="Z292" s="284"/>
      <c r="AA292" s="284"/>
      <c r="AB292" s="284"/>
      <c r="AC292" s="284"/>
      <c r="AD292" s="284"/>
      <c r="AE292" s="284"/>
      <c r="AF292" s="447"/>
      <c r="AG292" s="447"/>
      <c r="AH292" s="447"/>
      <c r="AI292" s="382"/>
      <c r="AJ292" s="382"/>
      <c r="AK292" s="382"/>
      <c r="AL292" s="382"/>
      <c r="AM292" s="382"/>
      <c r="AN292" s="382"/>
      <c r="AO292" s="382"/>
      <c r="AP292" s="382"/>
      <c r="AQ292" s="382"/>
      <c r="AR292" s="382"/>
      <c r="AS292" s="382"/>
      <c r="AT292" s="382"/>
      <c r="AU292" s="382"/>
      <c r="AV292" s="382"/>
      <c r="AW292" s="382"/>
      <c r="AX292" s="382"/>
      <c r="AY292" s="382"/>
      <c r="AZ292" s="382"/>
      <c r="BA292" s="382"/>
      <c r="BB292" s="382"/>
      <c r="BC292" s="382"/>
      <c r="BD292" s="382"/>
      <c r="BE292" s="382"/>
      <c r="BF292" s="382"/>
      <c r="BG292" s="382"/>
      <c r="BH292" s="382"/>
      <c r="BI292" s="382"/>
      <c r="BJ292" s="382"/>
      <c r="BK292" s="382"/>
      <c r="BL292" s="382"/>
      <c r="BM292" s="382"/>
      <c r="BN292" s="382"/>
      <c r="BO292" s="382"/>
    </row>
    <row r="293" spans="1:67" s="88" customFormat="1" ht="10.55" customHeight="1" x14ac:dyDescent="0.2">
      <c r="A293" s="1013" t="s">
        <v>422</v>
      </c>
      <c r="B293" s="2807"/>
      <c r="C293" s="2808"/>
      <c r="D293" s="2809"/>
      <c r="E293" s="2561"/>
      <c r="F293" s="2562"/>
      <c r="G293" s="1785">
        <v>20</v>
      </c>
      <c r="H293" s="524"/>
      <c r="I293" s="1409">
        <f t="shared" si="75"/>
        <v>6.4147128734474465E-2</v>
      </c>
      <c r="J293" s="1421">
        <f t="shared" si="76"/>
        <v>0</v>
      </c>
      <c r="K293" s="678"/>
      <c r="L293" s="1002"/>
      <c r="M293" s="1428">
        <f t="shared" si="77"/>
        <v>0</v>
      </c>
      <c r="N293" s="1106"/>
      <c r="O293" s="674">
        <f t="shared" si="78"/>
        <v>20</v>
      </c>
      <c r="P293" s="682"/>
      <c r="Q293" s="286"/>
      <c r="R293" s="287"/>
      <c r="S293" s="280"/>
      <c r="T293" s="280"/>
      <c r="U293" s="280"/>
      <c r="V293" s="280"/>
      <c r="W293" s="280"/>
      <c r="X293" s="280"/>
      <c r="Y293" s="280"/>
      <c r="Z293" s="284"/>
      <c r="AA293" s="284"/>
      <c r="AB293" s="284"/>
      <c r="AC293" s="284"/>
      <c r="AD293" s="284"/>
      <c r="AE293" s="284"/>
      <c r="AF293" s="447"/>
      <c r="AG293" s="447"/>
      <c r="AH293" s="447"/>
      <c r="AI293" s="382"/>
      <c r="AJ293" s="382"/>
      <c r="AK293" s="382"/>
      <c r="AL293" s="382"/>
      <c r="AM293" s="382"/>
      <c r="AN293" s="382"/>
      <c r="AO293" s="382"/>
      <c r="AP293" s="382"/>
      <c r="AQ293" s="382"/>
      <c r="AR293" s="382"/>
      <c r="AS293" s="382"/>
      <c r="AT293" s="382"/>
      <c r="AU293" s="382"/>
      <c r="AV293" s="382"/>
      <c r="AW293" s="382"/>
      <c r="AX293" s="382"/>
      <c r="AY293" s="382"/>
      <c r="AZ293" s="382"/>
      <c r="BA293" s="382"/>
      <c r="BB293" s="382"/>
      <c r="BC293" s="382"/>
      <c r="BD293" s="382"/>
      <c r="BE293" s="382"/>
      <c r="BF293" s="382"/>
      <c r="BG293" s="382"/>
      <c r="BH293" s="382"/>
      <c r="BI293" s="382"/>
      <c r="BJ293" s="382"/>
      <c r="BK293" s="382"/>
      <c r="BL293" s="382"/>
      <c r="BM293" s="382"/>
      <c r="BN293" s="382"/>
      <c r="BO293" s="382"/>
    </row>
    <row r="294" spans="1:67" s="88" customFormat="1" ht="10.55" customHeight="1" x14ac:dyDescent="0.2">
      <c r="A294" s="1013" t="s">
        <v>423</v>
      </c>
      <c r="B294" s="2807"/>
      <c r="C294" s="2808"/>
      <c r="D294" s="2809"/>
      <c r="E294" s="2561"/>
      <c r="F294" s="2562"/>
      <c r="G294" s="1785">
        <v>20</v>
      </c>
      <c r="H294" s="524"/>
      <c r="I294" s="1409">
        <f t="shared" si="75"/>
        <v>6.4147128734474465E-2</v>
      </c>
      <c r="J294" s="1421">
        <f t="shared" si="76"/>
        <v>0</v>
      </c>
      <c r="K294" s="678"/>
      <c r="L294" s="1002"/>
      <c r="M294" s="1428">
        <f t="shared" si="77"/>
        <v>0</v>
      </c>
      <c r="N294" s="1106"/>
      <c r="O294" s="674">
        <f t="shared" si="78"/>
        <v>20</v>
      </c>
      <c r="P294" s="682"/>
      <c r="Q294" s="286"/>
      <c r="R294" s="287"/>
      <c r="S294" s="280"/>
      <c r="T294" s="280"/>
      <c r="U294" s="280"/>
      <c r="V294" s="280"/>
      <c r="W294" s="280"/>
      <c r="X294" s="280"/>
      <c r="Y294" s="280"/>
      <c r="Z294" s="284"/>
      <c r="AA294" s="284"/>
      <c r="AB294" s="284"/>
      <c r="AC294" s="284"/>
      <c r="AD294" s="284"/>
      <c r="AE294" s="284"/>
      <c r="AF294" s="447"/>
      <c r="AG294" s="447"/>
      <c r="AH294" s="447"/>
      <c r="AI294" s="382"/>
      <c r="AJ294" s="382"/>
      <c r="AK294" s="382"/>
      <c r="AL294" s="382"/>
      <c r="AM294" s="382"/>
      <c r="AN294" s="382"/>
      <c r="AO294" s="382"/>
      <c r="AP294" s="382"/>
      <c r="AQ294" s="382"/>
      <c r="AR294" s="382"/>
      <c r="AS294" s="382"/>
      <c r="AT294" s="382"/>
      <c r="AU294" s="382"/>
      <c r="AV294" s="382"/>
      <c r="AW294" s="382"/>
      <c r="AX294" s="382"/>
      <c r="AY294" s="382"/>
      <c r="AZ294" s="382"/>
      <c r="BA294" s="382"/>
      <c r="BB294" s="382"/>
      <c r="BC294" s="382"/>
      <c r="BD294" s="382"/>
      <c r="BE294" s="382"/>
      <c r="BF294" s="382"/>
      <c r="BG294" s="382"/>
      <c r="BH294" s="382"/>
      <c r="BI294" s="382"/>
      <c r="BJ294" s="382"/>
      <c r="BK294" s="382"/>
      <c r="BL294" s="382"/>
      <c r="BM294" s="382"/>
      <c r="BN294" s="382"/>
      <c r="BO294" s="382"/>
    </row>
    <row r="295" spans="1:67" s="88" customFormat="1" ht="10.55" customHeight="1" x14ac:dyDescent="0.2">
      <c r="A295" s="675"/>
      <c r="B295" s="2807"/>
      <c r="C295" s="2808"/>
      <c r="D295" s="2809"/>
      <c r="E295" s="2561"/>
      <c r="F295" s="2562"/>
      <c r="G295" s="1015"/>
      <c r="H295" s="524"/>
      <c r="I295" s="1409">
        <f t="shared" si="75"/>
        <v>0</v>
      </c>
      <c r="J295" s="1421">
        <f t="shared" si="76"/>
        <v>0</v>
      </c>
      <c r="K295" s="679"/>
      <c r="L295" s="1002"/>
      <c r="M295" s="1428">
        <f t="shared" si="77"/>
        <v>0</v>
      </c>
      <c r="N295" s="1106"/>
      <c r="O295" s="674">
        <f t="shared" si="78"/>
        <v>0</v>
      </c>
      <c r="P295" s="682"/>
      <c r="Q295" s="286"/>
      <c r="R295" s="287"/>
      <c r="S295" s="280"/>
      <c r="T295" s="280"/>
      <c r="U295" s="280"/>
      <c r="V295" s="280"/>
      <c r="W295" s="280"/>
      <c r="X295" s="280"/>
      <c r="Y295" s="280"/>
      <c r="Z295" s="284"/>
      <c r="AA295" s="284"/>
      <c r="AB295" s="284"/>
      <c r="AC295" s="284"/>
      <c r="AD295" s="284"/>
      <c r="AE295" s="284"/>
      <c r="AF295" s="447"/>
      <c r="AG295" s="447"/>
      <c r="AH295" s="447"/>
      <c r="AI295" s="382"/>
      <c r="AJ295" s="382"/>
      <c r="AK295" s="382"/>
      <c r="AL295" s="382"/>
      <c r="AM295" s="382"/>
      <c r="AN295" s="382"/>
      <c r="AO295" s="382"/>
      <c r="AP295" s="382"/>
      <c r="AQ295" s="382"/>
      <c r="AR295" s="382"/>
      <c r="AS295" s="382"/>
      <c r="AT295" s="382"/>
      <c r="AU295" s="382"/>
      <c r="AV295" s="382"/>
      <c r="AW295" s="382"/>
      <c r="AX295" s="382"/>
      <c r="AY295" s="382"/>
      <c r="AZ295" s="382"/>
      <c r="BA295" s="382"/>
      <c r="BB295" s="382"/>
      <c r="BC295" s="382"/>
      <c r="BD295" s="382"/>
      <c r="BE295" s="382"/>
      <c r="BF295" s="382"/>
      <c r="BG295" s="382"/>
      <c r="BH295" s="382"/>
      <c r="BI295" s="382"/>
      <c r="BJ295" s="382"/>
      <c r="BK295" s="382"/>
      <c r="BL295" s="382"/>
      <c r="BM295" s="382"/>
      <c r="BN295" s="382"/>
      <c r="BO295" s="382"/>
    </row>
    <row r="296" spans="1:67" s="88" customFormat="1" ht="10.55" customHeight="1" x14ac:dyDescent="0.2">
      <c r="A296" s="675"/>
      <c r="B296" s="2807"/>
      <c r="C296" s="2808"/>
      <c r="D296" s="2809"/>
      <c r="E296" s="2561"/>
      <c r="F296" s="2562"/>
      <c r="G296" s="1015"/>
      <c r="H296" s="524"/>
      <c r="I296" s="1409">
        <f t="shared" si="75"/>
        <v>0</v>
      </c>
      <c r="J296" s="1421">
        <f t="shared" si="76"/>
        <v>0</v>
      </c>
      <c r="K296" s="679"/>
      <c r="L296" s="1002"/>
      <c r="M296" s="1428">
        <f t="shared" si="77"/>
        <v>0</v>
      </c>
      <c r="N296" s="1106"/>
      <c r="O296" s="674">
        <f t="shared" si="78"/>
        <v>0</v>
      </c>
      <c r="P296" s="682"/>
      <c r="Q296" s="286"/>
      <c r="R296" s="287"/>
      <c r="S296" s="280"/>
      <c r="T296" s="280"/>
      <c r="U296" s="280"/>
      <c r="V296" s="280"/>
      <c r="W296" s="280"/>
      <c r="X296" s="280"/>
      <c r="Y296" s="280"/>
      <c r="Z296" s="284"/>
      <c r="AA296" s="284"/>
      <c r="AB296" s="284"/>
      <c r="AC296" s="284"/>
      <c r="AD296" s="284"/>
      <c r="AE296" s="284"/>
      <c r="AF296" s="447"/>
      <c r="AG296" s="447"/>
      <c r="AH296" s="447"/>
      <c r="AI296" s="382"/>
      <c r="AJ296" s="382"/>
      <c r="AK296" s="382"/>
      <c r="AL296" s="382"/>
      <c r="AM296" s="382"/>
      <c r="AN296" s="382"/>
      <c r="AO296" s="382"/>
      <c r="AP296" s="382"/>
      <c r="AQ296" s="382"/>
      <c r="AR296" s="382"/>
      <c r="AS296" s="382"/>
      <c r="AT296" s="382"/>
      <c r="AU296" s="382"/>
      <c r="AV296" s="382"/>
      <c r="AW296" s="382"/>
      <c r="AX296" s="382"/>
      <c r="AY296" s="382"/>
      <c r="AZ296" s="382"/>
      <c r="BA296" s="382"/>
      <c r="BB296" s="382"/>
      <c r="BC296" s="382"/>
      <c r="BD296" s="382"/>
      <c r="BE296" s="382"/>
      <c r="BF296" s="382"/>
      <c r="BG296" s="382"/>
      <c r="BH296" s="382"/>
      <c r="BI296" s="382"/>
      <c r="BJ296" s="382"/>
      <c r="BK296" s="382"/>
      <c r="BL296" s="382"/>
      <c r="BM296" s="382"/>
      <c r="BN296" s="382"/>
      <c r="BO296" s="382"/>
    </row>
    <row r="297" spans="1:67" s="88" customFormat="1" ht="10.55" customHeight="1" x14ac:dyDescent="0.2">
      <c r="A297" s="675"/>
      <c r="B297" s="2807"/>
      <c r="C297" s="2808"/>
      <c r="D297" s="2809"/>
      <c r="E297" s="2561"/>
      <c r="F297" s="2562"/>
      <c r="G297" s="1015"/>
      <c r="H297" s="524"/>
      <c r="I297" s="1409">
        <f t="shared" si="75"/>
        <v>0</v>
      </c>
      <c r="J297" s="1421">
        <f t="shared" si="76"/>
        <v>0</v>
      </c>
      <c r="K297" s="679"/>
      <c r="L297" s="1002"/>
      <c r="M297" s="1428">
        <f t="shared" si="77"/>
        <v>0</v>
      </c>
      <c r="N297" s="1106"/>
      <c r="O297" s="674">
        <f t="shared" si="78"/>
        <v>0</v>
      </c>
      <c r="P297" s="682"/>
      <c r="Q297" s="286"/>
      <c r="R297" s="287"/>
      <c r="S297" s="280"/>
      <c r="T297" s="280"/>
      <c r="U297" s="280"/>
      <c r="V297" s="280"/>
      <c r="W297" s="280"/>
      <c r="X297" s="280"/>
      <c r="Y297" s="280"/>
      <c r="Z297" s="284"/>
      <c r="AA297" s="284"/>
      <c r="AB297" s="284"/>
      <c r="AC297" s="284"/>
      <c r="AD297" s="284"/>
      <c r="AE297" s="284"/>
      <c r="AF297" s="447"/>
      <c r="AG297" s="447"/>
      <c r="AH297" s="447"/>
      <c r="AI297" s="382"/>
      <c r="AJ297" s="382"/>
      <c r="AK297" s="382"/>
      <c r="AL297" s="382"/>
      <c r="AM297" s="382"/>
      <c r="AN297" s="382"/>
      <c r="AO297" s="382"/>
      <c r="AP297" s="382"/>
      <c r="AQ297" s="382"/>
      <c r="AR297" s="382"/>
      <c r="AS297" s="382"/>
      <c r="AT297" s="382"/>
      <c r="AU297" s="382"/>
      <c r="AV297" s="382"/>
      <c r="AW297" s="382"/>
      <c r="AX297" s="382"/>
      <c r="AY297" s="382"/>
      <c r="AZ297" s="382"/>
      <c r="BA297" s="382"/>
      <c r="BB297" s="382"/>
      <c r="BC297" s="382"/>
      <c r="BD297" s="382"/>
      <c r="BE297" s="382"/>
      <c r="BF297" s="382"/>
      <c r="BG297" s="382"/>
      <c r="BH297" s="382"/>
      <c r="BI297" s="382"/>
      <c r="BJ297" s="382"/>
      <c r="BK297" s="382"/>
      <c r="BL297" s="382"/>
      <c r="BM297" s="382"/>
      <c r="BN297" s="382"/>
      <c r="BO297" s="382"/>
    </row>
    <row r="298" spans="1:67" s="88" customFormat="1" ht="10.55" customHeight="1" x14ac:dyDescent="0.2">
      <c r="A298" s="675"/>
      <c r="B298" s="2807"/>
      <c r="C298" s="2808"/>
      <c r="D298" s="2809"/>
      <c r="E298" s="2561"/>
      <c r="F298" s="2562"/>
      <c r="G298" s="1015"/>
      <c r="H298" s="524"/>
      <c r="I298" s="1409">
        <f t="shared" si="75"/>
        <v>0</v>
      </c>
      <c r="J298" s="1421">
        <f t="shared" si="76"/>
        <v>0</v>
      </c>
      <c r="K298" s="679"/>
      <c r="L298" s="1002"/>
      <c r="M298" s="1428">
        <f t="shared" si="77"/>
        <v>0</v>
      </c>
      <c r="N298" s="1106"/>
      <c r="O298" s="674">
        <f t="shared" si="78"/>
        <v>0</v>
      </c>
      <c r="P298" s="682"/>
      <c r="Q298" s="286"/>
      <c r="R298" s="287"/>
      <c r="S298" s="280"/>
      <c r="T298" s="280"/>
      <c r="U298" s="280"/>
      <c r="V298" s="280"/>
      <c r="W298" s="280"/>
      <c r="X298" s="280"/>
      <c r="Y298" s="280"/>
      <c r="Z298" s="284"/>
      <c r="AA298" s="284"/>
      <c r="AB298" s="284"/>
      <c r="AC298" s="284"/>
      <c r="AD298" s="284"/>
      <c r="AE298" s="284"/>
      <c r="AF298" s="447"/>
      <c r="AG298" s="447"/>
      <c r="AH298" s="447"/>
      <c r="AI298" s="382"/>
      <c r="AJ298" s="382"/>
      <c r="AK298" s="382"/>
      <c r="AL298" s="382"/>
      <c r="AM298" s="382"/>
      <c r="AN298" s="382"/>
      <c r="AO298" s="382"/>
      <c r="AP298" s="382"/>
      <c r="AQ298" s="382"/>
      <c r="AR298" s="382"/>
      <c r="AS298" s="382"/>
      <c r="AT298" s="382"/>
      <c r="AU298" s="382"/>
      <c r="AV298" s="382"/>
      <c r="AW298" s="382"/>
      <c r="AX298" s="382"/>
      <c r="AY298" s="382"/>
      <c r="AZ298" s="382"/>
      <c r="BA298" s="382"/>
      <c r="BB298" s="382"/>
      <c r="BC298" s="382"/>
      <c r="BD298" s="382"/>
      <c r="BE298" s="382"/>
      <c r="BF298" s="382"/>
      <c r="BG298" s="382"/>
      <c r="BH298" s="382"/>
      <c r="BI298" s="382"/>
      <c r="BJ298" s="382"/>
      <c r="BK298" s="382"/>
      <c r="BL298" s="382"/>
      <c r="BM298" s="382"/>
      <c r="BN298" s="382"/>
      <c r="BO298" s="382"/>
    </row>
    <row r="299" spans="1:67" s="88" customFormat="1" ht="10.55" customHeight="1" x14ac:dyDescent="0.2">
      <c r="A299" s="675"/>
      <c r="B299" s="2807"/>
      <c r="C299" s="2808"/>
      <c r="D299" s="2809"/>
      <c r="E299" s="2561"/>
      <c r="F299" s="2562"/>
      <c r="G299" s="1015"/>
      <c r="H299" s="524"/>
      <c r="I299" s="1409">
        <f t="shared" si="75"/>
        <v>0</v>
      </c>
      <c r="J299" s="1421">
        <f t="shared" si="76"/>
        <v>0</v>
      </c>
      <c r="K299" s="679"/>
      <c r="L299" s="1002"/>
      <c r="M299" s="1428">
        <f t="shared" si="77"/>
        <v>0</v>
      </c>
      <c r="N299" s="1106"/>
      <c r="O299" s="674">
        <f t="shared" si="78"/>
        <v>0</v>
      </c>
      <c r="P299" s="682"/>
      <c r="Q299" s="286"/>
      <c r="R299" s="287"/>
      <c r="S299" s="280"/>
      <c r="T299" s="280"/>
      <c r="U299" s="280"/>
      <c r="V299" s="280"/>
      <c r="W299" s="280"/>
      <c r="X299" s="280"/>
      <c r="Y299" s="280"/>
      <c r="Z299" s="284"/>
      <c r="AA299" s="284"/>
      <c r="AB299" s="284"/>
      <c r="AC299" s="284"/>
      <c r="AD299" s="284"/>
      <c r="AE299" s="284"/>
      <c r="AF299" s="447"/>
      <c r="AG299" s="447"/>
      <c r="AH299" s="447"/>
      <c r="AI299" s="382"/>
      <c r="AJ299" s="382"/>
      <c r="AK299" s="382"/>
      <c r="AL299" s="382"/>
      <c r="AM299" s="382"/>
      <c r="AN299" s="382"/>
      <c r="AO299" s="382"/>
      <c r="AP299" s="382"/>
      <c r="AQ299" s="382"/>
      <c r="AR299" s="382"/>
      <c r="AS299" s="382"/>
      <c r="AT299" s="382"/>
      <c r="AU299" s="382"/>
      <c r="AV299" s="382"/>
      <c r="AW299" s="382"/>
      <c r="AX299" s="382"/>
      <c r="AY299" s="382"/>
      <c r="AZ299" s="382"/>
      <c r="BA299" s="382"/>
      <c r="BB299" s="382"/>
      <c r="BC299" s="382"/>
      <c r="BD299" s="382"/>
      <c r="BE299" s="382"/>
      <c r="BF299" s="382"/>
      <c r="BG299" s="382"/>
      <c r="BH299" s="382"/>
      <c r="BI299" s="382"/>
      <c r="BJ299" s="382"/>
      <c r="BK299" s="382"/>
      <c r="BL299" s="382"/>
      <c r="BM299" s="382"/>
      <c r="BN299" s="382"/>
      <c r="BO299" s="382"/>
    </row>
    <row r="300" spans="1:67" s="88" customFormat="1" ht="10.55" customHeight="1" x14ac:dyDescent="0.2">
      <c r="A300" s="1085"/>
      <c r="B300" s="2804"/>
      <c r="C300" s="2805"/>
      <c r="D300" s="2806"/>
      <c r="E300" s="2793"/>
      <c r="F300" s="2794"/>
      <c r="G300" s="1086"/>
      <c r="H300" s="1087"/>
      <c r="I300" s="1437">
        <f t="shared" si="75"/>
        <v>0</v>
      </c>
      <c r="J300" s="1413"/>
      <c r="K300" s="1088"/>
      <c r="L300" s="1089"/>
      <c r="M300" s="1431">
        <f t="shared" si="77"/>
        <v>0</v>
      </c>
      <c r="N300" s="1106"/>
      <c r="O300" s="674">
        <f t="shared" si="78"/>
        <v>0</v>
      </c>
      <c r="P300" s="682"/>
      <c r="Q300" s="286"/>
      <c r="R300" s="287"/>
      <c r="S300" s="280"/>
      <c r="T300" s="280"/>
      <c r="U300" s="280"/>
      <c r="V300" s="280"/>
      <c r="W300" s="280"/>
      <c r="X300" s="280"/>
      <c r="Y300" s="280"/>
      <c r="Z300" s="284"/>
      <c r="AA300" s="284"/>
      <c r="AB300" s="284"/>
      <c r="AC300" s="284"/>
      <c r="AD300" s="284"/>
      <c r="AE300" s="284"/>
      <c r="AF300" s="447"/>
      <c r="AG300" s="447"/>
      <c r="AH300" s="447"/>
      <c r="AI300" s="382"/>
      <c r="AJ300" s="382"/>
      <c r="AK300" s="382"/>
      <c r="AL300" s="382"/>
      <c r="AM300" s="382"/>
      <c r="AN300" s="382"/>
      <c r="AO300" s="382"/>
      <c r="AP300" s="382"/>
      <c r="AQ300" s="382"/>
      <c r="AR300" s="382"/>
      <c r="AS300" s="382"/>
      <c r="AT300" s="382"/>
      <c r="AU300" s="382"/>
      <c r="AV300" s="382"/>
      <c r="AW300" s="382"/>
      <c r="AX300" s="382"/>
      <c r="AY300" s="382"/>
      <c r="AZ300" s="382"/>
      <c r="BA300" s="382"/>
      <c r="BB300" s="382"/>
      <c r="BC300" s="382"/>
      <c r="BD300" s="382"/>
      <c r="BE300" s="382"/>
      <c r="BF300" s="382"/>
      <c r="BG300" s="382"/>
      <c r="BH300" s="382"/>
      <c r="BI300" s="382"/>
      <c r="BJ300" s="382"/>
      <c r="BK300" s="382"/>
      <c r="BL300" s="382"/>
      <c r="BM300" s="382"/>
      <c r="BN300" s="382"/>
      <c r="BO300" s="382"/>
    </row>
    <row r="301" spans="1:67" s="88" customFormat="1" ht="10.55" customHeight="1" x14ac:dyDescent="0.2">
      <c r="A301" s="1011" t="s">
        <v>424</v>
      </c>
      <c r="B301" s="2783"/>
      <c r="C301" s="2784"/>
      <c r="D301" s="2785"/>
      <c r="E301" s="2810">
        <f>SUM(E302:E314)</f>
        <v>0</v>
      </c>
      <c r="F301" s="2811"/>
      <c r="G301" s="2747"/>
      <c r="H301" s="2748"/>
      <c r="I301" s="1435">
        <f>IF(E301=0,0,J301/E301)</f>
        <v>0</v>
      </c>
      <c r="J301" s="1423">
        <f>SUM(J302:J314)</f>
        <v>0</v>
      </c>
      <c r="K301" s="2749">
        <f>IF(E301=0,0,M301/E301*100)</f>
        <v>0</v>
      </c>
      <c r="L301" s="2750"/>
      <c r="M301" s="1430">
        <f>SUM(M302:M314)</f>
        <v>0</v>
      </c>
      <c r="N301" s="1106"/>
      <c r="O301" s="387">
        <f>IF(H301="",G301,H301)</f>
        <v>0</v>
      </c>
      <c r="P301" s="682"/>
      <c r="Q301" s="286"/>
      <c r="R301" s="287"/>
      <c r="S301" s="280"/>
      <c r="T301" s="280"/>
      <c r="U301" s="280"/>
      <c r="V301" s="280"/>
      <c r="W301" s="280"/>
      <c r="X301" s="280"/>
      <c r="Y301" s="280"/>
      <c r="Z301" s="284"/>
      <c r="AA301" s="284"/>
      <c r="AB301" s="284"/>
      <c r="AC301" s="284"/>
      <c r="AD301" s="284"/>
      <c r="AE301" s="284"/>
      <c r="AF301" s="447"/>
      <c r="AG301" s="447"/>
      <c r="AH301" s="447"/>
      <c r="AI301" s="382"/>
      <c r="AJ301" s="382"/>
      <c r="AK301" s="382"/>
      <c r="AL301" s="382"/>
      <c r="AM301" s="382"/>
      <c r="AN301" s="382"/>
      <c r="AO301" s="382"/>
      <c r="AP301" s="382"/>
      <c r="AQ301" s="382"/>
      <c r="AR301" s="382"/>
      <c r="AS301" s="382"/>
      <c r="AT301" s="382"/>
      <c r="AU301" s="382"/>
      <c r="AV301" s="382"/>
      <c r="AW301" s="382"/>
      <c r="AX301" s="382"/>
      <c r="AY301" s="382"/>
      <c r="AZ301" s="382"/>
      <c r="BA301" s="382"/>
      <c r="BB301" s="382"/>
      <c r="BC301" s="382"/>
      <c r="BD301" s="382"/>
      <c r="BE301" s="382"/>
      <c r="BF301" s="382"/>
      <c r="BG301" s="382"/>
      <c r="BH301" s="382"/>
      <c r="BI301" s="382"/>
      <c r="BJ301" s="382"/>
      <c r="BK301" s="382"/>
      <c r="BL301" s="382"/>
      <c r="BM301" s="382"/>
      <c r="BN301" s="382"/>
      <c r="BO301" s="382"/>
    </row>
    <row r="302" spans="1:67" s="88" customFormat="1" ht="10.55" customHeight="1" x14ac:dyDescent="0.2">
      <c r="A302" s="675"/>
      <c r="B302" s="2790"/>
      <c r="C302" s="2791"/>
      <c r="D302" s="2792"/>
      <c r="E302" s="2734"/>
      <c r="F302" s="2735"/>
      <c r="G302" s="1785"/>
      <c r="H302" s="524"/>
      <c r="I302" s="1409">
        <f t="shared" ref="I302:I315" si="79">IF($O302&gt;0,-PMT(($I$9),$O302,1),0)</f>
        <v>0</v>
      </c>
      <c r="J302" s="1421">
        <f t="shared" ref="J302:J314" si="80">ROUND(E302*I302,0)</f>
        <v>0</v>
      </c>
      <c r="K302" s="687"/>
      <c r="L302" s="1003"/>
      <c r="M302" s="1428">
        <f t="shared" ref="M302:M315" si="81">ROUND(E302/100*IF(ISBLANK(L302),K302,L302),0)</f>
        <v>0</v>
      </c>
      <c r="N302" s="1106"/>
      <c r="O302" s="674">
        <f t="shared" ref="O302:O315" si="82">IF(ISBLANK(H302),G302,H302)</f>
        <v>0</v>
      </c>
      <c r="P302" s="682"/>
      <c r="Q302" s="286"/>
      <c r="R302" s="287"/>
      <c r="S302" s="280"/>
      <c r="T302" s="280"/>
      <c r="U302" s="280"/>
      <c r="V302" s="280"/>
      <c r="W302" s="280"/>
      <c r="X302" s="280"/>
      <c r="Y302" s="280"/>
      <c r="Z302" s="284"/>
      <c r="AA302" s="284"/>
      <c r="AB302" s="284"/>
      <c r="AC302" s="284"/>
      <c r="AD302" s="284"/>
      <c r="AE302" s="284"/>
      <c r="AF302" s="447"/>
      <c r="AG302" s="447"/>
      <c r="AH302" s="447"/>
      <c r="AI302" s="382"/>
      <c r="AJ302" s="382"/>
      <c r="AK302" s="382"/>
      <c r="AL302" s="382"/>
      <c r="AM302" s="382"/>
      <c r="AN302" s="382"/>
      <c r="AO302" s="382"/>
      <c r="AP302" s="382"/>
      <c r="AQ302" s="382"/>
      <c r="AR302" s="382"/>
      <c r="AS302" s="382"/>
      <c r="AT302" s="382"/>
      <c r="AU302" s="382"/>
      <c r="AV302" s="382"/>
      <c r="AW302" s="382"/>
      <c r="AX302" s="382"/>
      <c r="AY302" s="382"/>
      <c r="AZ302" s="382"/>
      <c r="BA302" s="382"/>
      <c r="BB302" s="382"/>
      <c r="BC302" s="382"/>
      <c r="BD302" s="382"/>
      <c r="BE302" s="382"/>
      <c r="BF302" s="382"/>
      <c r="BG302" s="382"/>
      <c r="BH302" s="382"/>
      <c r="BI302" s="382"/>
      <c r="BJ302" s="382"/>
      <c r="BK302" s="382"/>
      <c r="BL302" s="382"/>
      <c r="BM302" s="382"/>
      <c r="BN302" s="382"/>
      <c r="BO302" s="382"/>
    </row>
    <row r="303" spans="1:67" s="88" customFormat="1" ht="10.55" customHeight="1" x14ac:dyDescent="0.2">
      <c r="A303" s="675"/>
      <c r="B303" s="2807"/>
      <c r="C303" s="2808"/>
      <c r="D303" s="2809"/>
      <c r="E303" s="2561"/>
      <c r="F303" s="2562"/>
      <c r="G303" s="1785"/>
      <c r="H303" s="524"/>
      <c r="I303" s="1409">
        <f t="shared" si="79"/>
        <v>0</v>
      </c>
      <c r="J303" s="1421">
        <f t="shared" si="80"/>
        <v>0</v>
      </c>
      <c r="K303" s="678"/>
      <c r="L303" s="1002"/>
      <c r="M303" s="1428">
        <f t="shared" si="81"/>
        <v>0</v>
      </c>
      <c r="N303" s="1106"/>
      <c r="O303" s="674">
        <f t="shared" si="82"/>
        <v>0</v>
      </c>
      <c r="P303" s="682"/>
      <c r="Q303" s="286"/>
      <c r="R303" s="287"/>
      <c r="S303" s="280"/>
      <c r="T303" s="280"/>
      <c r="U303" s="280"/>
      <c r="V303" s="280"/>
      <c r="W303" s="280"/>
      <c r="X303" s="280"/>
      <c r="Y303" s="280"/>
      <c r="Z303" s="284"/>
      <c r="AA303" s="284"/>
      <c r="AB303" s="284"/>
      <c r="AC303" s="284"/>
      <c r="AD303" s="284"/>
      <c r="AE303" s="284"/>
      <c r="AF303" s="447"/>
      <c r="AG303" s="447"/>
      <c r="AH303" s="447"/>
      <c r="AI303" s="382"/>
      <c r="AJ303" s="382"/>
      <c r="AK303" s="382"/>
      <c r="AL303" s="382"/>
      <c r="AM303" s="382"/>
      <c r="AN303" s="382"/>
      <c r="AO303" s="382"/>
      <c r="AP303" s="382"/>
      <c r="AQ303" s="382"/>
      <c r="AR303" s="382"/>
      <c r="AS303" s="382"/>
      <c r="AT303" s="382"/>
      <c r="AU303" s="382"/>
      <c r="AV303" s="382"/>
      <c r="AW303" s="382"/>
      <c r="AX303" s="382"/>
      <c r="AY303" s="382"/>
      <c r="AZ303" s="382"/>
      <c r="BA303" s="382"/>
      <c r="BB303" s="382"/>
      <c r="BC303" s="382"/>
      <c r="BD303" s="382"/>
      <c r="BE303" s="382"/>
      <c r="BF303" s="382"/>
      <c r="BG303" s="382"/>
      <c r="BH303" s="382"/>
      <c r="BI303" s="382"/>
      <c r="BJ303" s="382"/>
      <c r="BK303" s="382"/>
      <c r="BL303" s="382"/>
      <c r="BM303" s="382"/>
      <c r="BN303" s="382"/>
      <c r="BO303" s="382"/>
    </row>
    <row r="304" spans="1:67" s="88" customFormat="1" ht="10.55" customHeight="1" x14ac:dyDescent="0.2">
      <c r="A304" s="675"/>
      <c r="B304" s="2807"/>
      <c r="C304" s="2808"/>
      <c r="D304" s="2809"/>
      <c r="E304" s="2561"/>
      <c r="F304" s="2562"/>
      <c r="G304" s="1785"/>
      <c r="H304" s="524"/>
      <c r="I304" s="1409">
        <f t="shared" si="79"/>
        <v>0</v>
      </c>
      <c r="J304" s="1421">
        <f t="shared" si="80"/>
        <v>0</v>
      </c>
      <c r="K304" s="678"/>
      <c r="L304" s="1002"/>
      <c r="M304" s="1428">
        <f t="shared" si="81"/>
        <v>0</v>
      </c>
      <c r="N304" s="1106"/>
      <c r="O304" s="674">
        <f t="shared" si="82"/>
        <v>0</v>
      </c>
      <c r="P304" s="682"/>
      <c r="Q304" s="286"/>
      <c r="R304" s="287"/>
      <c r="S304" s="280"/>
      <c r="T304" s="280"/>
      <c r="U304" s="280"/>
      <c r="V304" s="280"/>
      <c r="W304" s="280"/>
      <c r="X304" s="280"/>
      <c r="Y304" s="280"/>
      <c r="Z304" s="284"/>
      <c r="AA304" s="284"/>
      <c r="AB304" s="284"/>
      <c r="AC304" s="284"/>
      <c r="AD304" s="284"/>
      <c r="AE304" s="284"/>
      <c r="AF304" s="447"/>
      <c r="AG304" s="447"/>
      <c r="AH304" s="447"/>
      <c r="AI304" s="382"/>
      <c r="AJ304" s="382"/>
      <c r="AK304" s="382"/>
      <c r="AL304" s="382"/>
      <c r="AM304" s="382"/>
      <c r="AN304" s="382"/>
      <c r="AO304" s="382"/>
      <c r="AP304" s="382"/>
      <c r="AQ304" s="382"/>
      <c r="AR304" s="382"/>
      <c r="AS304" s="382"/>
      <c r="AT304" s="382"/>
      <c r="AU304" s="382"/>
      <c r="AV304" s="382"/>
      <c r="AW304" s="382"/>
      <c r="AX304" s="382"/>
      <c r="AY304" s="382"/>
      <c r="AZ304" s="382"/>
      <c r="BA304" s="382"/>
      <c r="BB304" s="382"/>
      <c r="BC304" s="382"/>
      <c r="BD304" s="382"/>
      <c r="BE304" s="382"/>
      <c r="BF304" s="382"/>
      <c r="BG304" s="382"/>
      <c r="BH304" s="382"/>
      <c r="BI304" s="382"/>
      <c r="BJ304" s="382"/>
      <c r="BK304" s="382"/>
      <c r="BL304" s="382"/>
      <c r="BM304" s="382"/>
      <c r="BN304" s="382"/>
      <c r="BO304" s="382"/>
    </row>
    <row r="305" spans="1:67" s="88" customFormat="1" ht="10.55" customHeight="1" x14ac:dyDescent="0.2">
      <c r="A305" s="675"/>
      <c r="B305" s="2807"/>
      <c r="C305" s="2808"/>
      <c r="D305" s="2809"/>
      <c r="E305" s="2561"/>
      <c r="F305" s="2562"/>
      <c r="G305" s="1785"/>
      <c r="H305" s="524"/>
      <c r="I305" s="1409">
        <f t="shared" si="79"/>
        <v>0</v>
      </c>
      <c r="J305" s="1421">
        <f t="shared" si="80"/>
        <v>0</v>
      </c>
      <c r="K305" s="678"/>
      <c r="L305" s="1002"/>
      <c r="M305" s="1428">
        <f t="shared" si="81"/>
        <v>0</v>
      </c>
      <c r="N305" s="1106"/>
      <c r="O305" s="674">
        <f t="shared" si="82"/>
        <v>0</v>
      </c>
      <c r="P305" s="682"/>
      <c r="Q305" s="286"/>
      <c r="R305" s="287"/>
      <c r="S305" s="280"/>
      <c r="T305" s="280"/>
      <c r="U305" s="280"/>
      <c r="V305" s="280"/>
      <c r="W305" s="280"/>
      <c r="X305" s="280"/>
      <c r="Y305" s="280"/>
      <c r="Z305" s="284"/>
      <c r="AA305" s="284"/>
      <c r="AB305" s="284"/>
      <c r="AC305" s="284"/>
      <c r="AD305" s="284"/>
      <c r="AE305" s="284"/>
      <c r="AF305" s="447"/>
      <c r="AG305" s="447"/>
      <c r="AH305" s="447"/>
      <c r="AI305" s="382"/>
      <c r="AJ305" s="382"/>
      <c r="AK305" s="382"/>
      <c r="AL305" s="382"/>
      <c r="AM305" s="382"/>
      <c r="AN305" s="382"/>
      <c r="AO305" s="382"/>
      <c r="AP305" s="382"/>
      <c r="AQ305" s="382"/>
      <c r="AR305" s="382"/>
      <c r="AS305" s="382"/>
      <c r="AT305" s="382"/>
      <c r="AU305" s="382"/>
      <c r="AV305" s="382"/>
      <c r="AW305" s="382"/>
      <c r="AX305" s="382"/>
      <c r="AY305" s="382"/>
      <c r="AZ305" s="382"/>
      <c r="BA305" s="382"/>
      <c r="BB305" s="382"/>
      <c r="BC305" s="382"/>
      <c r="BD305" s="382"/>
      <c r="BE305" s="382"/>
      <c r="BF305" s="382"/>
      <c r="BG305" s="382"/>
      <c r="BH305" s="382"/>
      <c r="BI305" s="382"/>
      <c r="BJ305" s="382"/>
      <c r="BK305" s="382"/>
      <c r="BL305" s="382"/>
      <c r="BM305" s="382"/>
      <c r="BN305" s="382"/>
      <c r="BO305" s="382"/>
    </row>
    <row r="306" spans="1:67" s="88" customFormat="1" ht="10.55" customHeight="1" x14ac:dyDescent="0.2">
      <c r="A306" s="675"/>
      <c r="B306" s="2807"/>
      <c r="C306" s="2808"/>
      <c r="D306" s="2809"/>
      <c r="E306" s="2561"/>
      <c r="F306" s="2562"/>
      <c r="G306" s="1785"/>
      <c r="H306" s="524"/>
      <c r="I306" s="1409">
        <f t="shared" si="79"/>
        <v>0</v>
      </c>
      <c r="J306" s="1421">
        <f t="shared" si="80"/>
        <v>0</v>
      </c>
      <c r="K306" s="678"/>
      <c r="L306" s="1002"/>
      <c r="M306" s="1428">
        <f t="shared" si="81"/>
        <v>0</v>
      </c>
      <c r="N306" s="1106"/>
      <c r="O306" s="674">
        <f t="shared" si="82"/>
        <v>0</v>
      </c>
      <c r="P306" s="682"/>
      <c r="Q306" s="286"/>
      <c r="R306" s="287"/>
      <c r="S306" s="280"/>
      <c r="T306" s="280"/>
      <c r="U306" s="280"/>
      <c r="V306" s="280"/>
      <c r="W306" s="280"/>
      <c r="X306" s="280"/>
      <c r="Y306" s="280"/>
      <c r="Z306" s="284"/>
      <c r="AA306" s="284"/>
      <c r="AB306" s="284"/>
      <c r="AC306" s="284"/>
      <c r="AD306" s="284"/>
      <c r="AE306" s="284"/>
      <c r="AF306" s="447"/>
      <c r="AG306" s="447"/>
      <c r="AH306" s="447"/>
      <c r="AI306" s="382"/>
      <c r="AJ306" s="382"/>
      <c r="AK306" s="382"/>
      <c r="AL306" s="382"/>
      <c r="AM306" s="382"/>
      <c r="AN306" s="382"/>
      <c r="AO306" s="382"/>
      <c r="AP306" s="382"/>
      <c r="AQ306" s="382"/>
      <c r="AR306" s="382"/>
      <c r="AS306" s="382"/>
      <c r="AT306" s="382"/>
      <c r="AU306" s="382"/>
      <c r="AV306" s="382"/>
      <c r="AW306" s="382"/>
      <c r="AX306" s="382"/>
      <c r="AY306" s="382"/>
      <c r="AZ306" s="382"/>
      <c r="BA306" s="382"/>
      <c r="BB306" s="382"/>
      <c r="BC306" s="382"/>
      <c r="BD306" s="382"/>
      <c r="BE306" s="382"/>
      <c r="BF306" s="382"/>
      <c r="BG306" s="382"/>
      <c r="BH306" s="382"/>
      <c r="BI306" s="382"/>
      <c r="BJ306" s="382"/>
      <c r="BK306" s="382"/>
      <c r="BL306" s="382"/>
      <c r="BM306" s="382"/>
      <c r="BN306" s="382"/>
      <c r="BO306" s="382"/>
    </row>
    <row r="307" spans="1:67" s="88" customFormat="1" ht="10.55" customHeight="1" x14ac:dyDescent="0.2">
      <c r="A307" s="675"/>
      <c r="B307" s="2807"/>
      <c r="C307" s="2808"/>
      <c r="D307" s="2809"/>
      <c r="E307" s="2561"/>
      <c r="F307" s="2562"/>
      <c r="G307" s="1785"/>
      <c r="H307" s="524"/>
      <c r="I307" s="1409">
        <f t="shared" si="79"/>
        <v>0</v>
      </c>
      <c r="J307" s="1421">
        <f t="shared" si="80"/>
        <v>0</v>
      </c>
      <c r="K307" s="678"/>
      <c r="L307" s="1002"/>
      <c r="M307" s="1428">
        <f t="shared" si="81"/>
        <v>0</v>
      </c>
      <c r="N307" s="1106"/>
      <c r="O307" s="674">
        <f t="shared" si="82"/>
        <v>0</v>
      </c>
      <c r="P307" s="682"/>
      <c r="Q307" s="286"/>
      <c r="R307" s="287"/>
      <c r="S307" s="280"/>
      <c r="T307" s="280"/>
      <c r="U307" s="280"/>
      <c r="V307" s="280"/>
      <c r="W307" s="280"/>
      <c r="X307" s="280"/>
      <c r="Y307" s="280"/>
      <c r="Z307" s="284"/>
      <c r="AA307" s="284"/>
      <c r="AB307" s="284"/>
      <c r="AC307" s="284"/>
      <c r="AD307" s="284"/>
      <c r="AE307" s="284"/>
      <c r="AF307" s="447"/>
      <c r="AG307" s="447"/>
      <c r="AH307" s="447"/>
      <c r="AI307" s="382"/>
      <c r="AJ307" s="382"/>
      <c r="AK307" s="382"/>
      <c r="AL307" s="382"/>
      <c r="AM307" s="382"/>
      <c r="AN307" s="382"/>
      <c r="AO307" s="382"/>
      <c r="AP307" s="382"/>
      <c r="AQ307" s="382"/>
      <c r="AR307" s="382"/>
      <c r="AS307" s="382"/>
      <c r="AT307" s="382"/>
      <c r="AU307" s="382"/>
      <c r="AV307" s="382"/>
      <c r="AW307" s="382"/>
      <c r="AX307" s="382"/>
      <c r="AY307" s="382"/>
      <c r="AZ307" s="382"/>
      <c r="BA307" s="382"/>
      <c r="BB307" s="382"/>
      <c r="BC307" s="382"/>
      <c r="BD307" s="382"/>
      <c r="BE307" s="382"/>
      <c r="BF307" s="382"/>
      <c r="BG307" s="382"/>
      <c r="BH307" s="382"/>
      <c r="BI307" s="382"/>
      <c r="BJ307" s="382"/>
      <c r="BK307" s="382"/>
      <c r="BL307" s="382"/>
      <c r="BM307" s="382"/>
      <c r="BN307" s="382"/>
      <c r="BO307" s="382"/>
    </row>
    <row r="308" spans="1:67" s="88" customFormat="1" ht="10.55" customHeight="1" x14ac:dyDescent="0.2">
      <c r="A308" s="675"/>
      <c r="B308" s="2807"/>
      <c r="C308" s="2808"/>
      <c r="D308" s="2809"/>
      <c r="E308" s="2561"/>
      <c r="F308" s="2562"/>
      <c r="G308" s="1785"/>
      <c r="H308" s="524"/>
      <c r="I308" s="1409">
        <f t="shared" si="79"/>
        <v>0</v>
      </c>
      <c r="J308" s="1421">
        <f t="shared" si="80"/>
        <v>0</v>
      </c>
      <c r="K308" s="678"/>
      <c r="L308" s="1002"/>
      <c r="M308" s="1428">
        <f t="shared" si="81"/>
        <v>0</v>
      </c>
      <c r="N308" s="1106"/>
      <c r="O308" s="674">
        <f t="shared" si="82"/>
        <v>0</v>
      </c>
      <c r="P308" s="682"/>
      <c r="Q308" s="286"/>
      <c r="R308" s="287"/>
      <c r="S308" s="280"/>
      <c r="T308" s="280"/>
      <c r="U308" s="280"/>
      <c r="V308" s="280"/>
      <c r="W308" s="280"/>
      <c r="X308" s="280"/>
      <c r="Y308" s="280"/>
      <c r="Z308" s="284"/>
      <c r="AA308" s="284"/>
      <c r="AB308" s="284"/>
      <c r="AC308" s="284"/>
      <c r="AD308" s="284"/>
      <c r="AE308" s="284"/>
      <c r="AF308" s="447"/>
      <c r="AG308" s="447"/>
      <c r="AH308" s="447"/>
      <c r="AI308" s="382"/>
      <c r="AJ308" s="382"/>
      <c r="AK308" s="382"/>
      <c r="AL308" s="382"/>
      <c r="AM308" s="382"/>
      <c r="AN308" s="382"/>
      <c r="AO308" s="382"/>
      <c r="AP308" s="382"/>
      <c r="AQ308" s="382"/>
      <c r="AR308" s="382"/>
      <c r="AS308" s="382"/>
      <c r="AT308" s="382"/>
      <c r="AU308" s="382"/>
      <c r="AV308" s="382"/>
      <c r="AW308" s="382"/>
      <c r="AX308" s="382"/>
      <c r="AY308" s="382"/>
      <c r="AZ308" s="382"/>
      <c r="BA308" s="382"/>
      <c r="BB308" s="382"/>
      <c r="BC308" s="382"/>
      <c r="BD308" s="382"/>
      <c r="BE308" s="382"/>
      <c r="BF308" s="382"/>
      <c r="BG308" s="382"/>
      <c r="BH308" s="382"/>
      <c r="BI308" s="382"/>
      <c r="BJ308" s="382"/>
      <c r="BK308" s="382"/>
      <c r="BL308" s="382"/>
      <c r="BM308" s="382"/>
      <c r="BN308" s="382"/>
      <c r="BO308" s="382"/>
    </row>
    <row r="309" spans="1:67" s="88" customFormat="1" ht="10.55" customHeight="1" x14ac:dyDescent="0.2">
      <c r="A309" s="675"/>
      <c r="B309" s="2807"/>
      <c r="C309" s="2808"/>
      <c r="D309" s="2809"/>
      <c r="E309" s="2561"/>
      <c r="F309" s="2562"/>
      <c r="G309" s="1015"/>
      <c r="H309" s="524"/>
      <c r="I309" s="1409">
        <f t="shared" si="79"/>
        <v>0</v>
      </c>
      <c r="J309" s="1421">
        <f t="shared" si="80"/>
        <v>0</v>
      </c>
      <c r="K309" s="679"/>
      <c r="L309" s="1002"/>
      <c r="M309" s="1428">
        <f t="shared" si="81"/>
        <v>0</v>
      </c>
      <c r="N309" s="1106"/>
      <c r="O309" s="674">
        <f t="shared" si="82"/>
        <v>0</v>
      </c>
      <c r="P309" s="682"/>
      <c r="Q309" s="286"/>
      <c r="R309" s="287"/>
      <c r="S309" s="280"/>
      <c r="T309" s="280"/>
      <c r="U309" s="280"/>
      <c r="V309" s="280"/>
      <c r="W309" s="280"/>
      <c r="X309" s="280"/>
      <c r="Y309" s="280"/>
      <c r="Z309" s="284"/>
      <c r="AA309" s="284"/>
      <c r="AB309" s="284"/>
      <c r="AC309" s="284"/>
      <c r="AD309" s="284"/>
      <c r="AE309" s="284"/>
      <c r="AF309" s="447"/>
      <c r="AG309" s="447"/>
      <c r="AH309" s="447"/>
      <c r="AI309" s="382"/>
      <c r="AJ309" s="382"/>
      <c r="AK309" s="382"/>
      <c r="AL309" s="382"/>
      <c r="AM309" s="382"/>
      <c r="AN309" s="382"/>
      <c r="AO309" s="382"/>
      <c r="AP309" s="382"/>
      <c r="AQ309" s="382"/>
      <c r="AR309" s="382"/>
      <c r="AS309" s="382"/>
      <c r="AT309" s="382"/>
      <c r="AU309" s="382"/>
      <c r="AV309" s="382"/>
      <c r="AW309" s="382"/>
      <c r="AX309" s="382"/>
      <c r="AY309" s="382"/>
      <c r="AZ309" s="382"/>
      <c r="BA309" s="382"/>
      <c r="BB309" s="382"/>
      <c r="BC309" s="382"/>
      <c r="BD309" s="382"/>
      <c r="BE309" s="382"/>
      <c r="BF309" s="382"/>
      <c r="BG309" s="382"/>
      <c r="BH309" s="382"/>
      <c r="BI309" s="382"/>
      <c r="BJ309" s="382"/>
      <c r="BK309" s="382"/>
      <c r="BL309" s="382"/>
      <c r="BM309" s="382"/>
      <c r="BN309" s="382"/>
      <c r="BO309" s="382"/>
    </row>
    <row r="310" spans="1:67" s="88" customFormat="1" ht="10.55" customHeight="1" x14ac:dyDescent="0.2">
      <c r="A310" s="675"/>
      <c r="B310" s="2807"/>
      <c r="C310" s="2808"/>
      <c r="D310" s="2809"/>
      <c r="E310" s="2561"/>
      <c r="F310" s="2562"/>
      <c r="G310" s="1015"/>
      <c r="H310" s="524"/>
      <c r="I310" s="1409">
        <f t="shared" si="79"/>
        <v>0</v>
      </c>
      <c r="J310" s="1421">
        <f t="shared" si="80"/>
        <v>0</v>
      </c>
      <c r="K310" s="679"/>
      <c r="L310" s="1002"/>
      <c r="M310" s="1428">
        <f t="shared" si="81"/>
        <v>0</v>
      </c>
      <c r="N310" s="1106"/>
      <c r="O310" s="674">
        <f t="shared" si="82"/>
        <v>0</v>
      </c>
      <c r="P310" s="682"/>
      <c r="Q310" s="286"/>
      <c r="R310" s="287"/>
      <c r="S310" s="280"/>
      <c r="T310" s="280"/>
      <c r="U310" s="280"/>
      <c r="V310" s="280"/>
      <c r="W310" s="280"/>
      <c r="X310" s="280"/>
      <c r="Y310" s="280"/>
      <c r="Z310" s="284"/>
      <c r="AA310" s="284"/>
      <c r="AB310" s="284"/>
      <c r="AC310" s="284"/>
      <c r="AD310" s="284"/>
      <c r="AE310" s="284"/>
      <c r="AF310" s="447"/>
      <c r="AG310" s="447"/>
      <c r="AH310" s="447"/>
      <c r="AI310" s="382"/>
      <c r="AJ310" s="382"/>
      <c r="AK310" s="382"/>
      <c r="AL310" s="382"/>
      <c r="AM310" s="382"/>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row>
    <row r="311" spans="1:67" s="88" customFormat="1" ht="10.55" customHeight="1" x14ac:dyDescent="0.2">
      <c r="A311" s="675"/>
      <c r="B311" s="2807"/>
      <c r="C311" s="2808"/>
      <c r="D311" s="2809"/>
      <c r="E311" s="2561"/>
      <c r="F311" s="2562"/>
      <c r="G311" s="1015"/>
      <c r="H311" s="524"/>
      <c r="I311" s="1409">
        <f t="shared" si="79"/>
        <v>0</v>
      </c>
      <c r="J311" s="1421">
        <f t="shared" si="80"/>
        <v>0</v>
      </c>
      <c r="K311" s="679"/>
      <c r="L311" s="1002"/>
      <c r="M311" s="1428">
        <f t="shared" si="81"/>
        <v>0</v>
      </c>
      <c r="N311" s="1106"/>
      <c r="O311" s="674">
        <f t="shared" si="82"/>
        <v>0</v>
      </c>
      <c r="P311" s="682"/>
      <c r="Q311" s="286"/>
      <c r="R311" s="287"/>
      <c r="S311" s="280"/>
      <c r="T311" s="280"/>
      <c r="U311" s="280"/>
      <c r="V311" s="280"/>
      <c r="W311" s="280"/>
      <c r="X311" s="280"/>
      <c r="Y311" s="280"/>
      <c r="Z311" s="284"/>
      <c r="AA311" s="284"/>
      <c r="AB311" s="284"/>
      <c r="AC311" s="284"/>
      <c r="AD311" s="284"/>
      <c r="AE311" s="284"/>
      <c r="AF311" s="447"/>
      <c r="AG311" s="447"/>
      <c r="AH311" s="447"/>
      <c r="AI311" s="382"/>
      <c r="AJ311" s="382"/>
      <c r="AK311" s="382"/>
      <c r="AL311" s="382"/>
      <c r="AM311" s="382"/>
      <c r="AN311" s="382"/>
      <c r="AO311" s="382"/>
      <c r="AP311" s="382"/>
      <c r="AQ311" s="382"/>
      <c r="AR311" s="382"/>
      <c r="AS311" s="382"/>
      <c r="AT311" s="382"/>
      <c r="AU311" s="382"/>
      <c r="AV311" s="382"/>
      <c r="AW311" s="382"/>
      <c r="AX311" s="382"/>
      <c r="AY311" s="382"/>
      <c r="AZ311" s="382"/>
      <c r="BA311" s="382"/>
      <c r="BB311" s="382"/>
      <c r="BC311" s="382"/>
      <c r="BD311" s="382"/>
      <c r="BE311" s="382"/>
      <c r="BF311" s="382"/>
      <c r="BG311" s="382"/>
      <c r="BH311" s="382"/>
      <c r="BI311" s="382"/>
      <c r="BJ311" s="382"/>
      <c r="BK311" s="382"/>
      <c r="BL311" s="382"/>
      <c r="BM311" s="382"/>
      <c r="BN311" s="382"/>
      <c r="BO311" s="382"/>
    </row>
    <row r="312" spans="1:67" s="88" customFormat="1" ht="10.55" customHeight="1" x14ac:dyDescent="0.2">
      <c r="A312" s="675"/>
      <c r="B312" s="2807"/>
      <c r="C312" s="2808"/>
      <c r="D312" s="2809"/>
      <c r="E312" s="2561"/>
      <c r="F312" s="2562"/>
      <c r="G312" s="1015"/>
      <c r="H312" s="524"/>
      <c r="I312" s="1409">
        <f t="shared" si="79"/>
        <v>0</v>
      </c>
      <c r="J312" s="1421">
        <f t="shared" si="80"/>
        <v>0</v>
      </c>
      <c r="K312" s="679"/>
      <c r="L312" s="1002"/>
      <c r="M312" s="1428">
        <f t="shared" si="81"/>
        <v>0</v>
      </c>
      <c r="N312" s="1106"/>
      <c r="O312" s="674">
        <f t="shared" si="82"/>
        <v>0</v>
      </c>
      <c r="P312" s="682"/>
      <c r="Q312" s="286"/>
      <c r="R312" s="287"/>
      <c r="S312" s="280"/>
      <c r="T312" s="280"/>
      <c r="U312" s="280"/>
      <c r="V312" s="280"/>
      <c r="W312" s="280"/>
      <c r="X312" s="280"/>
      <c r="Y312" s="280"/>
      <c r="Z312" s="284"/>
      <c r="AA312" s="284"/>
      <c r="AB312" s="284"/>
      <c r="AC312" s="284"/>
      <c r="AD312" s="284"/>
      <c r="AE312" s="284"/>
      <c r="AF312" s="447"/>
      <c r="AG312" s="447"/>
      <c r="AH312" s="447"/>
      <c r="AI312" s="382"/>
      <c r="AJ312" s="382"/>
      <c r="AK312" s="382"/>
      <c r="AL312" s="382"/>
      <c r="AM312" s="382"/>
      <c r="AN312" s="382"/>
      <c r="AO312" s="382"/>
      <c r="AP312" s="382"/>
      <c r="AQ312" s="382"/>
      <c r="AR312" s="382"/>
      <c r="AS312" s="382"/>
      <c r="AT312" s="382"/>
      <c r="AU312" s="382"/>
      <c r="AV312" s="382"/>
      <c r="AW312" s="382"/>
      <c r="AX312" s="382"/>
      <c r="AY312" s="382"/>
      <c r="AZ312" s="382"/>
      <c r="BA312" s="382"/>
      <c r="BB312" s="382"/>
      <c r="BC312" s="382"/>
      <c r="BD312" s="382"/>
      <c r="BE312" s="382"/>
      <c r="BF312" s="382"/>
      <c r="BG312" s="382"/>
      <c r="BH312" s="382"/>
      <c r="BI312" s="382"/>
      <c r="BJ312" s="382"/>
      <c r="BK312" s="382"/>
      <c r="BL312" s="382"/>
      <c r="BM312" s="382"/>
      <c r="BN312" s="382"/>
      <c r="BO312" s="382"/>
    </row>
    <row r="313" spans="1:67" s="88" customFormat="1" ht="10.55" customHeight="1" x14ac:dyDescent="0.2">
      <c r="A313" s="675"/>
      <c r="B313" s="2807"/>
      <c r="C313" s="2808"/>
      <c r="D313" s="2809"/>
      <c r="E313" s="2561"/>
      <c r="F313" s="2562"/>
      <c r="G313" s="1015"/>
      <c r="H313" s="524"/>
      <c r="I313" s="1409">
        <f t="shared" si="79"/>
        <v>0</v>
      </c>
      <c r="J313" s="1421">
        <f t="shared" si="80"/>
        <v>0</v>
      </c>
      <c r="K313" s="679"/>
      <c r="L313" s="1002"/>
      <c r="M313" s="1428">
        <f t="shared" si="81"/>
        <v>0</v>
      </c>
      <c r="N313" s="1106"/>
      <c r="O313" s="674">
        <f t="shared" si="82"/>
        <v>0</v>
      </c>
      <c r="P313" s="682"/>
      <c r="Q313" s="286"/>
      <c r="R313" s="287"/>
      <c r="S313" s="280"/>
      <c r="T313" s="280"/>
      <c r="U313" s="280"/>
      <c r="V313" s="280"/>
      <c r="W313" s="280"/>
      <c r="X313" s="280"/>
      <c r="Y313" s="280"/>
      <c r="Z313" s="284"/>
      <c r="AA313" s="284"/>
      <c r="AB313" s="284"/>
      <c r="AC313" s="284"/>
      <c r="AD313" s="284"/>
      <c r="AE313" s="284"/>
      <c r="AF313" s="447"/>
      <c r="AG313" s="447"/>
      <c r="AH313" s="447"/>
      <c r="AI313" s="382"/>
      <c r="AJ313" s="382"/>
      <c r="AK313" s="382"/>
      <c r="AL313" s="382"/>
      <c r="AM313" s="382"/>
      <c r="AN313" s="382"/>
      <c r="AO313" s="382"/>
      <c r="AP313" s="382"/>
      <c r="AQ313" s="382"/>
      <c r="AR313" s="382"/>
      <c r="AS313" s="382"/>
      <c r="AT313" s="382"/>
      <c r="AU313" s="382"/>
      <c r="AV313" s="382"/>
      <c r="AW313" s="382"/>
      <c r="AX313" s="382"/>
      <c r="AY313" s="382"/>
      <c r="AZ313" s="382"/>
      <c r="BA313" s="382"/>
      <c r="BB313" s="382"/>
      <c r="BC313" s="382"/>
      <c r="BD313" s="382"/>
      <c r="BE313" s="382"/>
      <c r="BF313" s="382"/>
      <c r="BG313" s="382"/>
      <c r="BH313" s="382"/>
      <c r="BI313" s="382"/>
      <c r="BJ313" s="382"/>
      <c r="BK313" s="382"/>
      <c r="BL313" s="382"/>
      <c r="BM313" s="382"/>
      <c r="BN313" s="382"/>
      <c r="BO313" s="382"/>
    </row>
    <row r="314" spans="1:67" s="88" customFormat="1" ht="10.55" customHeight="1" x14ac:dyDescent="0.2">
      <c r="A314" s="675"/>
      <c r="B314" s="2807"/>
      <c r="C314" s="2808"/>
      <c r="D314" s="2809"/>
      <c r="E314" s="2561"/>
      <c r="F314" s="2562"/>
      <c r="G314" s="1015"/>
      <c r="H314" s="524"/>
      <c r="I314" s="1409">
        <f t="shared" si="79"/>
        <v>0</v>
      </c>
      <c r="J314" s="1421">
        <f t="shared" si="80"/>
        <v>0</v>
      </c>
      <c r="K314" s="679"/>
      <c r="L314" s="1002"/>
      <c r="M314" s="1428">
        <f t="shared" si="81"/>
        <v>0</v>
      </c>
      <c r="N314" s="1106"/>
      <c r="O314" s="674">
        <f t="shared" si="82"/>
        <v>0</v>
      </c>
      <c r="P314" s="682"/>
      <c r="Q314" s="286"/>
      <c r="R314" s="287"/>
      <c r="S314" s="280"/>
      <c r="T314" s="280"/>
      <c r="U314" s="280"/>
      <c r="V314" s="280"/>
      <c r="W314" s="280"/>
      <c r="X314" s="280"/>
      <c r="Y314" s="280"/>
      <c r="Z314" s="284"/>
      <c r="AA314" s="284"/>
      <c r="AB314" s="284"/>
      <c r="AC314" s="284"/>
      <c r="AD314" s="284"/>
      <c r="AE314" s="284"/>
      <c r="AF314" s="447"/>
      <c r="AG314" s="447"/>
      <c r="AH314" s="447"/>
      <c r="AI314" s="382"/>
      <c r="AJ314" s="382"/>
      <c r="AK314" s="382"/>
      <c r="AL314" s="382"/>
      <c r="AM314" s="382"/>
      <c r="AN314" s="382"/>
      <c r="AO314" s="382"/>
      <c r="AP314" s="382"/>
      <c r="AQ314" s="382"/>
      <c r="AR314" s="382"/>
      <c r="AS314" s="382"/>
      <c r="AT314" s="382"/>
      <c r="AU314" s="382"/>
      <c r="AV314" s="382"/>
      <c r="AW314" s="382"/>
      <c r="AX314" s="382"/>
      <c r="AY314" s="382"/>
      <c r="AZ314" s="382"/>
      <c r="BA314" s="382"/>
      <c r="BB314" s="382"/>
      <c r="BC314" s="382"/>
      <c r="BD314" s="382"/>
      <c r="BE314" s="382"/>
      <c r="BF314" s="382"/>
      <c r="BG314" s="382"/>
      <c r="BH314" s="382"/>
      <c r="BI314" s="382"/>
      <c r="BJ314" s="382"/>
      <c r="BK314" s="382"/>
      <c r="BL314" s="382"/>
      <c r="BM314" s="382"/>
      <c r="BN314" s="382"/>
      <c r="BO314" s="382"/>
    </row>
    <row r="315" spans="1:67" s="88" customFormat="1" ht="10.55" customHeight="1" x14ac:dyDescent="0.2">
      <c r="A315" s="1017"/>
      <c r="B315" s="2804"/>
      <c r="C315" s="2805"/>
      <c r="D315" s="2806"/>
      <c r="E315" s="2793"/>
      <c r="F315" s="2794"/>
      <c r="G315" s="1018"/>
      <c r="H315" s="1019"/>
      <c r="I315" s="1436">
        <f t="shared" si="79"/>
        <v>0</v>
      </c>
      <c r="J315" s="1422"/>
      <c r="K315" s="680"/>
      <c r="L315" s="1020"/>
      <c r="M315" s="1429">
        <f t="shared" si="81"/>
        <v>0</v>
      </c>
      <c r="N315" s="1106"/>
      <c r="O315" s="674">
        <f t="shared" si="82"/>
        <v>0</v>
      </c>
      <c r="P315" s="682"/>
      <c r="Q315" s="286"/>
      <c r="R315" s="287"/>
      <c r="S315" s="280"/>
      <c r="T315" s="280"/>
      <c r="U315" s="280"/>
      <c r="V315" s="280"/>
      <c r="W315" s="280"/>
      <c r="X315" s="280"/>
      <c r="Y315" s="280"/>
      <c r="Z315" s="284"/>
      <c r="AA315" s="284"/>
      <c r="AB315" s="284"/>
      <c r="AC315" s="284"/>
      <c r="AD315" s="284"/>
      <c r="AE315" s="284"/>
      <c r="AF315" s="447"/>
      <c r="AG315" s="447"/>
      <c r="AH315" s="447"/>
      <c r="AI315" s="382"/>
      <c r="AJ315" s="382"/>
      <c r="AK315" s="382"/>
      <c r="AL315" s="382"/>
      <c r="AM315" s="382"/>
      <c r="AN315" s="382"/>
      <c r="AO315" s="382"/>
      <c r="AP315" s="382"/>
      <c r="AQ315" s="382"/>
      <c r="AR315" s="382"/>
      <c r="AS315" s="382"/>
      <c r="AT315" s="382"/>
      <c r="AU315" s="382"/>
      <c r="AV315" s="382"/>
      <c r="AW315" s="382"/>
      <c r="AX315" s="382"/>
      <c r="AY315" s="382"/>
      <c r="AZ315" s="382"/>
      <c r="BA315" s="382"/>
      <c r="BB315" s="382"/>
      <c r="BC315" s="382"/>
      <c r="BD315" s="382"/>
      <c r="BE315" s="382"/>
      <c r="BF315" s="382"/>
      <c r="BG315" s="382"/>
      <c r="BH315" s="382"/>
      <c r="BI315" s="382"/>
      <c r="BJ315" s="382"/>
      <c r="BK315" s="382"/>
      <c r="BL315" s="382"/>
      <c r="BM315" s="382"/>
      <c r="BN315" s="382"/>
      <c r="BO315" s="382"/>
    </row>
    <row r="316" spans="1:67" s="88" customFormat="1" ht="10.55" customHeight="1" x14ac:dyDescent="0.2">
      <c r="A316" s="1011" t="s">
        <v>425</v>
      </c>
      <c r="B316" s="2783"/>
      <c r="C316" s="2784"/>
      <c r="D316" s="2785"/>
      <c r="E316" s="2810">
        <f>SUM(E317:E329)</f>
        <v>0</v>
      </c>
      <c r="F316" s="2811"/>
      <c r="G316" s="2747"/>
      <c r="H316" s="2748"/>
      <c r="I316" s="1435">
        <f>IF(E316=0,0,J316/E316)</f>
        <v>0</v>
      </c>
      <c r="J316" s="1423">
        <f>SUM(J317:J329)</f>
        <v>0</v>
      </c>
      <c r="K316" s="2749">
        <f>IF(E316=0,0,M316/E316*100)</f>
        <v>0</v>
      </c>
      <c r="L316" s="2750"/>
      <c r="M316" s="1430">
        <f>SUM(M317:M329)</f>
        <v>0</v>
      </c>
      <c r="N316" s="1106"/>
      <c r="O316" s="387">
        <f>IF(H316="",G316,H316)</f>
        <v>0</v>
      </c>
      <c r="P316" s="682"/>
      <c r="Q316" s="286"/>
      <c r="R316" s="287"/>
      <c r="S316" s="280"/>
      <c r="T316" s="280"/>
      <c r="U316" s="280"/>
      <c r="V316" s="280"/>
      <c r="W316" s="280"/>
      <c r="X316" s="280"/>
      <c r="Y316" s="280"/>
      <c r="Z316" s="284"/>
      <c r="AA316" s="284"/>
      <c r="AB316" s="284"/>
      <c r="AC316" s="284"/>
      <c r="AD316" s="284"/>
      <c r="AE316" s="284"/>
      <c r="AF316" s="447"/>
      <c r="AG316" s="447"/>
      <c r="AH316" s="447"/>
      <c r="AI316" s="382"/>
      <c r="AJ316" s="382"/>
      <c r="AK316" s="382"/>
      <c r="AL316" s="382"/>
      <c r="AM316" s="382"/>
      <c r="AN316" s="382"/>
      <c r="AO316" s="382"/>
      <c r="AP316" s="382"/>
      <c r="AQ316" s="382"/>
      <c r="AR316" s="382"/>
      <c r="AS316" s="382"/>
      <c r="AT316" s="382"/>
      <c r="AU316" s="382"/>
      <c r="AV316" s="382"/>
      <c r="AW316" s="382"/>
      <c r="AX316" s="382"/>
      <c r="AY316" s="382"/>
      <c r="AZ316" s="382"/>
      <c r="BA316" s="382"/>
      <c r="BB316" s="382"/>
      <c r="BC316" s="382"/>
      <c r="BD316" s="382"/>
      <c r="BE316" s="382"/>
      <c r="BF316" s="382"/>
      <c r="BG316" s="382"/>
      <c r="BH316" s="382"/>
      <c r="BI316" s="382"/>
      <c r="BJ316" s="382"/>
      <c r="BK316" s="382"/>
      <c r="BL316" s="382"/>
      <c r="BM316" s="382"/>
      <c r="BN316" s="382"/>
      <c r="BO316" s="382"/>
    </row>
    <row r="317" spans="1:67" s="88" customFormat="1" ht="10.55" customHeight="1" x14ac:dyDescent="0.2">
      <c r="A317" s="1013" t="s">
        <v>426</v>
      </c>
      <c r="B317" s="2790"/>
      <c r="C317" s="2791"/>
      <c r="D317" s="2792"/>
      <c r="E317" s="2734"/>
      <c r="F317" s="2735"/>
      <c r="G317" s="1785">
        <v>15</v>
      </c>
      <c r="H317" s="524"/>
      <c r="I317" s="1409">
        <f t="shared" ref="I317:I330" si="83">IF($O317&gt;0,-PMT(($I$9),$O317,1),0)</f>
        <v>8.0766456051533542E-2</v>
      </c>
      <c r="J317" s="1421">
        <f t="shared" ref="J317:J329" si="84">ROUND(E317*I317,0)</f>
        <v>0</v>
      </c>
      <c r="K317" s="687"/>
      <c r="L317" s="1003"/>
      <c r="M317" s="1428">
        <f t="shared" ref="M317:M330" si="85">ROUND(E317/100*IF(ISBLANK(L317),K317,L317),0)</f>
        <v>0</v>
      </c>
      <c r="N317" s="1106"/>
      <c r="O317" s="674">
        <f t="shared" ref="O317:O330" si="86">IF(ISBLANK(H317),G317,H317)</f>
        <v>15</v>
      </c>
      <c r="P317" s="682"/>
      <c r="Q317" s="286"/>
      <c r="R317" s="287"/>
      <c r="S317" s="280"/>
      <c r="T317" s="280"/>
      <c r="U317" s="280"/>
      <c r="V317" s="280"/>
      <c r="W317" s="280"/>
      <c r="X317" s="280"/>
      <c r="Y317" s="280"/>
      <c r="Z317" s="284"/>
      <c r="AA317" s="284"/>
      <c r="AB317" s="284"/>
      <c r="AC317" s="284"/>
      <c r="AD317" s="284"/>
      <c r="AE317" s="284"/>
      <c r="AF317" s="447"/>
      <c r="AG317" s="447"/>
      <c r="AH317" s="447"/>
      <c r="AI317" s="382"/>
      <c r="AJ317" s="382"/>
      <c r="AK317" s="382"/>
      <c r="AL317" s="382"/>
      <c r="AM317" s="382"/>
      <c r="AN317" s="382"/>
      <c r="AO317" s="382"/>
      <c r="AP317" s="382"/>
      <c r="AQ317" s="382"/>
      <c r="AR317" s="382"/>
      <c r="AS317" s="382"/>
      <c r="AT317" s="382"/>
      <c r="AU317" s="382"/>
      <c r="AV317" s="382"/>
      <c r="AW317" s="382"/>
      <c r="AX317" s="382"/>
      <c r="AY317" s="382"/>
      <c r="AZ317" s="382"/>
      <c r="BA317" s="382"/>
      <c r="BB317" s="382"/>
      <c r="BC317" s="382"/>
      <c r="BD317" s="382"/>
      <c r="BE317" s="382"/>
      <c r="BF317" s="382"/>
      <c r="BG317" s="382"/>
      <c r="BH317" s="382"/>
      <c r="BI317" s="382"/>
      <c r="BJ317" s="382"/>
      <c r="BK317" s="382"/>
      <c r="BL317" s="382"/>
      <c r="BM317" s="382"/>
      <c r="BN317" s="382"/>
      <c r="BO317" s="382"/>
    </row>
    <row r="318" spans="1:67" s="88" customFormat="1" ht="10.55" customHeight="1" x14ac:dyDescent="0.2">
      <c r="A318" s="1013" t="s">
        <v>427</v>
      </c>
      <c r="B318" s="2807"/>
      <c r="C318" s="2808"/>
      <c r="D318" s="2809"/>
      <c r="E318" s="2561"/>
      <c r="F318" s="2562"/>
      <c r="G318" s="1785">
        <v>15</v>
      </c>
      <c r="H318" s="524"/>
      <c r="I318" s="1409">
        <f t="shared" si="83"/>
        <v>8.0766456051533542E-2</v>
      </c>
      <c r="J318" s="1421">
        <f t="shared" si="84"/>
        <v>0</v>
      </c>
      <c r="K318" s="678">
        <v>0.5</v>
      </c>
      <c r="L318" s="1002"/>
      <c r="M318" s="1428">
        <f t="shared" si="85"/>
        <v>0</v>
      </c>
      <c r="N318" s="1106"/>
      <c r="O318" s="674">
        <f t="shared" si="86"/>
        <v>15</v>
      </c>
      <c r="P318" s="682"/>
      <c r="Q318" s="286"/>
      <c r="R318" s="287"/>
      <c r="S318" s="280"/>
      <c r="T318" s="280"/>
      <c r="U318" s="280"/>
      <c r="V318" s="280"/>
      <c r="W318" s="280"/>
      <c r="X318" s="280"/>
      <c r="Y318" s="280"/>
      <c r="Z318" s="284"/>
      <c r="AA318" s="284"/>
      <c r="AB318" s="284"/>
      <c r="AC318" s="284"/>
      <c r="AD318" s="284"/>
      <c r="AE318" s="284"/>
      <c r="AF318" s="447"/>
      <c r="AG318" s="447"/>
      <c r="AH318" s="447"/>
      <c r="AI318" s="382"/>
      <c r="AJ318" s="382"/>
      <c r="AK318" s="382"/>
      <c r="AL318" s="382"/>
      <c r="AM318" s="382"/>
      <c r="AN318" s="382"/>
      <c r="AO318" s="382"/>
      <c r="AP318" s="382"/>
      <c r="AQ318" s="382"/>
      <c r="AR318" s="382"/>
      <c r="AS318" s="382"/>
      <c r="AT318" s="382"/>
      <c r="AU318" s="382"/>
      <c r="AV318" s="382"/>
      <c r="AW318" s="382"/>
      <c r="AX318" s="382"/>
      <c r="AY318" s="382"/>
      <c r="AZ318" s="382"/>
      <c r="BA318" s="382"/>
      <c r="BB318" s="382"/>
      <c r="BC318" s="382"/>
      <c r="BD318" s="382"/>
      <c r="BE318" s="382"/>
      <c r="BF318" s="382"/>
      <c r="BG318" s="382"/>
      <c r="BH318" s="382"/>
      <c r="BI318" s="382"/>
      <c r="BJ318" s="382"/>
      <c r="BK318" s="382"/>
      <c r="BL318" s="382"/>
      <c r="BM318" s="382"/>
      <c r="BN318" s="382"/>
      <c r="BO318" s="382"/>
    </row>
    <row r="319" spans="1:67" s="88" customFormat="1" ht="10.55" customHeight="1" x14ac:dyDescent="0.2">
      <c r="A319" s="1013" t="s">
        <v>428</v>
      </c>
      <c r="B319" s="2807"/>
      <c r="C319" s="2808"/>
      <c r="D319" s="2809"/>
      <c r="E319" s="2561"/>
      <c r="F319" s="2562"/>
      <c r="G319" s="1785">
        <v>15</v>
      </c>
      <c r="H319" s="524"/>
      <c r="I319" s="1409">
        <f t="shared" si="83"/>
        <v>8.0766456051533542E-2</v>
      </c>
      <c r="J319" s="1421">
        <f t="shared" si="84"/>
        <v>0</v>
      </c>
      <c r="K319" s="678"/>
      <c r="L319" s="1002"/>
      <c r="M319" s="1428">
        <f t="shared" si="85"/>
        <v>0</v>
      </c>
      <c r="N319" s="1106"/>
      <c r="O319" s="674">
        <f t="shared" si="86"/>
        <v>15</v>
      </c>
      <c r="P319" s="682"/>
      <c r="Q319" s="286"/>
      <c r="R319" s="287"/>
      <c r="S319" s="280"/>
      <c r="T319" s="280"/>
      <c r="U319" s="280"/>
      <c r="V319" s="280"/>
      <c r="W319" s="280"/>
      <c r="X319" s="280"/>
      <c r="Y319" s="280"/>
      <c r="Z319" s="284"/>
      <c r="AA319" s="284"/>
      <c r="AB319" s="284"/>
      <c r="AC319" s="284"/>
      <c r="AD319" s="284"/>
      <c r="AE319" s="284"/>
      <c r="AF319" s="447"/>
      <c r="AG319" s="447"/>
      <c r="AH319" s="447"/>
      <c r="AI319" s="382"/>
      <c r="AJ319" s="382"/>
      <c r="AK319" s="382"/>
      <c r="AL319" s="382"/>
      <c r="AM319" s="382"/>
      <c r="AN319" s="382"/>
      <c r="AO319" s="382"/>
      <c r="AP319" s="382"/>
      <c r="AQ319" s="382"/>
      <c r="AR319" s="382"/>
      <c r="AS319" s="382"/>
      <c r="AT319" s="382"/>
      <c r="AU319" s="382"/>
      <c r="AV319" s="382"/>
      <c r="AW319" s="382"/>
      <c r="AX319" s="382"/>
      <c r="AY319" s="382"/>
      <c r="AZ319" s="382"/>
      <c r="BA319" s="382"/>
      <c r="BB319" s="382"/>
      <c r="BC319" s="382"/>
      <c r="BD319" s="382"/>
      <c r="BE319" s="382"/>
      <c r="BF319" s="382"/>
      <c r="BG319" s="382"/>
      <c r="BH319" s="382"/>
      <c r="BI319" s="382"/>
      <c r="BJ319" s="382"/>
      <c r="BK319" s="382"/>
      <c r="BL319" s="382"/>
      <c r="BM319" s="382"/>
      <c r="BN319" s="382"/>
      <c r="BO319" s="382"/>
    </row>
    <row r="320" spans="1:67" s="88" customFormat="1" ht="10.55" customHeight="1" x14ac:dyDescent="0.2">
      <c r="A320" s="1013" t="s">
        <v>429</v>
      </c>
      <c r="B320" s="2807"/>
      <c r="C320" s="2808"/>
      <c r="D320" s="2809"/>
      <c r="E320" s="2561"/>
      <c r="F320" s="2562"/>
      <c r="G320" s="1785">
        <v>30</v>
      </c>
      <c r="H320" s="524"/>
      <c r="I320" s="1409">
        <f t="shared" si="83"/>
        <v>4.7777640736176463E-2</v>
      </c>
      <c r="J320" s="1421">
        <f t="shared" si="84"/>
        <v>0</v>
      </c>
      <c r="K320" s="678">
        <v>0.5</v>
      </c>
      <c r="L320" s="1002"/>
      <c r="M320" s="1428">
        <f t="shared" si="85"/>
        <v>0</v>
      </c>
      <c r="N320" s="1106"/>
      <c r="O320" s="674">
        <f t="shared" si="86"/>
        <v>30</v>
      </c>
      <c r="P320" s="682"/>
      <c r="Q320" s="286"/>
      <c r="R320" s="287"/>
      <c r="S320" s="280"/>
      <c r="T320" s="280"/>
      <c r="U320" s="280"/>
      <c r="V320" s="280"/>
      <c r="W320" s="280"/>
      <c r="X320" s="280"/>
      <c r="Y320" s="280"/>
      <c r="Z320" s="284"/>
      <c r="AA320" s="284"/>
      <c r="AB320" s="284"/>
      <c r="AC320" s="284"/>
      <c r="AD320" s="284"/>
      <c r="AE320" s="284"/>
      <c r="AF320" s="447"/>
      <c r="AG320" s="447"/>
      <c r="AH320" s="447"/>
      <c r="AI320" s="382"/>
      <c r="AJ320" s="382"/>
      <c r="AK320" s="382"/>
      <c r="AL320" s="382"/>
      <c r="AM320" s="382"/>
      <c r="AN320" s="382"/>
      <c r="AO320" s="382"/>
      <c r="AP320" s="382"/>
      <c r="AQ320" s="382"/>
      <c r="AR320" s="382"/>
      <c r="AS320" s="382"/>
      <c r="AT320" s="382"/>
      <c r="AU320" s="382"/>
      <c r="AV320" s="382"/>
      <c r="AW320" s="382"/>
      <c r="AX320" s="382"/>
      <c r="AY320" s="382"/>
      <c r="AZ320" s="382"/>
      <c r="BA320" s="382"/>
      <c r="BB320" s="382"/>
      <c r="BC320" s="382"/>
      <c r="BD320" s="382"/>
      <c r="BE320" s="382"/>
      <c r="BF320" s="382"/>
      <c r="BG320" s="382"/>
      <c r="BH320" s="382"/>
      <c r="BI320" s="382"/>
      <c r="BJ320" s="382"/>
      <c r="BK320" s="382"/>
      <c r="BL320" s="382"/>
      <c r="BM320" s="382"/>
      <c r="BN320" s="382"/>
      <c r="BO320" s="382"/>
    </row>
    <row r="321" spans="1:67" s="88" customFormat="1" ht="10.55" customHeight="1" x14ac:dyDescent="0.2">
      <c r="A321" s="675"/>
      <c r="B321" s="2807"/>
      <c r="C321" s="2808"/>
      <c r="D321" s="2809"/>
      <c r="E321" s="2561"/>
      <c r="F321" s="2562"/>
      <c r="G321" s="1015"/>
      <c r="H321" s="524"/>
      <c r="I321" s="1409">
        <f t="shared" si="83"/>
        <v>0</v>
      </c>
      <c r="J321" s="1421">
        <f t="shared" si="84"/>
        <v>0</v>
      </c>
      <c r="K321" s="679"/>
      <c r="L321" s="1002"/>
      <c r="M321" s="1428">
        <f t="shared" si="85"/>
        <v>0</v>
      </c>
      <c r="N321" s="1106"/>
      <c r="O321" s="674">
        <f t="shared" si="86"/>
        <v>0</v>
      </c>
      <c r="P321" s="682"/>
      <c r="Q321" s="286"/>
      <c r="R321" s="287"/>
      <c r="S321" s="280"/>
      <c r="T321" s="280"/>
      <c r="U321" s="280"/>
      <c r="V321" s="280"/>
      <c r="W321" s="280"/>
      <c r="X321" s="280"/>
      <c r="Y321" s="280"/>
      <c r="Z321" s="284"/>
      <c r="AA321" s="284"/>
      <c r="AB321" s="284"/>
      <c r="AC321" s="284"/>
      <c r="AD321" s="284"/>
      <c r="AE321" s="284"/>
      <c r="AF321" s="447"/>
      <c r="AG321" s="447"/>
      <c r="AH321" s="447"/>
      <c r="AI321" s="382"/>
      <c r="AJ321" s="382"/>
      <c r="AK321" s="382"/>
      <c r="AL321" s="382"/>
      <c r="AM321" s="382"/>
      <c r="AN321" s="382"/>
      <c r="AO321" s="382"/>
      <c r="AP321" s="382"/>
      <c r="AQ321" s="382"/>
      <c r="AR321" s="382"/>
      <c r="AS321" s="382"/>
      <c r="AT321" s="382"/>
      <c r="AU321" s="382"/>
      <c r="AV321" s="382"/>
      <c r="AW321" s="382"/>
      <c r="AX321" s="382"/>
      <c r="AY321" s="382"/>
      <c r="AZ321" s="382"/>
      <c r="BA321" s="382"/>
      <c r="BB321" s="382"/>
      <c r="BC321" s="382"/>
      <c r="BD321" s="382"/>
      <c r="BE321" s="382"/>
      <c r="BF321" s="382"/>
      <c r="BG321" s="382"/>
      <c r="BH321" s="382"/>
      <c r="BI321" s="382"/>
      <c r="BJ321" s="382"/>
      <c r="BK321" s="382"/>
      <c r="BL321" s="382"/>
      <c r="BM321" s="382"/>
      <c r="BN321" s="382"/>
      <c r="BO321" s="382"/>
    </row>
    <row r="322" spans="1:67" s="88" customFormat="1" ht="10.55" customHeight="1" x14ac:dyDescent="0.2">
      <c r="A322" s="675"/>
      <c r="B322" s="2807"/>
      <c r="C322" s="2808"/>
      <c r="D322" s="2809"/>
      <c r="E322" s="2561"/>
      <c r="F322" s="2562"/>
      <c r="G322" s="1015"/>
      <c r="H322" s="524"/>
      <c r="I322" s="1409">
        <f t="shared" si="83"/>
        <v>0</v>
      </c>
      <c r="J322" s="1421">
        <f t="shared" si="84"/>
        <v>0</v>
      </c>
      <c r="K322" s="679"/>
      <c r="L322" s="1002"/>
      <c r="M322" s="1428">
        <f t="shared" si="85"/>
        <v>0</v>
      </c>
      <c r="N322" s="1106"/>
      <c r="O322" s="674">
        <f t="shared" si="86"/>
        <v>0</v>
      </c>
      <c r="P322" s="682"/>
      <c r="Q322" s="286"/>
      <c r="R322" s="287"/>
      <c r="S322" s="280"/>
      <c r="T322" s="280"/>
      <c r="U322" s="280"/>
      <c r="V322" s="280"/>
      <c r="W322" s="280"/>
      <c r="X322" s="280"/>
      <c r="Y322" s="280"/>
      <c r="Z322" s="284"/>
      <c r="AA322" s="284"/>
      <c r="AB322" s="284"/>
      <c r="AC322" s="284"/>
      <c r="AD322" s="284"/>
      <c r="AE322" s="284"/>
      <c r="AF322" s="447"/>
      <c r="AG322" s="447"/>
      <c r="AH322" s="447"/>
      <c r="AI322" s="382"/>
      <c r="AJ322" s="382"/>
      <c r="AK322" s="382"/>
      <c r="AL322" s="382"/>
      <c r="AM322" s="382"/>
      <c r="AN322" s="382"/>
      <c r="AO322" s="382"/>
      <c r="AP322" s="382"/>
      <c r="AQ322" s="382"/>
      <c r="AR322" s="382"/>
      <c r="AS322" s="382"/>
      <c r="AT322" s="382"/>
      <c r="AU322" s="382"/>
      <c r="AV322" s="382"/>
      <c r="AW322" s="382"/>
      <c r="AX322" s="382"/>
      <c r="AY322" s="382"/>
      <c r="AZ322" s="382"/>
      <c r="BA322" s="382"/>
      <c r="BB322" s="382"/>
      <c r="BC322" s="382"/>
      <c r="BD322" s="382"/>
      <c r="BE322" s="382"/>
      <c r="BF322" s="382"/>
      <c r="BG322" s="382"/>
      <c r="BH322" s="382"/>
      <c r="BI322" s="382"/>
      <c r="BJ322" s="382"/>
      <c r="BK322" s="382"/>
      <c r="BL322" s="382"/>
      <c r="BM322" s="382"/>
      <c r="BN322" s="382"/>
      <c r="BO322" s="382"/>
    </row>
    <row r="323" spans="1:67" s="88" customFormat="1" ht="10.55" customHeight="1" x14ac:dyDescent="0.2">
      <c r="A323" s="675"/>
      <c r="B323" s="2807"/>
      <c r="C323" s="2808"/>
      <c r="D323" s="2809"/>
      <c r="E323" s="2561"/>
      <c r="F323" s="2562"/>
      <c r="G323" s="1015"/>
      <c r="H323" s="524"/>
      <c r="I323" s="1409">
        <f t="shared" si="83"/>
        <v>0</v>
      </c>
      <c r="J323" s="1421">
        <f t="shared" si="84"/>
        <v>0</v>
      </c>
      <c r="K323" s="679"/>
      <c r="L323" s="1002"/>
      <c r="M323" s="1428">
        <f t="shared" si="85"/>
        <v>0</v>
      </c>
      <c r="N323" s="1106"/>
      <c r="O323" s="674">
        <f t="shared" si="86"/>
        <v>0</v>
      </c>
      <c r="P323" s="682"/>
      <c r="Q323" s="286"/>
      <c r="R323" s="287"/>
      <c r="S323" s="280"/>
      <c r="T323" s="280"/>
      <c r="U323" s="280"/>
      <c r="V323" s="280"/>
      <c r="W323" s="280"/>
      <c r="X323" s="280"/>
      <c r="Y323" s="280"/>
      <c r="Z323" s="284"/>
      <c r="AA323" s="284"/>
      <c r="AB323" s="284"/>
      <c r="AC323" s="284"/>
      <c r="AD323" s="284"/>
      <c r="AE323" s="284"/>
      <c r="AF323" s="447"/>
      <c r="AG323" s="447"/>
      <c r="AH323" s="447"/>
      <c r="AI323" s="382"/>
      <c r="AJ323" s="382"/>
      <c r="AK323" s="382"/>
      <c r="AL323" s="382"/>
      <c r="AM323" s="382"/>
      <c r="AN323" s="382"/>
      <c r="AO323" s="382"/>
      <c r="AP323" s="382"/>
      <c r="AQ323" s="382"/>
      <c r="AR323" s="382"/>
      <c r="AS323" s="382"/>
      <c r="AT323" s="382"/>
      <c r="AU323" s="382"/>
      <c r="AV323" s="382"/>
      <c r="AW323" s="382"/>
      <c r="AX323" s="382"/>
      <c r="AY323" s="382"/>
      <c r="AZ323" s="382"/>
      <c r="BA323" s="382"/>
      <c r="BB323" s="382"/>
      <c r="BC323" s="382"/>
      <c r="BD323" s="382"/>
      <c r="BE323" s="382"/>
      <c r="BF323" s="382"/>
      <c r="BG323" s="382"/>
      <c r="BH323" s="382"/>
      <c r="BI323" s="382"/>
      <c r="BJ323" s="382"/>
      <c r="BK323" s="382"/>
      <c r="BL323" s="382"/>
      <c r="BM323" s="382"/>
      <c r="BN323" s="382"/>
      <c r="BO323" s="382"/>
    </row>
    <row r="324" spans="1:67" s="88" customFormat="1" ht="10.55" customHeight="1" x14ac:dyDescent="0.2">
      <c r="A324" s="675"/>
      <c r="B324" s="2807"/>
      <c r="C324" s="2808"/>
      <c r="D324" s="2809"/>
      <c r="E324" s="2561"/>
      <c r="F324" s="2562"/>
      <c r="G324" s="1015"/>
      <c r="H324" s="524"/>
      <c r="I324" s="1409">
        <f t="shared" si="83"/>
        <v>0</v>
      </c>
      <c r="J324" s="1421">
        <f t="shared" si="84"/>
        <v>0</v>
      </c>
      <c r="K324" s="679"/>
      <c r="L324" s="1002"/>
      <c r="M324" s="1428">
        <f t="shared" si="85"/>
        <v>0</v>
      </c>
      <c r="N324" s="1106"/>
      <c r="O324" s="674">
        <f t="shared" si="86"/>
        <v>0</v>
      </c>
      <c r="P324" s="682"/>
      <c r="Q324" s="286"/>
      <c r="R324" s="287"/>
      <c r="S324" s="280"/>
      <c r="T324" s="280"/>
      <c r="U324" s="280"/>
      <c r="V324" s="280"/>
      <c r="W324" s="280"/>
      <c r="X324" s="280"/>
      <c r="Y324" s="280"/>
      <c r="Z324" s="284"/>
      <c r="AA324" s="284"/>
      <c r="AB324" s="284"/>
      <c r="AC324" s="284"/>
      <c r="AD324" s="284"/>
      <c r="AE324" s="284"/>
      <c r="AF324" s="447"/>
      <c r="AG324" s="447"/>
      <c r="AH324" s="447"/>
      <c r="AI324" s="382"/>
      <c r="AJ324" s="382"/>
      <c r="AK324" s="382"/>
      <c r="AL324" s="382"/>
      <c r="AM324" s="382"/>
      <c r="AN324" s="382"/>
      <c r="AO324" s="382"/>
      <c r="AP324" s="382"/>
      <c r="AQ324" s="382"/>
      <c r="AR324" s="382"/>
      <c r="AS324" s="382"/>
      <c r="AT324" s="382"/>
      <c r="AU324" s="382"/>
      <c r="AV324" s="382"/>
      <c r="AW324" s="382"/>
      <c r="AX324" s="382"/>
      <c r="AY324" s="382"/>
      <c r="AZ324" s="382"/>
      <c r="BA324" s="382"/>
      <c r="BB324" s="382"/>
      <c r="BC324" s="382"/>
      <c r="BD324" s="382"/>
      <c r="BE324" s="382"/>
      <c r="BF324" s="382"/>
      <c r="BG324" s="382"/>
      <c r="BH324" s="382"/>
      <c r="BI324" s="382"/>
      <c r="BJ324" s="382"/>
      <c r="BK324" s="382"/>
      <c r="BL324" s="382"/>
      <c r="BM324" s="382"/>
      <c r="BN324" s="382"/>
      <c r="BO324" s="382"/>
    </row>
    <row r="325" spans="1:67" s="88" customFormat="1" ht="10.55" customHeight="1" x14ac:dyDescent="0.2">
      <c r="A325" s="675"/>
      <c r="B325" s="2807"/>
      <c r="C325" s="2808"/>
      <c r="D325" s="2809"/>
      <c r="E325" s="2561"/>
      <c r="F325" s="2562"/>
      <c r="G325" s="1015"/>
      <c r="H325" s="524"/>
      <c r="I325" s="1409">
        <f t="shared" si="83"/>
        <v>0</v>
      </c>
      <c r="J325" s="1421">
        <f t="shared" si="84"/>
        <v>0</v>
      </c>
      <c r="K325" s="679"/>
      <c r="L325" s="1002"/>
      <c r="M325" s="1428">
        <f t="shared" si="85"/>
        <v>0</v>
      </c>
      <c r="N325" s="1106"/>
      <c r="O325" s="674">
        <f t="shared" si="86"/>
        <v>0</v>
      </c>
      <c r="P325" s="682"/>
      <c r="Q325" s="286"/>
      <c r="R325" s="287"/>
      <c r="S325" s="280"/>
      <c r="T325" s="280"/>
      <c r="U325" s="280"/>
      <c r="V325" s="280"/>
      <c r="W325" s="280"/>
      <c r="X325" s="280"/>
      <c r="Y325" s="280"/>
      <c r="Z325" s="284"/>
      <c r="AA325" s="284"/>
      <c r="AB325" s="284"/>
      <c r="AC325" s="284"/>
      <c r="AD325" s="284"/>
      <c r="AE325" s="284"/>
      <c r="AF325" s="447"/>
      <c r="AG325" s="447"/>
      <c r="AH325" s="447"/>
      <c r="AI325" s="382"/>
      <c r="AJ325" s="382"/>
      <c r="AK325" s="382"/>
      <c r="AL325" s="382"/>
      <c r="AM325" s="382"/>
      <c r="AN325" s="382"/>
      <c r="AO325" s="382"/>
      <c r="AP325" s="382"/>
      <c r="AQ325" s="382"/>
      <c r="AR325" s="382"/>
      <c r="AS325" s="382"/>
      <c r="AT325" s="382"/>
      <c r="AU325" s="382"/>
      <c r="AV325" s="382"/>
      <c r="AW325" s="382"/>
      <c r="AX325" s="382"/>
      <c r="AY325" s="382"/>
      <c r="AZ325" s="382"/>
      <c r="BA325" s="382"/>
      <c r="BB325" s="382"/>
      <c r="BC325" s="382"/>
      <c r="BD325" s="382"/>
      <c r="BE325" s="382"/>
      <c r="BF325" s="382"/>
      <c r="BG325" s="382"/>
      <c r="BH325" s="382"/>
      <c r="BI325" s="382"/>
      <c r="BJ325" s="382"/>
      <c r="BK325" s="382"/>
      <c r="BL325" s="382"/>
      <c r="BM325" s="382"/>
      <c r="BN325" s="382"/>
      <c r="BO325" s="382"/>
    </row>
    <row r="326" spans="1:67" s="88" customFormat="1" ht="10.55" customHeight="1" x14ac:dyDescent="0.2">
      <c r="A326" s="675"/>
      <c r="B326" s="2807"/>
      <c r="C326" s="2808"/>
      <c r="D326" s="2809"/>
      <c r="E326" s="2561"/>
      <c r="F326" s="2562"/>
      <c r="G326" s="1015"/>
      <c r="H326" s="524"/>
      <c r="I326" s="1409">
        <f t="shared" si="83"/>
        <v>0</v>
      </c>
      <c r="J326" s="1421">
        <f t="shared" si="84"/>
        <v>0</v>
      </c>
      <c r="K326" s="679"/>
      <c r="L326" s="1002"/>
      <c r="M326" s="1428">
        <f t="shared" si="85"/>
        <v>0</v>
      </c>
      <c r="N326" s="1106"/>
      <c r="O326" s="674">
        <f t="shared" si="86"/>
        <v>0</v>
      </c>
      <c r="P326" s="682"/>
      <c r="Q326" s="286"/>
      <c r="R326" s="287"/>
      <c r="S326" s="280"/>
      <c r="T326" s="280"/>
      <c r="U326" s="280"/>
      <c r="V326" s="280"/>
      <c r="W326" s="280"/>
      <c r="X326" s="280"/>
      <c r="Y326" s="280"/>
      <c r="Z326" s="284"/>
      <c r="AA326" s="284"/>
      <c r="AB326" s="284"/>
      <c r="AC326" s="284"/>
      <c r="AD326" s="284"/>
      <c r="AE326" s="284"/>
      <c r="AF326" s="447"/>
      <c r="AG326" s="447"/>
      <c r="AH326" s="447"/>
      <c r="AI326" s="382"/>
      <c r="AJ326" s="382"/>
      <c r="AK326" s="382"/>
      <c r="AL326" s="382"/>
      <c r="AM326" s="382"/>
      <c r="AN326" s="382"/>
      <c r="AO326" s="382"/>
      <c r="AP326" s="382"/>
      <c r="AQ326" s="382"/>
      <c r="AR326" s="382"/>
      <c r="AS326" s="382"/>
      <c r="AT326" s="382"/>
      <c r="AU326" s="382"/>
      <c r="AV326" s="382"/>
      <c r="AW326" s="382"/>
      <c r="AX326" s="382"/>
      <c r="AY326" s="382"/>
      <c r="AZ326" s="382"/>
      <c r="BA326" s="382"/>
      <c r="BB326" s="382"/>
      <c r="BC326" s="382"/>
      <c r="BD326" s="382"/>
      <c r="BE326" s="382"/>
      <c r="BF326" s="382"/>
      <c r="BG326" s="382"/>
      <c r="BH326" s="382"/>
      <c r="BI326" s="382"/>
      <c r="BJ326" s="382"/>
      <c r="BK326" s="382"/>
      <c r="BL326" s="382"/>
      <c r="BM326" s="382"/>
      <c r="BN326" s="382"/>
      <c r="BO326" s="382"/>
    </row>
    <row r="327" spans="1:67" s="88" customFormat="1" ht="10.55" customHeight="1" x14ac:dyDescent="0.2">
      <c r="A327" s="675"/>
      <c r="B327" s="2807"/>
      <c r="C327" s="2808"/>
      <c r="D327" s="2809"/>
      <c r="E327" s="2561"/>
      <c r="F327" s="2562"/>
      <c r="G327" s="1015"/>
      <c r="H327" s="524"/>
      <c r="I327" s="1409">
        <f t="shared" si="83"/>
        <v>0</v>
      </c>
      <c r="J327" s="1421">
        <f t="shared" si="84"/>
        <v>0</v>
      </c>
      <c r="K327" s="679"/>
      <c r="L327" s="1002"/>
      <c r="M327" s="1428">
        <f t="shared" si="85"/>
        <v>0</v>
      </c>
      <c r="N327" s="1106"/>
      <c r="O327" s="674">
        <f t="shared" si="86"/>
        <v>0</v>
      </c>
      <c r="P327" s="682"/>
      <c r="Q327" s="286"/>
      <c r="R327" s="287"/>
      <c r="S327" s="280"/>
      <c r="T327" s="280"/>
      <c r="U327" s="280"/>
      <c r="V327" s="280"/>
      <c r="W327" s="280"/>
      <c r="X327" s="280"/>
      <c r="Y327" s="280"/>
      <c r="Z327" s="284"/>
      <c r="AA327" s="284"/>
      <c r="AB327" s="284"/>
      <c r="AC327" s="284"/>
      <c r="AD327" s="284"/>
      <c r="AE327" s="284"/>
      <c r="AF327" s="447"/>
      <c r="AG327" s="447"/>
      <c r="AH327" s="447"/>
      <c r="AI327" s="382"/>
      <c r="AJ327" s="382"/>
      <c r="AK327" s="382"/>
      <c r="AL327" s="382"/>
      <c r="AM327" s="382"/>
      <c r="AN327" s="382"/>
      <c r="AO327" s="382"/>
      <c r="AP327" s="382"/>
      <c r="AQ327" s="382"/>
      <c r="AR327" s="382"/>
      <c r="AS327" s="382"/>
      <c r="AT327" s="382"/>
      <c r="AU327" s="382"/>
      <c r="AV327" s="382"/>
      <c r="AW327" s="382"/>
      <c r="AX327" s="382"/>
      <c r="AY327" s="382"/>
      <c r="AZ327" s="382"/>
      <c r="BA327" s="382"/>
      <c r="BB327" s="382"/>
      <c r="BC327" s="382"/>
      <c r="BD327" s="382"/>
      <c r="BE327" s="382"/>
      <c r="BF327" s="382"/>
      <c r="BG327" s="382"/>
      <c r="BH327" s="382"/>
      <c r="BI327" s="382"/>
      <c r="BJ327" s="382"/>
      <c r="BK327" s="382"/>
      <c r="BL327" s="382"/>
      <c r="BM327" s="382"/>
      <c r="BN327" s="382"/>
      <c r="BO327" s="382"/>
    </row>
    <row r="328" spans="1:67" s="88" customFormat="1" ht="10.55" customHeight="1" x14ac:dyDescent="0.2">
      <c r="A328" s="675"/>
      <c r="B328" s="2807"/>
      <c r="C328" s="2808"/>
      <c r="D328" s="2809"/>
      <c r="E328" s="2561"/>
      <c r="F328" s="2562"/>
      <c r="G328" s="1015"/>
      <c r="H328" s="524"/>
      <c r="I328" s="1409">
        <f t="shared" si="83"/>
        <v>0</v>
      </c>
      <c r="J328" s="1421">
        <f t="shared" si="84"/>
        <v>0</v>
      </c>
      <c r="K328" s="679"/>
      <c r="L328" s="1002"/>
      <c r="M328" s="1428">
        <f t="shared" si="85"/>
        <v>0</v>
      </c>
      <c r="N328" s="1106"/>
      <c r="O328" s="674">
        <f t="shared" si="86"/>
        <v>0</v>
      </c>
      <c r="P328" s="682"/>
      <c r="Q328" s="286"/>
      <c r="R328" s="287"/>
      <c r="S328" s="280"/>
      <c r="T328" s="280"/>
      <c r="U328" s="280"/>
      <c r="V328" s="280"/>
      <c r="W328" s="280"/>
      <c r="X328" s="280"/>
      <c r="Y328" s="280"/>
      <c r="Z328" s="284"/>
      <c r="AA328" s="284"/>
      <c r="AB328" s="284"/>
      <c r="AC328" s="284"/>
      <c r="AD328" s="284"/>
      <c r="AE328" s="284"/>
      <c r="AF328" s="447"/>
      <c r="AG328" s="447"/>
      <c r="AH328" s="447"/>
      <c r="AI328" s="382"/>
      <c r="AJ328" s="382"/>
      <c r="AK328" s="382"/>
      <c r="AL328" s="382"/>
      <c r="AM328" s="382"/>
      <c r="AN328" s="382"/>
      <c r="AO328" s="382"/>
      <c r="AP328" s="382"/>
      <c r="AQ328" s="382"/>
      <c r="AR328" s="382"/>
      <c r="AS328" s="382"/>
      <c r="AT328" s="382"/>
      <c r="AU328" s="382"/>
      <c r="AV328" s="382"/>
      <c r="AW328" s="382"/>
      <c r="AX328" s="382"/>
      <c r="AY328" s="382"/>
      <c r="AZ328" s="382"/>
      <c r="BA328" s="382"/>
      <c r="BB328" s="382"/>
      <c r="BC328" s="382"/>
      <c r="BD328" s="382"/>
      <c r="BE328" s="382"/>
      <c r="BF328" s="382"/>
      <c r="BG328" s="382"/>
      <c r="BH328" s="382"/>
      <c r="BI328" s="382"/>
      <c r="BJ328" s="382"/>
      <c r="BK328" s="382"/>
      <c r="BL328" s="382"/>
      <c r="BM328" s="382"/>
      <c r="BN328" s="382"/>
      <c r="BO328" s="382"/>
    </row>
    <row r="329" spans="1:67" s="88" customFormat="1" ht="10.55" customHeight="1" x14ac:dyDescent="0.2">
      <c r="A329" s="675"/>
      <c r="B329" s="2807"/>
      <c r="C329" s="2808"/>
      <c r="D329" s="2809"/>
      <c r="E329" s="2561"/>
      <c r="F329" s="2562"/>
      <c r="G329" s="1015"/>
      <c r="H329" s="524"/>
      <c r="I329" s="1409">
        <f t="shared" si="83"/>
        <v>0</v>
      </c>
      <c r="J329" s="1421">
        <f t="shared" si="84"/>
        <v>0</v>
      </c>
      <c r="K329" s="679"/>
      <c r="L329" s="1002"/>
      <c r="M329" s="1428">
        <f t="shared" si="85"/>
        <v>0</v>
      </c>
      <c r="N329" s="1106"/>
      <c r="O329" s="674">
        <f t="shared" si="86"/>
        <v>0</v>
      </c>
      <c r="P329" s="682"/>
      <c r="Q329" s="286"/>
      <c r="R329" s="287"/>
      <c r="S329" s="280"/>
      <c r="T329" s="280"/>
      <c r="U329" s="280"/>
      <c r="V329" s="280"/>
      <c r="W329" s="280"/>
      <c r="X329" s="280"/>
      <c r="Y329" s="280"/>
      <c r="Z329" s="284"/>
      <c r="AA329" s="284"/>
      <c r="AB329" s="284"/>
      <c r="AC329" s="284"/>
      <c r="AD329" s="284"/>
      <c r="AE329" s="284"/>
      <c r="AF329" s="447"/>
      <c r="AG329" s="447"/>
      <c r="AH329" s="447"/>
      <c r="AI329" s="382"/>
      <c r="AJ329" s="382"/>
      <c r="AK329" s="382"/>
      <c r="AL329" s="382"/>
      <c r="AM329" s="382"/>
      <c r="AN329" s="382"/>
      <c r="AO329" s="382"/>
      <c r="AP329" s="382"/>
      <c r="AQ329" s="382"/>
      <c r="AR329" s="382"/>
      <c r="AS329" s="382"/>
      <c r="AT329" s="382"/>
      <c r="AU329" s="382"/>
      <c r="AV329" s="382"/>
      <c r="AW329" s="382"/>
      <c r="AX329" s="382"/>
      <c r="AY329" s="382"/>
      <c r="AZ329" s="382"/>
      <c r="BA329" s="382"/>
      <c r="BB329" s="382"/>
      <c r="BC329" s="382"/>
      <c r="BD329" s="382"/>
      <c r="BE329" s="382"/>
      <c r="BF329" s="382"/>
      <c r="BG329" s="382"/>
      <c r="BH329" s="382"/>
      <c r="BI329" s="382"/>
      <c r="BJ329" s="382"/>
      <c r="BK329" s="382"/>
      <c r="BL329" s="382"/>
      <c r="BM329" s="382"/>
      <c r="BN329" s="382"/>
      <c r="BO329" s="382"/>
    </row>
    <row r="330" spans="1:67" s="88" customFormat="1" ht="10.55" customHeight="1" x14ac:dyDescent="0.2">
      <c r="A330" s="1017"/>
      <c r="B330" s="2804"/>
      <c r="C330" s="2805"/>
      <c r="D330" s="2806"/>
      <c r="E330" s="2793"/>
      <c r="F330" s="2794"/>
      <c r="G330" s="1018"/>
      <c r="H330" s="1019"/>
      <c r="I330" s="1436">
        <f t="shared" si="83"/>
        <v>0</v>
      </c>
      <c r="J330" s="1422"/>
      <c r="K330" s="680"/>
      <c r="L330" s="1020"/>
      <c r="M330" s="1429">
        <f t="shared" si="85"/>
        <v>0</v>
      </c>
      <c r="N330" s="1106"/>
      <c r="O330" s="674">
        <f t="shared" si="86"/>
        <v>0</v>
      </c>
      <c r="P330" s="682"/>
      <c r="Q330" s="286"/>
      <c r="R330" s="287"/>
      <c r="S330" s="280"/>
      <c r="T330" s="280"/>
      <c r="U330" s="280"/>
      <c r="V330" s="280"/>
      <c r="W330" s="280"/>
      <c r="X330" s="280"/>
      <c r="Y330" s="280"/>
      <c r="Z330" s="284"/>
      <c r="AA330" s="284"/>
      <c r="AB330" s="284"/>
      <c r="AC330" s="284"/>
      <c r="AD330" s="284"/>
      <c r="AE330" s="284"/>
      <c r="AF330" s="447"/>
      <c r="AG330" s="447"/>
      <c r="AH330" s="447"/>
      <c r="AI330" s="382"/>
      <c r="AJ330" s="382"/>
      <c r="AK330" s="382"/>
      <c r="AL330" s="382"/>
      <c r="AM330" s="382"/>
      <c r="AN330" s="382"/>
      <c r="AO330" s="382"/>
      <c r="AP330" s="382"/>
      <c r="AQ330" s="382"/>
      <c r="AR330" s="382"/>
      <c r="AS330" s="382"/>
      <c r="AT330" s="382"/>
      <c r="AU330" s="382"/>
      <c r="AV330" s="382"/>
      <c r="AW330" s="382"/>
      <c r="AX330" s="382"/>
      <c r="AY330" s="382"/>
      <c r="AZ330" s="382"/>
      <c r="BA330" s="382"/>
      <c r="BB330" s="382"/>
      <c r="BC330" s="382"/>
      <c r="BD330" s="382"/>
      <c r="BE330" s="382"/>
      <c r="BF330" s="382"/>
      <c r="BG330" s="382"/>
      <c r="BH330" s="382"/>
      <c r="BI330" s="382"/>
      <c r="BJ330" s="382"/>
      <c r="BK330" s="382"/>
      <c r="BL330" s="382"/>
      <c r="BM330" s="382"/>
      <c r="BN330" s="382"/>
      <c r="BO330" s="382"/>
    </row>
    <row r="331" spans="1:67" s="88" customFormat="1" ht="10.55" customHeight="1" x14ac:dyDescent="0.2">
      <c r="A331" s="1022" t="s">
        <v>430</v>
      </c>
      <c r="B331" s="2783"/>
      <c r="C331" s="2784"/>
      <c r="D331" s="2785"/>
      <c r="E331" s="2810">
        <f>SUM(E333:E345)</f>
        <v>0</v>
      </c>
      <c r="F331" s="2811"/>
      <c r="G331" s="2747"/>
      <c r="H331" s="2748"/>
      <c r="I331" s="1435">
        <f>IF(E331=0,0,J331/E331)</f>
        <v>0</v>
      </c>
      <c r="J331" s="1423">
        <f>SUM(J333:J345)</f>
        <v>0</v>
      </c>
      <c r="K331" s="2749">
        <f>IF(E331=0,0,M331/E331*100)</f>
        <v>0</v>
      </c>
      <c r="L331" s="2750"/>
      <c r="M331" s="1430">
        <f>SUM(M333:M345)</f>
        <v>0</v>
      </c>
      <c r="N331" s="1106"/>
      <c r="O331" s="387">
        <f>IF(H331="",G331,H331)</f>
        <v>0</v>
      </c>
      <c r="P331" s="682"/>
      <c r="Q331" s="286"/>
      <c r="R331" s="287"/>
      <c r="S331" s="280"/>
      <c r="T331" s="280"/>
      <c r="U331" s="280"/>
      <c r="V331" s="280"/>
      <c r="W331" s="280"/>
      <c r="X331" s="280"/>
      <c r="Y331" s="280"/>
      <c r="Z331" s="284"/>
      <c r="AA331" s="284"/>
      <c r="AB331" s="284"/>
      <c r="AC331" s="284"/>
      <c r="AD331" s="284"/>
      <c r="AE331" s="284"/>
      <c r="AF331" s="447"/>
      <c r="AG331" s="447"/>
      <c r="AH331" s="447"/>
      <c r="AI331" s="382"/>
      <c r="AJ331" s="382"/>
      <c r="AK331" s="382"/>
      <c r="AL331" s="382"/>
      <c r="AM331" s="382"/>
      <c r="AN331" s="382"/>
      <c r="AO331" s="382"/>
      <c r="AP331" s="382"/>
      <c r="AQ331" s="382"/>
      <c r="AR331" s="382"/>
      <c r="AS331" s="382"/>
      <c r="AT331" s="382"/>
      <c r="AU331" s="382"/>
      <c r="AV331" s="382"/>
      <c r="AW331" s="382"/>
      <c r="AX331" s="382"/>
      <c r="AY331" s="382"/>
      <c r="AZ331" s="382"/>
      <c r="BA331" s="382"/>
      <c r="BB331" s="382"/>
      <c r="BC331" s="382"/>
      <c r="BD331" s="382"/>
      <c r="BE331" s="382"/>
      <c r="BF331" s="382"/>
      <c r="BG331" s="382"/>
      <c r="BH331" s="382"/>
      <c r="BI331" s="382"/>
      <c r="BJ331" s="382"/>
      <c r="BK331" s="382"/>
      <c r="BL331" s="382"/>
      <c r="BM331" s="382"/>
      <c r="BN331" s="382"/>
      <c r="BO331" s="382"/>
    </row>
    <row r="332" spans="1:67" s="706" customFormat="1" ht="10.55" customHeight="1" x14ac:dyDescent="0.2">
      <c r="A332" s="1023"/>
      <c r="B332" s="714"/>
      <c r="C332" s="714"/>
      <c r="D332" s="713"/>
      <c r="E332" s="1417"/>
      <c r="F332" s="1418"/>
      <c r="G332" s="1010"/>
      <c r="H332" s="1024"/>
      <c r="I332" s="1438"/>
      <c r="J332" s="1424"/>
      <c r="K332" s="729"/>
      <c r="L332" s="730"/>
      <c r="M332" s="1432"/>
      <c r="N332" s="339"/>
      <c r="O332" s="702"/>
      <c r="P332" s="703"/>
      <c r="Q332" s="286"/>
      <c r="R332" s="287"/>
      <c r="S332" s="280"/>
      <c r="T332" s="280"/>
      <c r="U332" s="280"/>
      <c r="V332" s="280"/>
      <c r="W332" s="280"/>
      <c r="X332" s="280"/>
      <c r="Y332" s="280"/>
      <c r="Z332" s="280"/>
      <c r="AA332" s="280"/>
      <c r="AB332" s="280"/>
      <c r="AC332" s="280"/>
      <c r="AD332" s="280"/>
      <c r="AE332" s="280"/>
      <c r="AF332" s="704"/>
      <c r="AG332" s="704"/>
      <c r="AH332" s="704"/>
      <c r="AI332" s="705"/>
      <c r="AJ332" s="705"/>
      <c r="AK332" s="705"/>
      <c r="AL332" s="705"/>
      <c r="AM332" s="705"/>
      <c r="AN332" s="705"/>
      <c r="AO332" s="705"/>
      <c r="AP332" s="705"/>
      <c r="AQ332" s="705"/>
      <c r="AR332" s="705"/>
      <c r="AS332" s="705"/>
      <c r="AT332" s="705"/>
      <c r="AU332" s="705"/>
      <c r="AV332" s="705"/>
      <c r="AW332" s="705"/>
      <c r="AX332" s="705"/>
      <c r="AY332" s="705"/>
      <c r="AZ332" s="705"/>
      <c r="BA332" s="705"/>
      <c r="BB332" s="705"/>
      <c r="BC332" s="705"/>
      <c r="BD332" s="705"/>
      <c r="BE332" s="705"/>
      <c r="BF332" s="705"/>
      <c r="BG332" s="705"/>
      <c r="BH332" s="705"/>
      <c r="BI332" s="705"/>
      <c r="BJ332" s="705"/>
      <c r="BK332" s="705"/>
      <c r="BL332" s="705"/>
      <c r="BM332" s="705"/>
      <c r="BN332" s="705"/>
      <c r="BO332" s="705"/>
    </row>
    <row r="333" spans="1:67" s="88" customFormat="1" ht="10.55" customHeight="1" x14ac:dyDescent="0.2">
      <c r="A333" s="823" t="s">
        <v>508</v>
      </c>
      <c r="B333" s="689"/>
      <c r="C333" s="689"/>
      <c r="D333" s="1004"/>
      <c r="E333" s="2812">
        <f>ROUND(SUM(E44,E59,E74,E89,E106,E121,E136,E151,E166,E181,E241,E256,E271,E301,E316)*D333,-2)</f>
        <v>0</v>
      </c>
      <c r="F333" s="2813"/>
      <c r="G333" s="1785">
        <v>20</v>
      </c>
      <c r="H333" s="524"/>
      <c r="I333" s="1409">
        <f t="shared" ref="I333:I346" si="87">IF($O333&gt;0,-PMT(($I$9),$O333,1),0)</f>
        <v>6.4147128734474465E-2</v>
      </c>
      <c r="J333" s="1421">
        <f t="shared" ref="J333:J345" si="88">ROUND(E333*I333,0)</f>
        <v>0</v>
      </c>
      <c r="K333" s="687">
        <v>2</v>
      </c>
      <c r="L333" s="1003"/>
      <c r="M333" s="1428">
        <f t="shared" ref="M333:M360" si="89">ROUND(E333/100*IF(ISBLANK(L333),K333,L333),0)</f>
        <v>0</v>
      </c>
      <c r="N333" s="1106"/>
      <c r="O333" s="674">
        <f t="shared" ref="O333:O346" si="90">IF(ISBLANK(H333),G333,H333)</f>
        <v>20</v>
      </c>
      <c r="P333" s="682"/>
      <c r="Q333" s="286"/>
      <c r="R333" s="287"/>
      <c r="S333" s="280"/>
      <c r="T333" s="280"/>
      <c r="U333" s="280"/>
      <c r="V333" s="280"/>
      <c r="W333" s="280"/>
      <c r="X333" s="280"/>
      <c r="Y333" s="280"/>
      <c r="Z333" s="284"/>
      <c r="AA333" s="284"/>
      <c r="AB333" s="284"/>
      <c r="AC333" s="284"/>
      <c r="AD333" s="284"/>
      <c r="AE333" s="284"/>
      <c r="AF333" s="447"/>
      <c r="AG333" s="447"/>
      <c r="AH333" s="447"/>
      <c r="AI333" s="382"/>
      <c r="AJ333" s="382"/>
      <c r="AK333" s="382"/>
      <c r="AL333" s="382"/>
      <c r="AM333" s="382"/>
      <c r="AN333" s="382"/>
      <c r="AO333" s="382"/>
      <c r="AP333" s="382"/>
      <c r="AQ333" s="382"/>
      <c r="AR333" s="382"/>
      <c r="AS333" s="382"/>
      <c r="AT333" s="382"/>
      <c r="AU333" s="382"/>
      <c r="AV333" s="382"/>
      <c r="AW333" s="382"/>
      <c r="AX333" s="382"/>
      <c r="AY333" s="382"/>
      <c r="AZ333" s="382"/>
      <c r="BA333" s="382"/>
      <c r="BB333" s="382"/>
      <c r="BC333" s="382"/>
      <c r="BD333" s="382"/>
      <c r="BE333" s="382"/>
      <c r="BF333" s="382"/>
      <c r="BG333" s="382"/>
      <c r="BH333" s="382"/>
      <c r="BI333" s="382"/>
      <c r="BJ333" s="382"/>
      <c r="BK333" s="382"/>
      <c r="BL333" s="382"/>
      <c r="BM333" s="382"/>
      <c r="BN333" s="382"/>
      <c r="BO333" s="382"/>
    </row>
    <row r="334" spans="1:67" s="88" customFormat="1" ht="10.55" customHeight="1" x14ac:dyDescent="0.2">
      <c r="A334" s="731"/>
      <c r="B334" s="2808"/>
      <c r="C334" s="2808"/>
      <c r="D334" s="2809"/>
      <c r="E334" s="2561"/>
      <c r="F334" s="2562"/>
      <c r="G334" s="1015"/>
      <c r="H334" s="524"/>
      <c r="I334" s="1409">
        <f t="shared" si="87"/>
        <v>0</v>
      </c>
      <c r="J334" s="1421">
        <f t="shared" si="88"/>
        <v>0</v>
      </c>
      <c r="K334" s="679"/>
      <c r="L334" s="1002"/>
      <c r="M334" s="1428">
        <f t="shared" si="89"/>
        <v>0</v>
      </c>
      <c r="N334" s="1106"/>
      <c r="O334" s="674">
        <f t="shared" si="90"/>
        <v>0</v>
      </c>
      <c r="P334" s="682"/>
      <c r="Q334" s="286"/>
      <c r="R334" s="287"/>
      <c r="S334" s="280"/>
      <c r="T334" s="280"/>
      <c r="U334" s="280"/>
      <c r="V334" s="280"/>
      <c r="W334" s="280"/>
      <c r="X334" s="280"/>
      <c r="Y334" s="280"/>
      <c r="Z334" s="284"/>
      <c r="AA334" s="284"/>
      <c r="AB334" s="284"/>
      <c r="AC334" s="284"/>
      <c r="AD334" s="284"/>
      <c r="AE334" s="284"/>
      <c r="AF334" s="447"/>
      <c r="AG334" s="447"/>
      <c r="AH334" s="447"/>
      <c r="AI334" s="382"/>
      <c r="AJ334" s="382"/>
      <c r="AK334" s="382"/>
      <c r="AL334" s="382"/>
      <c r="AM334" s="382"/>
      <c r="AN334" s="382"/>
      <c r="AO334" s="382"/>
      <c r="AP334" s="382"/>
      <c r="AQ334" s="382"/>
      <c r="AR334" s="382"/>
      <c r="AS334" s="382"/>
      <c r="AT334" s="382"/>
      <c r="AU334" s="382"/>
      <c r="AV334" s="382"/>
      <c r="AW334" s="382"/>
      <c r="AX334" s="382"/>
      <c r="AY334" s="382"/>
      <c r="AZ334" s="382"/>
      <c r="BA334" s="382"/>
      <c r="BB334" s="382"/>
      <c r="BC334" s="382"/>
      <c r="BD334" s="382"/>
      <c r="BE334" s="382"/>
      <c r="BF334" s="382"/>
      <c r="BG334" s="382"/>
      <c r="BH334" s="382"/>
      <c r="BI334" s="382"/>
      <c r="BJ334" s="382"/>
      <c r="BK334" s="382"/>
      <c r="BL334" s="382"/>
      <c r="BM334" s="382"/>
      <c r="BN334" s="382"/>
      <c r="BO334" s="382"/>
    </row>
    <row r="335" spans="1:67" s="88" customFormat="1" ht="10.55" customHeight="1" x14ac:dyDescent="0.2">
      <c r="A335" s="731"/>
      <c r="B335" s="2808"/>
      <c r="C335" s="2808"/>
      <c r="D335" s="2809"/>
      <c r="E335" s="2561"/>
      <c r="F335" s="2562"/>
      <c r="G335" s="1015"/>
      <c r="H335" s="524"/>
      <c r="I335" s="1409">
        <f t="shared" si="87"/>
        <v>0</v>
      </c>
      <c r="J335" s="1421">
        <f t="shared" si="88"/>
        <v>0</v>
      </c>
      <c r="K335" s="679"/>
      <c r="L335" s="1002"/>
      <c r="M335" s="1428">
        <f t="shared" si="89"/>
        <v>0</v>
      </c>
      <c r="N335" s="1106"/>
      <c r="O335" s="674">
        <f t="shared" si="90"/>
        <v>0</v>
      </c>
      <c r="P335" s="682"/>
      <c r="Q335" s="286"/>
      <c r="R335" s="287"/>
      <c r="S335" s="280"/>
      <c r="T335" s="280"/>
      <c r="U335" s="280"/>
      <c r="V335" s="280"/>
      <c r="W335" s="280"/>
      <c r="X335" s="280"/>
      <c r="Y335" s="280"/>
      <c r="Z335" s="284"/>
      <c r="AA335" s="284"/>
      <c r="AB335" s="284"/>
      <c r="AC335" s="284"/>
      <c r="AD335" s="284"/>
      <c r="AE335" s="284"/>
      <c r="AF335" s="447"/>
      <c r="AG335" s="447"/>
      <c r="AH335" s="447"/>
      <c r="AI335" s="382"/>
      <c r="AJ335" s="382"/>
      <c r="AK335" s="382"/>
      <c r="AL335" s="382"/>
      <c r="AM335" s="382"/>
      <c r="AN335" s="382"/>
      <c r="AO335" s="382"/>
      <c r="AP335" s="382"/>
      <c r="AQ335" s="382"/>
      <c r="AR335" s="382"/>
      <c r="AS335" s="382"/>
      <c r="AT335" s="382"/>
      <c r="AU335" s="382"/>
      <c r="AV335" s="382"/>
      <c r="AW335" s="382"/>
      <c r="AX335" s="382"/>
      <c r="AY335" s="382"/>
      <c r="AZ335" s="382"/>
      <c r="BA335" s="382"/>
      <c r="BB335" s="382"/>
      <c r="BC335" s="382"/>
      <c r="BD335" s="382"/>
      <c r="BE335" s="382"/>
      <c r="BF335" s="382"/>
      <c r="BG335" s="382"/>
      <c r="BH335" s="382"/>
      <c r="BI335" s="382"/>
      <c r="BJ335" s="382"/>
      <c r="BK335" s="382"/>
      <c r="BL335" s="382"/>
      <c r="BM335" s="382"/>
      <c r="BN335" s="382"/>
      <c r="BO335" s="382"/>
    </row>
    <row r="336" spans="1:67" s="88" customFormat="1" ht="10.55" customHeight="1" x14ac:dyDescent="0.2">
      <c r="A336" s="731"/>
      <c r="B336" s="2808"/>
      <c r="C336" s="2808"/>
      <c r="D336" s="2809"/>
      <c r="E336" s="2561"/>
      <c r="F336" s="2562"/>
      <c r="G336" s="1015"/>
      <c r="H336" s="524"/>
      <c r="I336" s="1409">
        <f t="shared" si="87"/>
        <v>0</v>
      </c>
      <c r="J336" s="1421">
        <f t="shared" si="88"/>
        <v>0</v>
      </c>
      <c r="K336" s="679"/>
      <c r="L336" s="1002"/>
      <c r="M336" s="1428">
        <f t="shared" si="89"/>
        <v>0</v>
      </c>
      <c r="N336" s="1106"/>
      <c r="O336" s="674">
        <f t="shared" si="90"/>
        <v>0</v>
      </c>
      <c r="P336" s="682"/>
      <c r="Q336" s="286"/>
      <c r="R336" s="287"/>
      <c r="S336" s="280"/>
      <c r="T336" s="280"/>
      <c r="U336" s="280"/>
      <c r="V336" s="280"/>
      <c r="W336" s="280"/>
      <c r="X336" s="280"/>
      <c r="Y336" s="280"/>
      <c r="Z336" s="284"/>
      <c r="AA336" s="284"/>
      <c r="AB336" s="284"/>
      <c r="AC336" s="284"/>
      <c r="AD336" s="284"/>
      <c r="AE336" s="284"/>
      <c r="AF336" s="447"/>
      <c r="AG336" s="447"/>
      <c r="AH336" s="447"/>
      <c r="AI336" s="382"/>
      <c r="AJ336" s="382"/>
      <c r="AK336" s="382"/>
      <c r="AL336" s="382"/>
      <c r="AM336" s="382"/>
      <c r="AN336" s="382"/>
      <c r="AO336" s="382"/>
      <c r="AP336" s="382"/>
      <c r="AQ336" s="382"/>
      <c r="AR336" s="382"/>
      <c r="AS336" s="382"/>
      <c r="AT336" s="382"/>
      <c r="AU336" s="382"/>
      <c r="AV336" s="382"/>
      <c r="AW336" s="382"/>
      <c r="AX336" s="382"/>
      <c r="AY336" s="382"/>
      <c r="AZ336" s="382"/>
      <c r="BA336" s="382"/>
      <c r="BB336" s="382"/>
      <c r="BC336" s="382"/>
      <c r="BD336" s="382"/>
      <c r="BE336" s="382"/>
      <c r="BF336" s="382"/>
      <c r="BG336" s="382"/>
      <c r="BH336" s="382"/>
      <c r="BI336" s="382"/>
      <c r="BJ336" s="382"/>
      <c r="BK336" s="382"/>
      <c r="BL336" s="382"/>
      <c r="BM336" s="382"/>
      <c r="BN336" s="382"/>
      <c r="BO336" s="382"/>
    </row>
    <row r="337" spans="1:67" s="88" customFormat="1" ht="10.55" customHeight="1" x14ac:dyDescent="0.2">
      <c r="A337" s="731"/>
      <c r="B337" s="2808"/>
      <c r="C337" s="2808"/>
      <c r="D337" s="2809"/>
      <c r="E337" s="2561"/>
      <c r="F337" s="2562"/>
      <c r="G337" s="1015"/>
      <c r="H337" s="524"/>
      <c r="I337" s="1409">
        <f t="shared" si="87"/>
        <v>0</v>
      </c>
      <c r="J337" s="1421">
        <f t="shared" si="88"/>
        <v>0</v>
      </c>
      <c r="K337" s="679"/>
      <c r="L337" s="1002"/>
      <c r="M337" s="1428">
        <f t="shared" si="89"/>
        <v>0</v>
      </c>
      <c r="N337" s="1106"/>
      <c r="O337" s="674">
        <f t="shared" si="90"/>
        <v>0</v>
      </c>
      <c r="P337" s="682"/>
      <c r="Q337" s="286"/>
      <c r="R337" s="287"/>
      <c r="S337" s="280"/>
      <c r="T337" s="280"/>
      <c r="U337" s="280"/>
      <c r="V337" s="280"/>
      <c r="W337" s="280"/>
      <c r="X337" s="280"/>
      <c r="Y337" s="280"/>
      <c r="Z337" s="284"/>
      <c r="AA337" s="284"/>
      <c r="AB337" s="284"/>
      <c r="AC337" s="284"/>
      <c r="AD337" s="284"/>
      <c r="AE337" s="284"/>
      <c r="AF337" s="447"/>
      <c r="AG337" s="447"/>
      <c r="AH337" s="447"/>
      <c r="AI337" s="382"/>
      <c r="AJ337" s="382"/>
      <c r="AK337" s="382"/>
      <c r="AL337" s="382"/>
      <c r="AM337" s="382"/>
      <c r="AN337" s="382"/>
      <c r="AO337" s="382"/>
      <c r="AP337" s="382"/>
      <c r="AQ337" s="382"/>
      <c r="AR337" s="382"/>
      <c r="AS337" s="382"/>
      <c r="AT337" s="382"/>
      <c r="AU337" s="382"/>
      <c r="AV337" s="382"/>
      <c r="AW337" s="382"/>
      <c r="AX337" s="382"/>
      <c r="AY337" s="382"/>
      <c r="AZ337" s="382"/>
      <c r="BA337" s="382"/>
      <c r="BB337" s="382"/>
      <c r="BC337" s="382"/>
      <c r="BD337" s="382"/>
      <c r="BE337" s="382"/>
      <c r="BF337" s="382"/>
      <c r="BG337" s="382"/>
      <c r="BH337" s="382"/>
      <c r="BI337" s="382"/>
      <c r="BJ337" s="382"/>
      <c r="BK337" s="382"/>
      <c r="BL337" s="382"/>
      <c r="BM337" s="382"/>
      <c r="BN337" s="382"/>
      <c r="BO337" s="382"/>
    </row>
    <row r="338" spans="1:67" s="88" customFormat="1" ht="10.55" customHeight="1" x14ac:dyDescent="0.2">
      <c r="A338" s="731"/>
      <c r="B338" s="2808"/>
      <c r="C338" s="2808"/>
      <c r="D338" s="2809"/>
      <c r="E338" s="2561"/>
      <c r="F338" s="2562"/>
      <c r="G338" s="1015"/>
      <c r="H338" s="524"/>
      <c r="I338" s="1409">
        <f t="shared" si="87"/>
        <v>0</v>
      </c>
      <c r="J338" s="1421">
        <f t="shared" si="88"/>
        <v>0</v>
      </c>
      <c r="K338" s="679"/>
      <c r="L338" s="1002"/>
      <c r="M338" s="1428">
        <f t="shared" si="89"/>
        <v>0</v>
      </c>
      <c r="N338" s="1106"/>
      <c r="O338" s="674">
        <f t="shared" si="90"/>
        <v>0</v>
      </c>
      <c r="P338" s="682"/>
      <c r="Q338" s="286"/>
      <c r="R338" s="287"/>
      <c r="S338" s="280"/>
      <c r="T338" s="280"/>
      <c r="U338" s="280"/>
      <c r="V338" s="280"/>
      <c r="W338" s="280"/>
      <c r="X338" s="280"/>
      <c r="Y338" s="280"/>
      <c r="Z338" s="284"/>
      <c r="AA338" s="284"/>
      <c r="AB338" s="284"/>
      <c r="AC338" s="284"/>
      <c r="AD338" s="284"/>
      <c r="AE338" s="284"/>
      <c r="AF338" s="447"/>
      <c r="AG338" s="447"/>
      <c r="AH338" s="447"/>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2"/>
      <c r="BL338" s="382"/>
      <c r="BM338" s="382"/>
      <c r="BN338" s="382"/>
      <c r="BO338" s="382"/>
    </row>
    <row r="339" spans="1:67" s="88" customFormat="1" ht="10.55" customHeight="1" x14ac:dyDescent="0.2">
      <c r="A339" s="1025"/>
      <c r="B339" s="690"/>
      <c r="C339" s="690"/>
      <c r="D339" s="683"/>
      <c r="E339" s="2814"/>
      <c r="F339" s="2815"/>
      <c r="G339" s="1026"/>
      <c r="H339" s="694"/>
      <c r="I339" s="1439">
        <f t="shared" si="87"/>
        <v>0</v>
      </c>
      <c r="J339" s="1425">
        <f t="shared" si="88"/>
        <v>0</v>
      </c>
      <c r="K339" s="695"/>
      <c r="L339" s="1005"/>
      <c r="M339" s="1429">
        <f t="shared" si="89"/>
        <v>0</v>
      </c>
      <c r="N339" s="1106"/>
      <c r="O339" s="674">
        <f t="shared" si="90"/>
        <v>0</v>
      </c>
      <c r="P339" s="682"/>
      <c r="Q339" s="286"/>
      <c r="R339" s="287"/>
      <c r="S339" s="280"/>
      <c r="T339" s="280"/>
      <c r="U339" s="280"/>
      <c r="V339" s="280"/>
      <c r="W339" s="280"/>
      <c r="X339" s="280"/>
      <c r="Y339" s="280"/>
      <c r="Z339" s="284"/>
      <c r="AA339" s="284"/>
      <c r="AB339" s="284"/>
      <c r="AC339" s="284"/>
      <c r="AD339" s="284"/>
      <c r="AE339" s="284"/>
      <c r="AF339" s="447"/>
      <c r="AG339" s="447"/>
      <c r="AH339" s="447"/>
      <c r="AI339" s="382"/>
      <c r="AJ339" s="382"/>
      <c r="AK339" s="382"/>
      <c r="AL339" s="382"/>
      <c r="AM339" s="382"/>
      <c r="AN339" s="382"/>
      <c r="AO339" s="382"/>
      <c r="AP339" s="382"/>
      <c r="AQ339" s="382"/>
      <c r="AR339" s="382"/>
      <c r="AS339" s="382"/>
      <c r="AT339" s="382"/>
      <c r="AU339" s="382"/>
      <c r="AV339" s="382"/>
      <c r="AW339" s="382"/>
      <c r="AX339" s="382"/>
      <c r="AY339" s="382"/>
      <c r="AZ339" s="382"/>
      <c r="BA339" s="382"/>
      <c r="BB339" s="382"/>
      <c r="BC339" s="382"/>
      <c r="BD339" s="382"/>
      <c r="BE339" s="382"/>
      <c r="BF339" s="382"/>
      <c r="BG339" s="382"/>
      <c r="BH339" s="382"/>
      <c r="BI339" s="382"/>
      <c r="BJ339" s="382"/>
      <c r="BK339" s="382"/>
      <c r="BL339" s="382"/>
      <c r="BM339" s="382"/>
      <c r="BN339" s="382"/>
      <c r="BO339" s="382"/>
    </row>
    <row r="340" spans="1:67" s="88" customFormat="1" ht="10.55" customHeight="1" x14ac:dyDescent="0.2">
      <c r="A340" s="1027" t="s">
        <v>509</v>
      </c>
      <c r="B340" s="689"/>
      <c r="C340" s="689"/>
      <c r="D340" s="1004"/>
      <c r="E340" s="2812">
        <f>ROUND(SUM(E44,E196,E211,E226,E286)*D340,-2)</f>
        <v>0</v>
      </c>
      <c r="F340" s="2813"/>
      <c r="G340" s="1785">
        <v>20</v>
      </c>
      <c r="H340" s="524"/>
      <c r="I340" s="1409">
        <f t="shared" si="87"/>
        <v>6.4147128734474465E-2</v>
      </c>
      <c r="J340" s="1421">
        <f t="shared" si="88"/>
        <v>0</v>
      </c>
      <c r="K340" s="687">
        <v>1</v>
      </c>
      <c r="L340" s="1003"/>
      <c r="M340" s="1428">
        <f t="shared" si="89"/>
        <v>0</v>
      </c>
      <c r="N340" s="1106"/>
      <c r="O340" s="674">
        <f t="shared" si="90"/>
        <v>20</v>
      </c>
      <c r="P340" s="682"/>
      <c r="Q340" s="286"/>
      <c r="R340" s="287"/>
      <c r="S340" s="280"/>
      <c r="T340" s="280"/>
      <c r="U340" s="280"/>
      <c r="V340" s="280"/>
      <c r="W340" s="280"/>
      <c r="X340" s="280"/>
      <c r="Y340" s="280"/>
      <c r="Z340" s="284"/>
      <c r="AA340" s="284"/>
      <c r="AB340" s="284"/>
      <c r="AC340" s="284"/>
      <c r="AD340" s="284"/>
      <c r="AE340" s="284"/>
      <c r="AF340" s="447"/>
      <c r="AG340" s="447"/>
      <c r="AH340" s="447"/>
      <c r="AI340" s="382"/>
      <c r="AJ340" s="382"/>
      <c r="AK340" s="382"/>
      <c r="AL340" s="382"/>
      <c r="AM340" s="382"/>
      <c r="AN340" s="382"/>
      <c r="AO340" s="382"/>
      <c r="AP340" s="382"/>
      <c r="AQ340" s="382"/>
      <c r="AR340" s="382"/>
      <c r="AS340" s="382"/>
      <c r="AT340" s="382"/>
      <c r="AU340" s="382"/>
      <c r="AV340" s="382"/>
      <c r="AW340" s="382"/>
      <c r="AX340" s="382"/>
      <c r="AY340" s="382"/>
      <c r="AZ340" s="382"/>
      <c r="BA340" s="382"/>
      <c r="BB340" s="382"/>
      <c r="BC340" s="382"/>
      <c r="BD340" s="382"/>
      <c r="BE340" s="382"/>
      <c r="BF340" s="382"/>
      <c r="BG340" s="382"/>
      <c r="BH340" s="382"/>
      <c r="BI340" s="382"/>
      <c r="BJ340" s="382"/>
      <c r="BK340" s="382"/>
      <c r="BL340" s="382"/>
      <c r="BM340" s="382"/>
      <c r="BN340" s="382"/>
      <c r="BO340" s="382"/>
    </row>
    <row r="341" spans="1:67" s="88" customFormat="1" ht="10.55" customHeight="1" x14ac:dyDescent="0.2">
      <c r="A341" s="731"/>
      <c r="B341" s="2808"/>
      <c r="C341" s="2808"/>
      <c r="D341" s="2809"/>
      <c r="E341" s="2561"/>
      <c r="F341" s="2562"/>
      <c r="G341" s="1015"/>
      <c r="H341" s="524"/>
      <c r="I341" s="1409">
        <f t="shared" si="87"/>
        <v>0</v>
      </c>
      <c r="J341" s="1421">
        <f t="shared" si="88"/>
        <v>0</v>
      </c>
      <c r="K341" s="679"/>
      <c r="L341" s="1002"/>
      <c r="M341" s="1428">
        <f t="shared" si="89"/>
        <v>0</v>
      </c>
      <c r="N341" s="1106"/>
      <c r="O341" s="674">
        <f t="shared" si="90"/>
        <v>0</v>
      </c>
      <c r="P341" s="682"/>
      <c r="Q341" s="286"/>
      <c r="R341" s="287"/>
      <c r="S341" s="280"/>
      <c r="T341" s="280"/>
      <c r="U341" s="280"/>
      <c r="V341" s="280"/>
      <c r="W341" s="280"/>
      <c r="X341" s="280"/>
      <c r="Y341" s="280"/>
      <c r="Z341" s="284"/>
      <c r="AA341" s="284"/>
      <c r="AB341" s="284"/>
      <c r="AC341" s="284"/>
      <c r="AD341" s="284"/>
      <c r="AE341" s="284"/>
      <c r="AF341" s="447"/>
      <c r="AG341" s="447"/>
      <c r="AH341" s="447"/>
      <c r="AI341" s="382"/>
      <c r="AJ341" s="382"/>
      <c r="AK341" s="382"/>
      <c r="AL341" s="382"/>
      <c r="AM341" s="382"/>
      <c r="AN341" s="382"/>
      <c r="AO341" s="382"/>
      <c r="AP341" s="382"/>
      <c r="AQ341" s="382"/>
      <c r="AR341" s="382"/>
      <c r="AS341" s="382"/>
      <c r="AT341" s="382"/>
      <c r="AU341" s="382"/>
      <c r="AV341" s="382"/>
      <c r="AW341" s="382"/>
      <c r="AX341" s="382"/>
      <c r="AY341" s="382"/>
      <c r="AZ341" s="382"/>
      <c r="BA341" s="382"/>
      <c r="BB341" s="382"/>
      <c r="BC341" s="382"/>
      <c r="BD341" s="382"/>
      <c r="BE341" s="382"/>
      <c r="BF341" s="382"/>
      <c r="BG341" s="382"/>
      <c r="BH341" s="382"/>
      <c r="BI341" s="382"/>
      <c r="BJ341" s="382"/>
      <c r="BK341" s="382"/>
      <c r="BL341" s="382"/>
      <c r="BM341" s="382"/>
      <c r="BN341" s="382"/>
      <c r="BO341" s="382"/>
    </row>
    <row r="342" spans="1:67" s="88" customFormat="1" ht="10.55" customHeight="1" x14ac:dyDescent="0.2">
      <c r="A342" s="731"/>
      <c r="B342" s="2808"/>
      <c r="C342" s="2808"/>
      <c r="D342" s="2809"/>
      <c r="E342" s="2561"/>
      <c r="F342" s="2562"/>
      <c r="G342" s="1015"/>
      <c r="H342" s="524"/>
      <c r="I342" s="1409">
        <f t="shared" si="87"/>
        <v>0</v>
      </c>
      <c r="J342" s="1421">
        <f t="shared" si="88"/>
        <v>0</v>
      </c>
      <c r="K342" s="679"/>
      <c r="L342" s="1002"/>
      <c r="M342" s="1428">
        <f t="shared" si="89"/>
        <v>0</v>
      </c>
      <c r="N342" s="1106"/>
      <c r="O342" s="674">
        <f t="shared" si="90"/>
        <v>0</v>
      </c>
      <c r="P342" s="682"/>
      <c r="Q342" s="286"/>
      <c r="R342" s="287"/>
      <c r="S342" s="280"/>
      <c r="T342" s="280"/>
      <c r="U342" s="280"/>
      <c r="V342" s="280"/>
      <c r="W342" s="280"/>
      <c r="X342" s="280"/>
      <c r="Y342" s="280"/>
      <c r="Z342" s="284"/>
      <c r="AA342" s="284"/>
      <c r="AB342" s="284"/>
      <c r="AC342" s="284"/>
      <c r="AD342" s="284"/>
      <c r="AE342" s="284"/>
      <c r="AF342" s="447"/>
      <c r="AG342" s="447"/>
      <c r="AH342" s="447"/>
      <c r="AI342" s="382"/>
      <c r="AJ342" s="382"/>
      <c r="AK342" s="382"/>
      <c r="AL342" s="382"/>
      <c r="AM342" s="382"/>
      <c r="AN342" s="382"/>
      <c r="AO342" s="382"/>
      <c r="AP342" s="382"/>
      <c r="AQ342" s="382"/>
      <c r="AR342" s="382"/>
      <c r="AS342" s="382"/>
      <c r="AT342" s="382"/>
      <c r="AU342" s="382"/>
      <c r="AV342" s="382"/>
      <c r="AW342" s="382"/>
      <c r="AX342" s="382"/>
      <c r="AY342" s="382"/>
      <c r="AZ342" s="382"/>
      <c r="BA342" s="382"/>
      <c r="BB342" s="382"/>
      <c r="BC342" s="382"/>
      <c r="BD342" s="382"/>
      <c r="BE342" s="382"/>
      <c r="BF342" s="382"/>
      <c r="BG342" s="382"/>
      <c r="BH342" s="382"/>
      <c r="BI342" s="382"/>
      <c r="BJ342" s="382"/>
      <c r="BK342" s="382"/>
      <c r="BL342" s="382"/>
      <c r="BM342" s="382"/>
      <c r="BN342" s="382"/>
      <c r="BO342" s="382"/>
    </row>
    <row r="343" spans="1:67" s="88" customFormat="1" ht="10.55" customHeight="1" x14ac:dyDescent="0.2">
      <c r="A343" s="731"/>
      <c r="B343" s="2808"/>
      <c r="C343" s="2808"/>
      <c r="D343" s="2809"/>
      <c r="E343" s="2561"/>
      <c r="F343" s="2562"/>
      <c r="G343" s="1015"/>
      <c r="H343" s="524"/>
      <c r="I343" s="1409">
        <f t="shared" si="87"/>
        <v>0</v>
      </c>
      <c r="J343" s="1421">
        <f t="shared" si="88"/>
        <v>0</v>
      </c>
      <c r="K343" s="679"/>
      <c r="L343" s="1002"/>
      <c r="M343" s="1428">
        <f t="shared" si="89"/>
        <v>0</v>
      </c>
      <c r="N343" s="1106"/>
      <c r="O343" s="674">
        <f t="shared" si="90"/>
        <v>0</v>
      </c>
      <c r="P343" s="682"/>
      <c r="Q343" s="286"/>
      <c r="R343" s="287"/>
      <c r="S343" s="280"/>
      <c r="T343" s="280"/>
      <c r="U343" s="280"/>
      <c r="V343" s="280"/>
      <c r="W343" s="280"/>
      <c r="X343" s="280"/>
      <c r="Y343" s="280"/>
      <c r="Z343" s="284"/>
      <c r="AA343" s="284"/>
      <c r="AB343" s="284"/>
      <c r="AC343" s="284"/>
      <c r="AD343" s="284"/>
      <c r="AE343" s="284"/>
      <c r="AF343" s="447"/>
      <c r="AG343" s="447"/>
      <c r="AH343" s="447"/>
      <c r="AI343" s="382"/>
      <c r="AJ343" s="382"/>
      <c r="AK343" s="382"/>
      <c r="AL343" s="382"/>
      <c r="AM343" s="382"/>
      <c r="AN343" s="382"/>
      <c r="AO343" s="382"/>
      <c r="AP343" s="382"/>
      <c r="AQ343" s="382"/>
      <c r="AR343" s="382"/>
      <c r="AS343" s="382"/>
      <c r="AT343" s="382"/>
      <c r="AU343" s="382"/>
      <c r="AV343" s="382"/>
      <c r="AW343" s="382"/>
      <c r="AX343" s="382"/>
      <c r="AY343" s="382"/>
      <c r="AZ343" s="382"/>
      <c r="BA343" s="382"/>
      <c r="BB343" s="382"/>
      <c r="BC343" s="382"/>
      <c r="BD343" s="382"/>
      <c r="BE343" s="382"/>
      <c r="BF343" s="382"/>
      <c r="BG343" s="382"/>
      <c r="BH343" s="382"/>
      <c r="BI343" s="382"/>
      <c r="BJ343" s="382"/>
      <c r="BK343" s="382"/>
      <c r="BL343" s="382"/>
      <c r="BM343" s="382"/>
      <c r="BN343" s="382"/>
      <c r="BO343" s="382"/>
    </row>
    <row r="344" spans="1:67" s="88" customFormat="1" ht="10.55" customHeight="1" x14ac:dyDescent="0.2">
      <c r="A344" s="731"/>
      <c r="B344" s="2808"/>
      <c r="C344" s="2808"/>
      <c r="D344" s="2809"/>
      <c r="E344" s="2561"/>
      <c r="F344" s="2562"/>
      <c r="G344" s="1015"/>
      <c r="H344" s="524"/>
      <c r="I344" s="1409">
        <f t="shared" si="87"/>
        <v>0</v>
      </c>
      <c r="J344" s="1421">
        <f t="shared" si="88"/>
        <v>0</v>
      </c>
      <c r="K344" s="679"/>
      <c r="L344" s="1002"/>
      <c r="M344" s="1428">
        <f t="shared" si="89"/>
        <v>0</v>
      </c>
      <c r="N344" s="1106"/>
      <c r="O344" s="674">
        <f t="shared" si="90"/>
        <v>0</v>
      </c>
      <c r="P344" s="682"/>
      <c r="Q344" s="286"/>
      <c r="R344" s="287"/>
      <c r="S344" s="280"/>
      <c r="T344" s="280"/>
      <c r="U344" s="280"/>
      <c r="V344" s="280"/>
      <c r="W344" s="280"/>
      <c r="X344" s="280"/>
      <c r="Y344" s="280"/>
      <c r="Z344" s="284"/>
      <c r="AA344" s="284"/>
      <c r="AB344" s="284"/>
      <c r="AC344" s="284"/>
      <c r="AD344" s="284"/>
      <c r="AE344" s="284"/>
      <c r="AF344" s="447"/>
      <c r="AG344" s="447"/>
      <c r="AH344" s="447"/>
      <c r="AI344" s="382"/>
      <c r="AJ344" s="382"/>
      <c r="AK344" s="382"/>
      <c r="AL344" s="382"/>
      <c r="AM344" s="382"/>
      <c r="AN344" s="382"/>
      <c r="AO344" s="382"/>
      <c r="AP344" s="382"/>
      <c r="AQ344" s="382"/>
      <c r="AR344" s="382"/>
      <c r="AS344" s="382"/>
      <c r="AT344" s="382"/>
      <c r="AU344" s="382"/>
      <c r="AV344" s="382"/>
      <c r="AW344" s="382"/>
      <c r="AX344" s="382"/>
      <c r="AY344" s="382"/>
      <c r="AZ344" s="382"/>
      <c r="BA344" s="382"/>
      <c r="BB344" s="382"/>
      <c r="BC344" s="382"/>
      <c r="BD344" s="382"/>
      <c r="BE344" s="382"/>
      <c r="BF344" s="382"/>
      <c r="BG344" s="382"/>
      <c r="BH344" s="382"/>
      <c r="BI344" s="382"/>
      <c r="BJ344" s="382"/>
      <c r="BK344" s="382"/>
      <c r="BL344" s="382"/>
      <c r="BM344" s="382"/>
      <c r="BN344" s="382"/>
      <c r="BO344" s="382"/>
    </row>
    <row r="345" spans="1:67" s="88" customFormat="1" ht="10.55" customHeight="1" x14ac:dyDescent="0.2">
      <c r="A345" s="731"/>
      <c r="B345" s="2808"/>
      <c r="C345" s="2808"/>
      <c r="D345" s="2809"/>
      <c r="E345" s="2561"/>
      <c r="F345" s="2562"/>
      <c r="G345" s="1015"/>
      <c r="H345" s="524"/>
      <c r="I345" s="1409">
        <f t="shared" si="87"/>
        <v>0</v>
      </c>
      <c r="J345" s="1421">
        <f t="shared" si="88"/>
        <v>0</v>
      </c>
      <c r="K345" s="679"/>
      <c r="L345" s="1002"/>
      <c r="M345" s="1428">
        <f t="shared" si="89"/>
        <v>0</v>
      </c>
      <c r="N345" s="1106"/>
      <c r="O345" s="674">
        <f t="shared" si="90"/>
        <v>0</v>
      </c>
      <c r="P345" s="682"/>
      <c r="Q345" s="286"/>
      <c r="R345" s="287"/>
      <c r="S345" s="280"/>
      <c r="T345" s="280"/>
      <c r="U345" s="280"/>
      <c r="V345" s="280"/>
      <c r="W345" s="280"/>
      <c r="X345" s="280"/>
      <c r="Y345" s="280"/>
      <c r="Z345" s="284"/>
      <c r="AA345" s="284"/>
      <c r="AB345" s="284"/>
      <c r="AC345" s="284"/>
      <c r="AD345" s="284"/>
      <c r="AE345" s="284"/>
      <c r="AF345" s="447"/>
      <c r="AG345" s="447"/>
      <c r="AH345" s="447"/>
      <c r="AI345" s="382"/>
      <c r="AJ345" s="382"/>
      <c r="AK345" s="382"/>
      <c r="AL345" s="382"/>
      <c r="AM345" s="382"/>
      <c r="AN345" s="382"/>
      <c r="AO345" s="382"/>
      <c r="AP345" s="382"/>
      <c r="AQ345" s="382"/>
      <c r="AR345" s="382"/>
      <c r="AS345" s="382"/>
      <c r="AT345" s="382"/>
      <c r="AU345" s="382"/>
      <c r="AV345" s="382"/>
      <c r="AW345" s="382"/>
      <c r="AX345" s="382"/>
      <c r="AY345" s="382"/>
      <c r="AZ345" s="382"/>
      <c r="BA345" s="382"/>
      <c r="BB345" s="382"/>
      <c r="BC345" s="382"/>
      <c r="BD345" s="382"/>
      <c r="BE345" s="382"/>
      <c r="BF345" s="382"/>
      <c r="BG345" s="382"/>
      <c r="BH345" s="382"/>
      <c r="BI345" s="382"/>
      <c r="BJ345" s="382"/>
      <c r="BK345" s="382"/>
      <c r="BL345" s="382"/>
      <c r="BM345" s="382"/>
      <c r="BN345" s="382"/>
      <c r="BO345" s="382"/>
    </row>
    <row r="346" spans="1:67" s="88" customFormat="1" ht="10.55" customHeight="1" x14ac:dyDescent="0.2">
      <c r="A346" s="1028"/>
      <c r="B346" s="1295"/>
      <c r="C346" s="1295"/>
      <c r="D346" s="1296"/>
      <c r="E346" s="2793"/>
      <c r="F346" s="2794"/>
      <c r="G346" s="1086"/>
      <c r="H346" s="1087"/>
      <c r="I346" s="1437">
        <f t="shared" si="87"/>
        <v>0</v>
      </c>
      <c r="J346" s="1413"/>
      <c r="K346" s="1088"/>
      <c r="L346" s="1089"/>
      <c r="M346" s="1431">
        <f t="shared" si="89"/>
        <v>0</v>
      </c>
      <c r="N346" s="1106"/>
      <c r="O346" s="674">
        <f t="shared" si="90"/>
        <v>0</v>
      </c>
      <c r="P346" s="682"/>
      <c r="Q346" s="286"/>
      <c r="R346" s="287"/>
      <c r="S346" s="280"/>
      <c r="T346" s="280"/>
      <c r="U346" s="280"/>
      <c r="V346" s="280"/>
      <c r="W346" s="280"/>
      <c r="X346" s="280"/>
      <c r="Y346" s="280"/>
      <c r="Z346" s="284"/>
      <c r="AA346" s="284"/>
      <c r="AB346" s="284"/>
      <c r="AC346" s="284"/>
      <c r="AD346" s="284"/>
      <c r="AE346" s="284"/>
      <c r="AF346" s="447"/>
      <c r="AG346" s="447"/>
      <c r="AH346" s="447"/>
      <c r="AI346" s="382"/>
      <c r="AJ346" s="382"/>
      <c r="AK346" s="382"/>
      <c r="AL346" s="382"/>
      <c r="AM346" s="382"/>
      <c r="AN346" s="382"/>
      <c r="AO346" s="382"/>
      <c r="AP346" s="382"/>
      <c r="AQ346" s="382"/>
      <c r="AR346" s="382"/>
      <c r="AS346" s="382"/>
      <c r="AT346" s="382"/>
      <c r="AU346" s="382"/>
      <c r="AV346" s="382"/>
      <c r="AW346" s="382"/>
      <c r="AX346" s="382"/>
      <c r="AY346" s="382"/>
      <c r="AZ346" s="382"/>
      <c r="BA346" s="382"/>
      <c r="BB346" s="382"/>
      <c r="BC346" s="382"/>
      <c r="BD346" s="382"/>
      <c r="BE346" s="382"/>
      <c r="BF346" s="382"/>
      <c r="BG346" s="382"/>
      <c r="BH346" s="382"/>
      <c r="BI346" s="382"/>
      <c r="BJ346" s="382"/>
      <c r="BK346" s="382"/>
      <c r="BL346" s="382"/>
      <c r="BM346" s="382"/>
      <c r="BN346" s="382"/>
      <c r="BO346" s="382"/>
    </row>
    <row r="347" spans="1:67" s="88" customFormat="1" ht="10.55" customHeight="1" x14ac:dyDescent="0.2">
      <c r="A347" s="1011" t="s">
        <v>431</v>
      </c>
      <c r="B347" s="2783"/>
      <c r="C347" s="2784"/>
      <c r="D347" s="2785"/>
      <c r="E347" s="2810">
        <f>SUM(E348:E360)</f>
        <v>0</v>
      </c>
      <c r="F347" s="2811"/>
      <c r="G347" s="2747"/>
      <c r="H347" s="2748"/>
      <c r="I347" s="1435">
        <f>IF(E347=0,0,J347/E347)</f>
        <v>0</v>
      </c>
      <c r="J347" s="1423">
        <f>SUM(J348:J360)</f>
        <v>0</v>
      </c>
      <c r="K347" s="2749"/>
      <c r="L347" s="2750"/>
      <c r="M347" s="1430">
        <f t="shared" si="89"/>
        <v>0</v>
      </c>
      <c r="N347" s="1106"/>
      <c r="O347" s="387">
        <f>IF(H347="",G347,H347)</f>
        <v>0</v>
      </c>
      <c r="P347" s="682"/>
      <c r="Q347" s="286"/>
      <c r="R347" s="287"/>
      <c r="S347" s="280"/>
      <c r="T347" s="280"/>
      <c r="U347" s="280"/>
      <c r="V347" s="280"/>
      <c r="W347" s="280"/>
      <c r="X347" s="280"/>
      <c r="Y347" s="280"/>
      <c r="Z347" s="284"/>
      <c r="AA347" s="284"/>
      <c r="AB347" s="284"/>
      <c r="AC347" s="284"/>
      <c r="AD347" s="284"/>
      <c r="AE347" s="284"/>
      <c r="AF347" s="447"/>
      <c r="AG347" s="447"/>
      <c r="AH347" s="447"/>
      <c r="AI347" s="382"/>
      <c r="AJ347" s="382"/>
      <c r="AK347" s="382"/>
      <c r="AL347" s="382"/>
      <c r="AM347" s="382"/>
      <c r="AN347" s="382"/>
      <c r="AO347" s="382"/>
      <c r="AP347" s="382"/>
      <c r="AQ347" s="382"/>
      <c r="AR347" s="382"/>
      <c r="AS347" s="382"/>
      <c r="AT347" s="382"/>
      <c r="AU347" s="382"/>
      <c r="AV347" s="382"/>
      <c r="AW347" s="382"/>
      <c r="AX347" s="382"/>
      <c r="AY347" s="382"/>
      <c r="AZ347" s="382"/>
      <c r="BA347" s="382"/>
      <c r="BB347" s="382"/>
      <c r="BC347" s="382"/>
      <c r="BD347" s="382"/>
      <c r="BE347" s="382"/>
      <c r="BF347" s="382"/>
      <c r="BG347" s="382"/>
      <c r="BH347" s="382"/>
      <c r="BI347" s="382"/>
      <c r="BJ347" s="382"/>
      <c r="BK347" s="382"/>
      <c r="BL347" s="382"/>
      <c r="BM347" s="382"/>
      <c r="BN347" s="382"/>
      <c r="BO347" s="382"/>
    </row>
    <row r="348" spans="1:67" s="88" customFormat="1" ht="10.55" customHeight="1" x14ac:dyDescent="0.2">
      <c r="A348" s="1029" t="s">
        <v>510</v>
      </c>
      <c r="B348" s="2808"/>
      <c r="C348" s="2808"/>
      <c r="D348" s="2809"/>
      <c r="E348" s="2816">
        <f>IF(E350=0,ROUND(E375,-2),0)</f>
        <v>0</v>
      </c>
      <c r="F348" s="2817" t="e">
        <f>IF(F350=0,ROUND(#REF!,-2),0)</f>
        <v>#REF!</v>
      </c>
      <c r="G348" s="1785">
        <v>20</v>
      </c>
      <c r="H348" s="524"/>
      <c r="I348" s="1440">
        <f t="shared" ref="I348:I360" si="91">IF($O348&gt;0,-PMT(($I$9),$O348,1),0)</f>
        <v>6.4147128734474465E-2</v>
      </c>
      <c r="J348" s="1426">
        <f t="shared" ref="J348:J360" si="92">ROUND(E348*I348,0)</f>
        <v>0</v>
      </c>
      <c r="K348" s="733"/>
      <c r="L348" s="734"/>
      <c r="M348" s="1433">
        <f t="shared" si="89"/>
        <v>0</v>
      </c>
      <c r="N348" s="1106"/>
      <c r="O348" s="674">
        <f t="shared" ref="O348:O356" si="93">IF(ISBLANK(H348),G348,H348)</f>
        <v>20</v>
      </c>
      <c r="P348" s="682"/>
      <c r="Q348" s="286"/>
      <c r="R348" s="287"/>
      <c r="S348" s="280"/>
      <c r="T348" s="280"/>
      <c r="U348" s="280"/>
      <c r="V348" s="280"/>
      <c r="W348" s="280"/>
      <c r="X348" s="280"/>
      <c r="Y348" s="280"/>
      <c r="Z348" s="284"/>
      <c r="AA348" s="284"/>
      <c r="AB348" s="284"/>
      <c r="AC348" s="284"/>
      <c r="AD348" s="284"/>
      <c r="AE348" s="284"/>
      <c r="AF348" s="447"/>
      <c r="AG348" s="447"/>
      <c r="AH348" s="447"/>
      <c r="AI348" s="382"/>
      <c r="AJ348" s="382"/>
      <c r="AK348" s="382"/>
      <c r="AL348" s="382"/>
      <c r="AM348" s="382"/>
      <c r="AN348" s="382"/>
      <c r="AO348" s="382"/>
      <c r="AP348" s="382"/>
      <c r="AQ348" s="382"/>
      <c r="AR348" s="382"/>
      <c r="AS348" s="382"/>
      <c r="AT348" s="382"/>
      <c r="AU348" s="382"/>
      <c r="AV348" s="382"/>
      <c r="AW348" s="382"/>
      <c r="AX348" s="382"/>
      <c r="AY348" s="382"/>
      <c r="AZ348" s="382"/>
      <c r="BA348" s="382"/>
      <c r="BB348" s="382"/>
      <c r="BC348" s="382"/>
      <c r="BD348" s="382"/>
      <c r="BE348" s="382"/>
      <c r="BF348" s="382"/>
      <c r="BG348" s="382"/>
      <c r="BH348" s="382"/>
      <c r="BI348" s="382"/>
      <c r="BJ348" s="382"/>
      <c r="BK348" s="382"/>
      <c r="BL348" s="382"/>
      <c r="BM348" s="382"/>
      <c r="BN348" s="382"/>
      <c r="BO348" s="382"/>
    </row>
    <row r="349" spans="1:67" s="88" customFormat="1" ht="10.55" customHeight="1" x14ac:dyDescent="0.2">
      <c r="A349" s="1030" t="s">
        <v>511</v>
      </c>
      <c r="B349" s="2808"/>
      <c r="C349" s="2808"/>
      <c r="D349" s="2809"/>
      <c r="E349" s="2751">
        <f>IF(E351=0,ROUND(E388,-2),0)</f>
        <v>0</v>
      </c>
      <c r="F349" s="2752">
        <f>IF(F351=0,ROUND(F406,-2),0)</f>
        <v>0</v>
      </c>
      <c r="G349" s="1785">
        <v>20</v>
      </c>
      <c r="H349" s="524"/>
      <c r="I349" s="1441">
        <f t="shared" si="91"/>
        <v>6.4147128734474465E-2</v>
      </c>
      <c r="J349" s="1427">
        <f t="shared" si="92"/>
        <v>0</v>
      </c>
      <c r="K349" s="684"/>
      <c r="L349" s="685"/>
      <c r="M349" s="1434">
        <f t="shared" si="89"/>
        <v>0</v>
      </c>
      <c r="N349" s="1106"/>
      <c r="O349" s="674">
        <f t="shared" si="93"/>
        <v>20</v>
      </c>
      <c r="P349" s="682"/>
      <c r="Q349" s="286"/>
      <c r="R349" s="287"/>
      <c r="S349" s="280"/>
      <c r="T349" s="280"/>
      <c r="U349" s="280"/>
      <c r="V349" s="280"/>
      <c r="W349" s="280"/>
      <c r="X349" s="280"/>
      <c r="Y349" s="280"/>
      <c r="Z349" s="284"/>
      <c r="AA349" s="284"/>
      <c r="AB349" s="284"/>
      <c r="AC349" s="284"/>
      <c r="AD349" s="284"/>
      <c r="AE349" s="284"/>
      <c r="AF349" s="447"/>
      <c r="AG349" s="447"/>
      <c r="AH349" s="447"/>
      <c r="AI349" s="382"/>
      <c r="AJ349" s="382"/>
      <c r="AK349" s="382"/>
      <c r="AL349" s="382"/>
      <c r="AM349" s="382"/>
      <c r="AN349" s="382"/>
      <c r="AO349" s="382"/>
      <c r="AP349" s="382"/>
      <c r="AQ349" s="382"/>
      <c r="AR349" s="382"/>
      <c r="AS349" s="382"/>
      <c r="AT349" s="382"/>
      <c r="AU349" s="382"/>
      <c r="AV349" s="382"/>
      <c r="AW349" s="382"/>
      <c r="AX349" s="382"/>
      <c r="AY349" s="382"/>
      <c r="AZ349" s="382"/>
      <c r="BA349" s="382"/>
      <c r="BB349" s="382"/>
      <c r="BC349" s="382"/>
      <c r="BD349" s="382"/>
      <c r="BE349" s="382"/>
      <c r="BF349" s="382"/>
      <c r="BG349" s="382"/>
      <c r="BH349" s="382"/>
      <c r="BI349" s="382"/>
      <c r="BJ349" s="382"/>
      <c r="BK349" s="382"/>
      <c r="BL349" s="382"/>
      <c r="BM349" s="382"/>
      <c r="BN349" s="382"/>
      <c r="BO349" s="382"/>
    </row>
    <row r="350" spans="1:67" s="88" customFormat="1" ht="10.55" customHeight="1" x14ac:dyDescent="0.2">
      <c r="A350" s="1030" t="s">
        <v>432</v>
      </c>
      <c r="B350" s="2808"/>
      <c r="C350" s="2808"/>
      <c r="D350" s="2809"/>
      <c r="E350" s="2751">
        <f>E398</f>
        <v>0</v>
      </c>
      <c r="F350" s="2752"/>
      <c r="G350" s="1785">
        <v>20</v>
      </c>
      <c r="H350" s="524"/>
      <c r="I350" s="1441">
        <f t="shared" si="91"/>
        <v>6.4147128734474465E-2</v>
      </c>
      <c r="J350" s="1427">
        <f t="shared" si="92"/>
        <v>0</v>
      </c>
      <c r="K350" s="684"/>
      <c r="L350" s="685"/>
      <c r="M350" s="1434">
        <f t="shared" si="89"/>
        <v>0</v>
      </c>
      <c r="N350" s="1106"/>
      <c r="O350" s="674">
        <f t="shared" si="93"/>
        <v>20</v>
      </c>
      <c r="P350" s="682"/>
      <c r="Q350" s="286"/>
      <c r="R350" s="287"/>
      <c r="S350" s="280"/>
      <c r="T350" s="280"/>
      <c r="U350" s="280"/>
      <c r="V350" s="280"/>
      <c r="W350" s="280"/>
      <c r="X350" s="280"/>
      <c r="Y350" s="280"/>
      <c r="Z350" s="284"/>
      <c r="AA350" s="284"/>
      <c r="AB350" s="284"/>
      <c r="AC350" s="284"/>
      <c r="AD350" s="284"/>
      <c r="AE350" s="284"/>
      <c r="AF350" s="447"/>
      <c r="AG350" s="447"/>
      <c r="AH350" s="447"/>
      <c r="AI350" s="382"/>
      <c r="AJ350" s="382"/>
      <c r="AK350" s="382"/>
      <c r="AL350" s="382"/>
      <c r="AM350" s="382"/>
      <c r="AN350" s="382"/>
      <c r="AO350" s="382"/>
      <c r="AP350" s="382"/>
      <c r="AQ350" s="382"/>
      <c r="AR350" s="382"/>
      <c r="AS350" s="382"/>
      <c r="AT350" s="382"/>
      <c r="AU350" s="382"/>
      <c r="AV350" s="382"/>
      <c r="AW350" s="382"/>
      <c r="AX350" s="382"/>
      <c r="AY350" s="382"/>
      <c r="AZ350" s="382"/>
      <c r="BA350" s="382"/>
      <c r="BB350" s="382"/>
      <c r="BC350" s="382"/>
      <c r="BD350" s="382"/>
      <c r="BE350" s="382"/>
      <c r="BF350" s="382"/>
      <c r="BG350" s="382"/>
      <c r="BH350" s="382"/>
      <c r="BI350" s="382"/>
      <c r="BJ350" s="382"/>
      <c r="BK350" s="382"/>
      <c r="BL350" s="382"/>
      <c r="BM350" s="382"/>
      <c r="BN350" s="382"/>
      <c r="BO350" s="382"/>
    </row>
    <row r="351" spans="1:67" s="88" customFormat="1" ht="10.55" customHeight="1" x14ac:dyDescent="0.2">
      <c r="A351" s="1030" t="s">
        <v>433</v>
      </c>
      <c r="B351" s="2808"/>
      <c r="C351" s="2808"/>
      <c r="D351" s="2809"/>
      <c r="E351" s="2751">
        <f>E406</f>
        <v>0</v>
      </c>
      <c r="F351" s="2752"/>
      <c r="G351" s="1785">
        <v>20</v>
      </c>
      <c r="H351" s="524"/>
      <c r="I351" s="1441">
        <f t="shared" si="91"/>
        <v>6.4147128734474465E-2</v>
      </c>
      <c r="J351" s="1427">
        <f t="shared" si="92"/>
        <v>0</v>
      </c>
      <c r="K351" s="684"/>
      <c r="L351" s="685"/>
      <c r="M351" s="1434">
        <f t="shared" si="89"/>
        <v>0</v>
      </c>
      <c r="N351" s="1106"/>
      <c r="O351" s="674">
        <f t="shared" si="93"/>
        <v>20</v>
      </c>
      <c r="P351" s="682"/>
      <c r="Q351" s="286"/>
      <c r="R351" s="287"/>
      <c r="S351" s="280"/>
      <c r="T351" s="280"/>
      <c r="U351" s="280"/>
      <c r="V351" s="280"/>
      <c r="W351" s="280"/>
      <c r="X351" s="280"/>
      <c r="Y351" s="280"/>
      <c r="Z351" s="284"/>
      <c r="AA351" s="284"/>
      <c r="AB351" s="284"/>
      <c r="AC351" s="284"/>
      <c r="AD351" s="284"/>
      <c r="AE351" s="284"/>
      <c r="AF351" s="447"/>
      <c r="AG351" s="447"/>
      <c r="AH351" s="447"/>
      <c r="AI351" s="382"/>
      <c r="AJ351" s="382"/>
      <c r="AK351" s="382"/>
      <c r="AL351" s="382"/>
      <c r="AM351" s="382"/>
      <c r="AN351" s="382"/>
      <c r="AO351" s="382"/>
      <c r="AP351" s="382"/>
      <c r="AQ351" s="382"/>
      <c r="AR351" s="382"/>
      <c r="AS351" s="382"/>
      <c r="AT351" s="382"/>
      <c r="AU351" s="382"/>
      <c r="AV351" s="382"/>
      <c r="AW351" s="382"/>
      <c r="AX351" s="382"/>
      <c r="AY351" s="382"/>
      <c r="AZ351" s="382"/>
      <c r="BA351" s="382"/>
      <c r="BB351" s="382"/>
      <c r="BC351" s="382"/>
      <c r="BD351" s="382"/>
      <c r="BE351" s="382"/>
      <c r="BF351" s="382"/>
      <c r="BG351" s="382"/>
      <c r="BH351" s="382"/>
      <c r="BI351" s="382"/>
      <c r="BJ351" s="382"/>
      <c r="BK351" s="382"/>
      <c r="BL351" s="382"/>
      <c r="BM351" s="382"/>
      <c r="BN351" s="382"/>
      <c r="BO351" s="382"/>
    </row>
    <row r="352" spans="1:67" s="88" customFormat="1" ht="10.55" customHeight="1" x14ac:dyDescent="0.2">
      <c r="A352" s="1030" t="s">
        <v>490</v>
      </c>
      <c r="B352" s="2808"/>
      <c r="C352" s="2808"/>
      <c r="D352" s="2809"/>
      <c r="E352" s="2561"/>
      <c r="F352" s="2562"/>
      <c r="G352" s="1785">
        <v>20</v>
      </c>
      <c r="H352" s="524"/>
      <c r="I352" s="1441">
        <f t="shared" si="91"/>
        <v>6.4147128734474465E-2</v>
      </c>
      <c r="J352" s="1427">
        <f t="shared" si="92"/>
        <v>0</v>
      </c>
      <c r="K352" s="684"/>
      <c r="L352" s="685"/>
      <c r="M352" s="1434">
        <f t="shared" si="89"/>
        <v>0</v>
      </c>
      <c r="N352" s="1106"/>
      <c r="O352" s="674">
        <f t="shared" si="93"/>
        <v>20</v>
      </c>
      <c r="P352" s="682"/>
      <c r="Q352" s="286"/>
      <c r="R352" s="287"/>
      <c r="S352" s="280"/>
      <c r="T352" s="280"/>
      <c r="U352" s="280"/>
      <c r="V352" s="280"/>
      <c r="W352" s="280"/>
      <c r="X352" s="280"/>
      <c r="Y352" s="280"/>
      <c r="Z352" s="284"/>
      <c r="AA352" s="284"/>
      <c r="AB352" s="284"/>
      <c r="AC352" s="284"/>
      <c r="AD352" s="284"/>
      <c r="AE352" s="284"/>
      <c r="AF352" s="447"/>
      <c r="AG352" s="447"/>
      <c r="AH352" s="447"/>
      <c r="AI352" s="382"/>
      <c r="AJ352" s="382"/>
      <c r="AK352" s="382"/>
      <c r="AL352" s="382"/>
      <c r="AM352" s="382"/>
      <c r="AN352" s="382"/>
      <c r="AO352" s="382"/>
      <c r="AP352" s="382"/>
      <c r="AQ352" s="382"/>
      <c r="AR352" s="382"/>
      <c r="AS352" s="382"/>
      <c r="AT352" s="382"/>
      <c r="AU352" s="382"/>
      <c r="AV352" s="382"/>
      <c r="AW352" s="382"/>
      <c r="AX352" s="382"/>
      <c r="AY352" s="382"/>
      <c r="AZ352" s="382"/>
      <c r="BA352" s="382"/>
      <c r="BB352" s="382"/>
      <c r="BC352" s="382"/>
      <c r="BD352" s="382"/>
      <c r="BE352" s="382"/>
      <c r="BF352" s="382"/>
      <c r="BG352" s="382"/>
      <c r="BH352" s="382"/>
      <c r="BI352" s="382"/>
      <c r="BJ352" s="382"/>
      <c r="BK352" s="382"/>
      <c r="BL352" s="382"/>
      <c r="BM352" s="382"/>
      <c r="BN352" s="382"/>
      <c r="BO352" s="382"/>
    </row>
    <row r="353" spans="1:67" s="88" customFormat="1" ht="10.55" customHeight="1" x14ac:dyDescent="0.2">
      <c r="A353" s="1030" t="s">
        <v>512</v>
      </c>
      <c r="B353" s="2808"/>
      <c r="C353" s="2808"/>
      <c r="D353" s="2809"/>
      <c r="E353" s="2561"/>
      <c r="F353" s="2562"/>
      <c r="G353" s="1785">
        <v>20</v>
      </c>
      <c r="H353" s="524"/>
      <c r="I353" s="1441">
        <f t="shared" si="91"/>
        <v>6.4147128734474465E-2</v>
      </c>
      <c r="J353" s="1427">
        <f t="shared" si="92"/>
        <v>0</v>
      </c>
      <c r="K353" s="684"/>
      <c r="L353" s="685"/>
      <c r="M353" s="1434">
        <f t="shared" si="89"/>
        <v>0</v>
      </c>
      <c r="N353" s="1106"/>
      <c r="O353" s="674">
        <f t="shared" si="93"/>
        <v>20</v>
      </c>
      <c r="P353" s="682"/>
      <c r="Q353" s="286"/>
      <c r="R353" s="287"/>
      <c r="S353" s="280"/>
      <c r="T353" s="280"/>
      <c r="U353" s="280"/>
      <c r="V353" s="280"/>
      <c r="W353" s="280"/>
      <c r="X353" s="280"/>
      <c r="Y353" s="280"/>
      <c r="Z353" s="284"/>
      <c r="AA353" s="284"/>
      <c r="AB353" s="284"/>
      <c r="AC353" s="284"/>
      <c r="AD353" s="284"/>
      <c r="AE353" s="284"/>
      <c r="AF353" s="447"/>
      <c r="AG353" s="447"/>
      <c r="AH353" s="447"/>
      <c r="AI353" s="382"/>
      <c r="AJ353" s="382"/>
      <c r="AK353" s="382"/>
      <c r="AL353" s="382"/>
      <c r="AM353" s="382"/>
      <c r="AN353" s="382"/>
      <c r="AO353" s="382"/>
      <c r="AP353" s="382"/>
      <c r="AQ353" s="382"/>
      <c r="AR353" s="382"/>
      <c r="AS353" s="382"/>
      <c r="AT353" s="382"/>
      <c r="AU353" s="382"/>
      <c r="AV353" s="382"/>
      <c r="AW353" s="382"/>
      <c r="AX353" s="382"/>
      <c r="AY353" s="382"/>
      <c r="AZ353" s="382"/>
      <c r="BA353" s="382"/>
      <c r="BB353" s="382"/>
      <c r="BC353" s="382"/>
      <c r="BD353" s="382"/>
      <c r="BE353" s="382"/>
      <c r="BF353" s="382"/>
      <c r="BG353" s="382"/>
      <c r="BH353" s="382"/>
      <c r="BI353" s="382"/>
      <c r="BJ353" s="382"/>
      <c r="BK353" s="382"/>
      <c r="BL353" s="382"/>
      <c r="BM353" s="382"/>
      <c r="BN353" s="382"/>
      <c r="BO353" s="382"/>
    </row>
    <row r="354" spans="1:67" s="88" customFormat="1" ht="10.55" customHeight="1" x14ac:dyDescent="0.2">
      <c r="A354" s="1030" t="s">
        <v>434</v>
      </c>
      <c r="B354" s="2808"/>
      <c r="C354" s="2808"/>
      <c r="D354" s="2809"/>
      <c r="E354" s="2561"/>
      <c r="F354" s="2562"/>
      <c r="G354" s="1785">
        <v>20</v>
      </c>
      <c r="H354" s="524"/>
      <c r="I354" s="1441">
        <f t="shared" si="91"/>
        <v>6.4147128734474465E-2</v>
      </c>
      <c r="J354" s="1427">
        <f t="shared" si="92"/>
        <v>0</v>
      </c>
      <c r="K354" s="684"/>
      <c r="L354" s="685"/>
      <c r="M354" s="1434">
        <f t="shared" si="89"/>
        <v>0</v>
      </c>
      <c r="N354" s="1106"/>
      <c r="O354" s="674">
        <f t="shared" si="93"/>
        <v>20</v>
      </c>
      <c r="P354" s="682"/>
      <c r="Q354" s="286"/>
      <c r="R354" s="287"/>
      <c r="S354" s="280"/>
      <c r="T354" s="280"/>
      <c r="U354" s="280"/>
      <c r="V354" s="280"/>
      <c r="W354" s="280"/>
      <c r="X354" s="280"/>
      <c r="Y354" s="280"/>
      <c r="Z354" s="284"/>
      <c r="AA354" s="284"/>
      <c r="AB354" s="284"/>
      <c r="AC354" s="284"/>
      <c r="AD354" s="284"/>
      <c r="AE354" s="284"/>
      <c r="AF354" s="447"/>
      <c r="AG354" s="447"/>
      <c r="AH354" s="447"/>
      <c r="AI354" s="382"/>
      <c r="AJ354" s="382"/>
      <c r="AK354" s="382"/>
      <c r="AL354" s="382"/>
      <c r="AM354" s="382"/>
      <c r="AN354" s="382"/>
      <c r="AO354" s="382"/>
      <c r="AP354" s="382"/>
      <c r="AQ354" s="382"/>
      <c r="AR354" s="382"/>
      <c r="AS354" s="382"/>
      <c r="AT354" s="382"/>
      <c r="AU354" s="382"/>
      <c r="AV354" s="382"/>
      <c r="AW354" s="382"/>
      <c r="AX354" s="382"/>
      <c r="AY354" s="382"/>
      <c r="AZ354" s="382"/>
      <c r="BA354" s="382"/>
      <c r="BB354" s="382"/>
      <c r="BC354" s="382"/>
      <c r="BD354" s="382"/>
      <c r="BE354" s="382"/>
      <c r="BF354" s="382"/>
      <c r="BG354" s="382"/>
      <c r="BH354" s="382"/>
      <c r="BI354" s="382"/>
      <c r="BJ354" s="382"/>
      <c r="BK354" s="382"/>
      <c r="BL354" s="382"/>
      <c r="BM354" s="382"/>
      <c r="BN354" s="382"/>
      <c r="BO354" s="382"/>
    </row>
    <row r="355" spans="1:67" s="88" customFormat="1" ht="10.55" customHeight="1" x14ac:dyDescent="0.2">
      <c r="A355" s="1030" t="s">
        <v>513</v>
      </c>
      <c r="B355" s="2808"/>
      <c r="C355" s="2808"/>
      <c r="D355" s="2809"/>
      <c r="E355" s="2561"/>
      <c r="F355" s="2562"/>
      <c r="G355" s="1785">
        <v>20</v>
      </c>
      <c r="H355" s="524"/>
      <c r="I355" s="1441">
        <f t="shared" si="91"/>
        <v>6.4147128734474465E-2</v>
      </c>
      <c r="J355" s="1427">
        <f t="shared" si="92"/>
        <v>0</v>
      </c>
      <c r="K355" s="684"/>
      <c r="L355" s="685"/>
      <c r="M355" s="1434">
        <f t="shared" si="89"/>
        <v>0</v>
      </c>
      <c r="N355" s="1106"/>
      <c r="O355" s="674">
        <f t="shared" si="93"/>
        <v>20</v>
      </c>
      <c r="P355" s="682"/>
      <c r="Q355" s="286"/>
      <c r="R355" s="287"/>
      <c r="S355" s="280"/>
      <c r="T355" s="280"/>
      <c r="U355" s="280"/>
      <c r="V355" s="280"/>
      <c r="W355" s="280"/>
      <c r="X355" s="280"/>
      <c r="Y355" s="280"/>
      <c r="Z355" s="284"/>
      <c r="AA355" s="284"/>
      <c r="AB355" s="284"/>
      <c r="AC355" s="284"/>
      <c r="AD355" s="284"/>
      <c r="AE355" s="284"/>
      <c r="AF355" s="447"/>
      <c r="AG355" s="447"/>
      <c r="AH355" s="447"/>
      <c r="AI355" s="382"/>
      <c r="AJ355" s="382"/>
      <c r="AK355" s="382"/>
      <c r="AL355" s="382"/>
      <c r="AM355" s="382"/>
      <c r="AN355" s="382"/>
      <c r="AO355" s="382"/>
      <c r="AP355" s="382"/>
      <c r="AQ355" s="382"/>
      <c r="AR355" s="382"/>
      <c r="AS355" s="382"/>
      <c r="AT355" s="382"/>
      <c r="AU355" s="382"/>
      <c r="AV355" s="382"/>
      <c r="AW355" s="382"/>
      <c r="AX355" s="382"/>
      <c r="AY355" s="382"/>
      <c r="AZ355" s="382"/>
      <c r="BA355" s="382"/>
      <c r="BB355" s="382"/>
      <c r="BC355" s="382"/>
      <c r="BD355" s="382"/>
      <c r="BE355" s="382"/>
      <c r="BF355" s="382"/>
      <c r="BG355" s="382"/>
      <c r="BH355" s="382"/>
      <c r="BI355" s="382"/>
      <c r="BJ355" s="382"/>
      <c r="BK355" s="382"/>
      <c r="BL355" s="382"/>
      <c r="BM355" s="382"/>
      <c r="BN355" s="382"/>
      <c r="BO355" s="382"/>
    </row>
    <row r="356" spans="1:67" s="88" customFormat="1" ht="10.55" customHeight="1" x14ac:dyDescent="0.2">
      <c r="A356" s="1030" t="s">
        <v>435</v>
      </c>
      <c r="B356" s="2808"/>
      <c r="C356" s="2808"/>
      <c r="D356" s="2809"/>
      <c r="E356" s="2561"/>
      <c r="F356" s="2562"/>
      <c r="G356" s="1785">
        <v>20</v>
      </c>
      <c r="H356" s="524"/>
      <c r="I356" s="1441">
        <f t="shared" si="91"/>
        <v>6.4147128734474465E-2</v>
      </c>
      <c r="J356" s="1427">
        <f t="shared" si="92"/>
        <v>0</v>
      </c>
      <c r="K356" s="684"/>
      <c r="L356" s="685"/>
      <c r="M356" s="1434">
        <f t="shared" si="89"/>
        <v>0</v>
      </c>
      <c r="N356" s="1106"/>
      <c r="O356" s="674">
        <f t="shared" si="93"/>
        <v>20</v>
      </c>
      <c r="P356" s="682"/>
      <c r="Q356" s="286"/>
      <c r="R356" s="287"/>
      <c r="S356" s="280"/>
      <c r="T356" s="280"/>
      <c r="U356" s="280"/>
      <c r="V356" s="280"/>
      <c r="W356" s="280"/>
      <c r="X356" s="280"/>
      <c r="Y356" s="280"/>
      <c r="Z356" s="284"/>
      <c r="AA356" s="284"/>
      <c r="AB356" s="284"/>
      <c r="AC356" s="284"/>
      <c r="AD356" s="284"/>
      <c r="AE356" s="284"/>
      <c r="AF356" s="447"/>
      <c r="AG356" s="447"/>
      <c r="AH356" s="447"/>
      <c r="AI356" s="382"/>
      <c r="AJ356" s="382"/>
      <c r="AK356" s="382"/>
      <c r="AL356" s="382"/>
      <c r="AM356" s="382"/>
      <c r="AN356" s="382"/>
      <c r="AO356" s="382"/>
      <c r="AP356" s="382"/>
      <c r="AQ356" s="382"/>
      <c r="AR356" s="382"/>
      <c r="AS356" s="382"/>
      <c r="AT356" s="382"/>
      <c r="AU356" s="382"/>
      <c r="AV356" s="382"/>
      <c r="AW356" s="382"/>
      <c r="AX356" s="382"/>
      <c r="AY356" s="382"/>
      <c r="AZ356" s="382"/>
      <c r="BA356" s="382"/>
      <c r="BB356" s="382"/>
      <c r="BC356" s="382"/>
      <c r="BD356" s="382"/>
      <c r="BE356" s="382"/>
      <c r="BF356" s="382"/>
      <c r="BG356" s="382"/>
      <c r="BH356" s="382"/>
      <c r="BI356" s="382"/>
      <c r="BJ356" s="382"/>
      <c r="BK356" s="382"/>
      <c r="BL356" s="382"/>
      <c r="BM356" s="382"/>
      <c r="BN356" s="382"/>
      <c r="BO356" s="382"/>
    </row>
    <row r="357" spans="1:67" s="88" customFormat="1" ht="10.55" customHeight="1" x14ac:dyDescent="0.2">
      <c r="A357" s="1030" t="s">
        <v>436</v>
      </c>
      <c r="B357" s="2808"/>
      <c r="C357" s="2808"/>
      <c r="D357" s="2809"/>
      <c r="E357" s="2561"/>
      <c r="F357" s="2562"/>
      <c r="G357" s="1785">
        <v>20</v>
      </c>
      <c r="H357" s="524"/>
      <c r="I357" s="1441">
        <f t="shared" si="91"/>
        <v>6.4147128734474465E-2</v>
      </c>
      <c r="J357" s="1427">
        <f t="shared" si="92"/>
        <v>0</v>
      </c>
      <c r="K357" s="684"/>
      <c r="L357" s="685"/>
      <c r="M357" s="1434">
        <f t="shared" si="89"/>
        <v>0</v>
      </c>
      <c r="N357" s="1106"/>
      <c r="O357" s="674">
        <f>IF(ISBLANK(H357),G357,H357)</f>
        <v>20</v>
      </c>
      <c r="P357" s="682"/>
      <c r="Q357" s="286"/>
      <c r="R357" s="287"/>
      <c r="S357" s="280"/>
      <c r="T357" s="280"/>
      <c r="U357" s="280"/>
      <c r="V357" s="280"/>
      <c r="W357" s="280"/>
      <c r="X357" s="280"/>
      <c r="Y357" s="280"/>
      <c r="Z357" s="284"/>
      <c r="AA357" s="284"/>
      <c r="AB357" s="284"/>
      <c r="AC357" s="284"/>
      <c r="AD357" s="284"/>
      <c r="AE357" s="284"/>
      <c r="AF357" s="447"/>
      <c r="AG357" s="447"/>
      <c r="AH357" s="447"/>
      <c r="AI357" s="382"/>
      <c r="AJ357" s="382"/>
      <c r="AK357" s="382"/>
      <c r="AL357" s="382"/>
      <c r="AM357" s="382"/>
      <c r="AN357" s="382"/>
      <c r="AO357" s="382"/>
      <c r="AP357" s="382"/>
      <c r="AQ357" s="382"/>
      <c r="AR357" s="382"/>
      <c r="AS357" s="382"/>
      <c r="AT357" s="382"/>
      <c r="AU357" s="382"/>
      <c r="AV357" s="382"/>
      <c r="AW357" s="382"/>
      <c r="AX357" s="382"/>
      <c r="AY357" s="382"/>
      <c r="AZ357" s="382"/>
      <c r="BA357" s="382"/>
      <c r="BB357" s="382"/>
      <c r="BC357" s="382"/>
      <c r="BD357" s="382"/>
      <c r="BE357" s="382"/>
      <c r="BF357" s="382"/>
      <c r="BG357" s="382"/>
      <c r="BH357" s="382"/>
      <c r="BI357" s="382"/>
      <c r="BJ357" s="382"/>
      <c r="BK357" s="382"/>
      <c r="BL357" s="382"/>
      <c r="BM357" s="382"/>
      <c r="BN357" s="382"/>
      <c r="BO357" s="382"/>
    </row>
    <row r="358" spans="1:67" s="88" customFormat="1" ht="10.55" customHeight="1" x14ac:dyDescent="0.2">
      <c r="A358" s="1030" t="s">
        <v>437</v>
      </c>
      <c r="B358" s="2818"/>
      <c r="C358" s="2819"/>
      <c r="D358" s="2820"/>
      <c r="E358" s="2561"/>
      <c r="F358" s="2562"/>
      <c r="G358" s="1785">
        <v>20</v>
      </c>
      <c r="H358" s="524"/>
      <c r="I358" s="1441">
        <f t="shared" si="91"/>
        <v>6.4147128734474465E-2</v>
      </c>
      <c r="J358" s="1427">
        <f t="shared" si="92"/>
        <v>0</v>
      </c>
      <c r="K358" s="684"/>
      <c r="L358" s="685"/>
      <c r="M358" s="1434">
        <f t="shared" si="89"/>
        <v>0</v>
      </c>
      <c r="N358" s="1106"/>
      <c r="O358" s="674">
        <f>IF(ISBLANK(H358),G358,H358)</f>
        <v>20</v>
      </c>
      <c r="P358" s="682"/>
      <c r="Q358" s="286"/>
      <c r="R358" s="287"/>
      <c r="S358" s="280"/>
      <c r="T358" s="280"/>
      <c r="U358" s="280"/>
      <c r="V358" s="280"/>
      <c r="W358" s="280"/>
      <c r="X358" s="280"/>
      <c r="Y358" s="280"/>
      <c r="Z358" s="284"/>
      <c r="AA358" s="284"/>
      <c r="AB358" s="284"/>
      <c r="AC358" s="284"/>
      <c r="AD358" s="284"/>
      <c r="AE358" s="284"/>
      <c r="AF358" s="447"/>
      <c r="AG358" s="447"/>
      <c r="AH358" s="447"/>
      <c r="AI358" s="382"/>
      <c r="AJ358" s="382"/>
      <c r="AK358" s="382"/>
      <c r="AL358" s="382"/>
      <c r="AM358" s="382"/>
      <c r="AN358" s="382"/>
      <c r="AO358" s="382"/>
      <c r="AP358" s="382"/>
      <c r="AQ358" s="382"/>
      <c r="AR358" s="382"/>
      <c r="AS358" s="382"/>
      <c r="AT358" s="382"/>
      <c r="AU358" s="382"/>
      <c r="AV358" s="382"/>
      <c r="AW358" s="382"/>
      <c r="AX358" s="382"/>
      <c r="AY358" s="382"/>
      <c r="AZ358" s="382"/>
      <c r="BA358" s="382"/>
      <c r="BB358" s="382"/>
      <c r="BC358" s="382"/>
      <c r="BD358" s="382"/>
      <c r="BE358" s="382"/>
      <c r="BF358" s="382"/>
      <c r="BG358" s="382"/>
      <c r="BH358" s="382"/>
      <c r="BI358" s="382"/>
      <c r="BJ358" s="382"/>
      <c r="BK358" s="382"/>
      <c r="BL358" s="382"/>
      <c r="BM358" s="382"/>
      <c r="BN358" s="382"/>
      <c r="BO358" s="382"/>
    </row>
    <row r="359" spans="1:67" s="88" customFormat="1" ht="10.55" customHeight="1" x14ac:dyDescent="0.2">
      <c r="A359" s="732"/>
      <c r="B359" s="2818"/>
      <c r="C359" s="2819"/>
      <c r="D359" s="2820"/>
      <c r="E359" s="2561"/>
      <c r="F359" s="2562"/>
      <c r="G359" s="1015"/>
      <c r="H359" s="524"/>
      <c r="I359" s="1441">
        <f t="shared" si="91"/>
        <v>0</v>
      </c>
      <c r="J359" s="1427">
        <f t="shared" si="92"/>
        <v>0</v>
      </c>
      <c r="K359" s="684"/>
      <c r="L359" s="685"/>
      <c r="M359" s="1434">
        <f t="shared" si="89"/>
        <v>0</v>
      </c>
      <c r="N359" s="1106"/>
      <c r="O359" s="674">
        <f>IF(ISBLANK(H359),G359,H359)</f>
        <v>0</v>
      </c>
      <c r="P359" s="682"/>
      <c r="Q359" s="286"/>
      <c r="R359" s="287"/>
      <c r="S359" s="280"/>
      <c r="T359" s="280"/>
      <c r="U359" s="280"/>
      <c r="V359" s="280"/>
      <c r="W359" s="280"/>
      <c r="X359" s="280"/>
      <c r="Y359" s="280"/>
      <c r="Z359" s="284"/>
      <c r="AA359" s="284"/>
      <c r="AB359" s="284"/>
      <c r="AC359" s="284"/>
      <c r="AD359" s="284"/>
      <c r="AE359" s="284"/>
      <c r="AF359" s="447"/>
      <c r="AG359" s="447"/>
      <c r="AH359" s="447"/>
      <c r="AI359" s="382"/>
      <c r="AJ359" s="382"/>
      <c r="AK359" s="382"/>
      <c r="AL359" s="382"/>
      <c r="AM359" s="382"/>
      <c r="AN359" s="382"/>
      <c r="AO359" s="382"/>
      <c r="AP359" s="382"/>
      <c r="AQ359" s="382"/>
      <c r="AR359" s="382"/>
      <c r="AS359" s="382"/>
      <c r="AT359" s="382"/>
      <c r="AU359" s="382"/>
      <c r="AV359" s="382"/>
      <c r="AW359" s="382"/>
      <c r="AX359" s="382"/>
      <c r="AY359" s="382"/>
      <c r="AZ359" s="382"/>
      <c r="BA359" s="382"/>
      <c r="BB359" s="382"/>
      <c r="BC359" s="382"/>
      <c r="BD359" s="382"/>
      <c r="BE359" s="382"/>
      <c r="BF359" s="382"/>
      <c r="BG359" s="382"/>
      <c r="BH359" s="382"/>
      <c r="BI359" s="382"/>
      <c r="BJ359" s="382"/>
      <c r="BK359" s="382"/>
      <c r="BL359" s="382"/>
      <c r="BM359" s="382"/>
      <c r="BN359" s="382"/>
      <c r="BO359" s="382"/>
    </row>
    <row r="360" spans="1:67" s="88" customFormat="1" ht="10.55" customHeight="1" x14ac:dyDescent="0.2">
      <c r="A360" s="732"/>
      <c r="B360" s="2818"/>
      <c r="C360" s="2819"/>
      <c r="D360" s="2820"/>
      <c r="E360" s="2561"/>
      <c r="F360" s="2562"/>
      <c r="G360" s="1015"/>
      <c r="H360" s="524"/>
      <c r="I360" s="1441">
        <f t="shared" si="91"/>
        <v>0</v>
      </c>
      <c r="J360" s="1427">
        <f t="shared" si="92"/>
        <v>0</v>
      </c>
      <c r="K360" s="684"/>
      <c r="L360" s="685"/>
      <c r="M360" s="1434">
        <f t="shared" si="89"/>
        <v>0</v>
      </c>
      <c r="N360" s="1106"/>
      <c r="O360" s="674">
        <f>IF(ISBLANK(H360),G360,H360)</f>
        <v>0</v>
      </c>
      <c r="P360" s="682"/>
      <c r="Q360" s="286"/>
      <c r="R360" s="287"/>
      <c r="S360" s="280"/>
      <c r="T360" s="280"/>
      <c r="U360" s="280"/>
      <c r="V360" s="280"/>
      <c r="W360" s="280"/>
      <c r="X360" s="280"/>
      <c r="Y360" s="280"/>
      <c r="Z360" s="284"/>
      <c r="AA360" s="284"/>
      <c r="AB360" s="284"/>
      <c r="AC360" s="284"/>
      <c r="AD360" s="284"/>
      <c r="AE360" s="284"/>
      <c r="AF360" s="447"/>
      <c r="AG360" s="447"/>
      <c r="AH360" s="447"/>
      <c r="AI360" s="382"/>
      <c r="AJ360" s="382"/>
      <c r="AK360" s="382"/>
      <c r="AL360" s="382"/>
      <c r="AM360" s="382"/>
      <c r="AN360" s="382"/>
      <c r="AO360" s="382"/>
      <c r="AP360" s="382"/>
      <c r="AQ360" s="382"/>
      <c r="AR360" s="382"/>
      <c r="AS360" s="382"/>
      <c r="AT360" s="382"/>
      <c r="AU360" s="382"/>
      <c r="AV360" s="382"/>
      <c r="AW360" s="382"/>
      <c r="AX360" s="382"/>
      <c r="AY360" s="382"/>
      <c r="AZ360" s="382"/>
      <c r="BA360" s="382"/>
      <c r="BB360" s="382"/>
      <c r="BC360" s="382"/>
      <c r="BD360" s="382"/>
      <c r="BE360" s="382"/>
      <c r="BF360" s="382"/>
      <c r="BG360" s="382"/>
      <c r="BH360" s="382"/>
      <c r="BI360" s="382"/>
      <c r="BJ360" s="382"/>
      <c r="BK360" s="382"/>
      <c r="BL360" s="382"/>
      <c r="BM360" s="382"/>
      <c r="BN360" s="382"/>
      <c r="BO360" s="382"/>
    </row>
    <row r="361" spans="1:67" s="706" customFormat="1" ht="10.55" customHeight="1" x14ac:dyDescent="0.2">
      <c r="A361" s="1085"/>
      <c r="B361" s="1311"/>
      <c r="C361" s="1311"/>
      <c r="D361" s="1312"/>
      <c r="E361" s="1419"/>
      <c r="F361" s="1420"/>
      <c r="G361" s="1313"/>
      <c r="H361" s="1087"/>
      <c r="I361" s="1437"/>
      <c r="J361" s="1413"/>
      <c r="K361" s="1314"/>
      <c r="L361" s="1315"/>
      <c r="M361" s="1431"/>
      <c r="N361" s="339"/>
      <c r="O361" s="702"/>
      <c r="P361" s="703"/>
      <c r="Q361" s="286"/>
      <c r="R361" s="287"/>
      <c r="S361" s="280"/>
      <c r="T361" s="280"/>
      <c r="U361" s="280"/>
      <c r="V361" s="280"/>
      <c r="W361" s="280"/>
      <c r="X361" s="280"/>
      <c r="Y361" s="280"/>
      <c r="Z361" s="280"/>
      <c r="AA361" s="280"/>
      <c r="AB361" s="280"/>
      <c r="AC361" s="280"/>
      <c r="AD361" s="280"/>
      <c r="AE361" s="280"/>
      <c r="AF361" s="704"/>
      <c r="AG361" s="704"/>
      <c r="AH361" s="704"/>
      <c r="AI361" s="705"/>
      <c r="AJ361" s="705"/>
      <c r="AK361" s="705"/>
      <c r="AL361" s="705"/>
      <c r="AM361" s="705"/>
      <c r="AN361" s="705"/>
      <c r="AO361" s="705"/>
      <c r="AP361" s="705"/>
      <c r="AQ361" s="705"/>
      <c r="AR361" s="705"/>
      <c r="AS361" s="705"/>
      <c r="AT361" s="705"/>
      <c r="AU361" s="705"/>
      <c r="AV361" s="705"/>
      <c r="AW361" s="705"/>
      <c r="AX361" s="705"/>
      <c r="AY361" s="705"/>
      <c r="AZ361" s="705"/>
      <c r="BA361" s="705"/>
      <c r="BB361" s="705"/>
      <c r="BC361" s="705"/>
      <c r="BD361" s="705"/>
      <c r="BE361" s="705"/>
      <c r="BF361" s="705"/>
      <c r="BG361" s="705"/>
      <c r="BH361" s="705"/>
      <c r="BI361" s="705"/>
      <c r="BJ361" s="705"/>
      <c r="BK361" s="705"/>
      <c r="BL361" s="705"/>
      <c r="BM361" s="705"/>
      <c r="BN361" s="705"/>
      <c r="BO361" s="705"/>
    </row>
    <row r="362" spans="1:67" s="706" customFormat="1" ht="10.55" customHeight="1" x14ac:dyDescent="0.2">
      <c r="A362" s="824" t="s">
        <v>438</v>
      </c>
      <c r="B362" s="370"/>
      <c r="C362" s="370"/>
      <c r="D362" s="369"/>
      <c r="E362" s="1073"/>
      <c r="F362" s="371"/>
      <c r="G362" s="371"/>
      <c r="H362" s="1075"/>
      <c r="I362" s="736"/>
      <c r="J362" s="737"/>
      <c r="K362" s="738"/>
      <c r="L362" s="739"/>
      <c r="M362" s="1035"/>
      <c r="N362" s="339"/>
      <c r="O362" s="702"/>
      <c r="P362" s="703"/>
      <c r="Q362" s="286"/>
      <c r="R362" s="287"/>
      <c r="S362" s="280"/>
      <c r="T362" s="280"/>
      <c r="U362" s="280"/>
      <c r="V362" s="280"/>
      <c r="W362" s="280"/>
      <c r="X362" s="280"/>
      <c r="Y362" s="280"/>
      <c r="Z362" s="280"/>
      <c r="AA362" s="280"/>
      <c r="AB362" s="280"/>
      <c r="AC362" s="280"/>
      <c r="AD362" s="280"/>
      <c r="AE362" s="280"/>
      <c r="AF362" s="704"/>
      <c r="AG362" s="704"/>
      <c r="AH362" s="704"/>
      <c r="AI362" s="705"/>
      <c r="AJ362" s="705"/>
      <c r="AK362" s="705"/>
      <c r="AL362" s="705"/>
      <c r="AM362" s="705"/>
      <c r="AN362" s="705"/>
      <c r="AO362" s="705"/>
      <c r="AP362" s="705"/>
      <c r="AQ362" s="705"/>
      <c r="AR362" s="705"/>
      <c r="AS362" s="705"/>
      <c r="AT362" s="705"/>
      <c r="AU362" s="705"/>
      <c r="AV362" s="705"/>
      <c r="AW362" s="705"/>
      <c r="AX362" s="705"/>
      <c r="AY362" s="705"/>
      <c r="AZ362" s="705"/>
      <c r="BA362" s="705"/>
      <c r="BB362" s="705"/>
      <c r="BC362" s="705"/>
      <c r="BD362" s="705"/>
      <c r="BE362" s="705"/>
      <c r="BF362" s="705"/>
      <c r="BG362" s="705"/>
      <c r="BH362" s="705"/>
      <c r="BI362" s="705"/>
      <c r="BJ362" s="705"/>
      <c r="BK362" s="705"/>
      <c r="BL362" s="705"/>
      <c r="BM362" s="705"/>
      <c r="BN362" s="705"/>
      <c r="BO362" s="705"/>
    </row>
    <row r="363" spans="1:67" s="706" customFormat="1" ht="10.55" customHeight="1" x14ac:dyDescent="0.2">
      <c r="A363" s="825"/>
      <c r="B363" s="367"/>
      <c r="C363" s="367"/>
      <c r="D363" s="735"/>
      <c r="E363" s="372"/>
      <c r="F363" s="720"/>
      <c r="G363" s="740"/>
      <c r="H363" s="741"/>
      <c r="I363" s="742"/>
      <c r="J363" s="743"/>
      <c r="K363" s="744"/>
      <c r="L363" s="745"/>
      <c r="M363" s="1036"/>
      <c r="N363" s="339"/>
      <c r="O363" s="702"/>
      <c r="P363" s="703"/>
      <c r="Q363" s="286"/>
      <c r="R363" s="287"/>
      <c r="S363" s="280"/>
      <c r="T363" s="280"/>
      <c r="U363" s="280"/>
      <c r="V363" s="280"/>
      <c r="W363" s="280"/>
      <c r="X363" s="280"/>
      <c r="Y363" s="280"/>
      <c r="Z363" s="280"/>
      <c r="AA363" s="280"/>
      <c r="AB363" s="280"/>
      <c r="AC363" s="280"/>
      <c r="AD363" s="280"/>
      <c r="AE363" s="280"/>
      <c r="AF363" s="704"/>
      <c r="AG363" s="704"/>
      <c r="AH363" s="704"/>
      <c r="AI363" s="705"/>
      <c r="AJ363" s="705"/>
      <c r="AK363" s="705"/>
      <c r="AL363" s="705"/>
      <c r="AM363" s="705"/>
      <c r="AN363" s="705"/>
      <c r="AO363" s="705"/>
      <c r="AP363" s="705"/>
      <c r="AQ363" s="705"/>
      <c r="AR363" s="705"/>
      <c r="AS363" s="705"/>
      <c r="AT363" s="705"/>
      <c r="AU363" s="705"/>
      <c r="AV363" s="705"/>
      <c r="AW363" s="705"/>
      <c r="AX363" s="705"/>
      <c r="AY363" s="705"/>
      <c r="AZ363" s="705"/>
      <c r="BA363" s="705"/>
      <c r="BB363" s="705"/>
      <c r="BC363" s="705"/>
      <c r="BD363" s="705"/>
      <c r="BE363" s="705"/>
      <c r="BF363" s="705"/>
      <c r="BG363" s="705"/>
      <c r="BH363" s="705"/>
      <c r="BI363" s="705"/>
      <c r="BJ363" s="705"/>
      <c r="BK363" s="705"/>
      <c r="BL363" s="705"/>
      <c r="BM363" s="705"/>
      <c r="BN363" s="705"/>
      <c r="BO363" s="705"/>
    </row>
    <row r="364" spans="1:67" s="706" customFormat="1" ht="10.55" customHeight="1" x14ac:dyDescent="0.2">
      <c r="A364" s="826" t="s">
        <v>439</v>
      </c>
      <c r="B364" s="378"/>
      <c r="C364" s="378"/>
      <c r="D364" s="377"/>
      <c r="E364" s="374"/>
      <c r="F364" s="720"/>
      <c r="G364" s="740"/>
      <c r="H364" s="741"/>
      <c r="I364" s="742"/>
      <c r="J364" s="743"/>
      <c r="K364" s="744"/>
      <c r="L364" s="745"/>
      <c r="M364" s="1036"/>
      <c r="N364" s="339"/>
      <c r="O364" s="702"/>
      <c r="P364" s="703"/>
      <c r="Q364" s="286"/>
      <c r="R364" s="287"/>
      <c r="S364" s="281"/>
      <c r="T364" s="280"/>
      <c r="U364" s="280"/>
      <c r="V364" s="280"/>
      <c r="W364" s="280"/>
      <c r="X364" s="280"/>
      <c r="Y364" s="280"/>
      <c r="Z364" s="280"/>
      <c r="AA364" s="280"/>
      <c r="AB364" s="280"/>
      <c r="AC364" s="280"/>
      <c r="AD364" s="280"/>
      <c r="AE364" s="280"/>
      <c r="AF364" s="704"/>
      <c r="AG364" s="704"/>
      <c r="AH364" s="704"/>
      <c r="AI364" s="705"/>
      <c r="AJ364" s="705"/>
      <c r="AK364" s="705"/>
      <c r="AL364" s="705"/>
      <c r="AM364" s="705"/>
      <c r="AN364" s="705"/>
      <c r="AO364" s="705"/>
      <c r="AP364" s="705"/>
      <c r="AQ364" s="705"/>
      <c r="AR364" s="705"/>
      <c r="AS364" s="705"/>
      <c r="AT364" s="705"/>
      <c r="AU364" s="705"/>
      <c r="AV364" s="705"/>
      <c r="AW364" s="705"/>
      <c r="AX364" s="705"/>
      <c r="AY364" s="705"/>
      <c r="AZ364" s="705"/>
      <c r="BA364" s="705"/>
      <c r="BB364" s="705"/>
      <c r="BC364" s="705"/>
      <c r="BD364" s="705"/>
      <c r="BE364" s="705"/>
      <c r="BF364" s="705"/>
      <c r="BG364" s="705"/>
      <c r="BH364" s="705"/>
      <c r="BI364" s="705"/>
      <c r="BJ364" s="705"/>
      <c r="BK364" s="705"/>
      <c r="BL364" s="705"/>
      <c r="BM364" s="705"/>
      <c r="BN364" s="705"/>
      <c r="BO364" s="705"/>
    </row>
    <row r="365" spans="1:67" s="706" customFormat="1" ht="10.55" customHeight="1" x14ac:dyDescent="0.2">
      <c r="A365" s="827" t="s">
        <v>440</v>
      </c>
      <c r="B365" s="367"/>
      <c r="C365" s="367"/>
      <c r="D365" s="373" t="s">
        <v>441</v>
      </c>
      <c r="E365" s="2821">
        <f>SUM(E59,E74,E89,E106,E121,E136,E151,E166,E181,E241,E256,E271,E301,E316,E333:E338)</f>
        <v>0</v>
      </c>
      <c r="F365" s="2822"/>
      <c r="G365" s="746"/>
      <c r="H365" s="747"/>
      <c r="I365" s="742"/>
      <c r="J365" s="743"/>
      <c r="K365" s="744"/>
      <c r="L365" s="745"/>
      <c r="M365" s="1036"/>
      <c r="N365" s="339"/>
      <c r="O365" s="702"/>
      <c r="P365" s="703"/>
      <c r="Q365" s="286"/>
      <c r="R365" s="287"/>
      <c r="S365" s="280"/>
      <c r="T365" s="280"/>
      <c r="U365" s="280"/>
      <c r="V365" s="280"/>
      <c r="W365" s="280"/>
      <c r="X365" s="280"/>
      <c r="Y365" s="280"/>
      <c r="Z365" s="280"/>
      <c r="AA365" s="280"/>
      <c r="AB365" s="280"/>
      <c r="AC365" s="280"/>
      <c r="AD365" s="280"/>
      <c r="AE365" s="280"/>
      <c r="AF365" s="704"/>
      <c r="AG365" s="704"/>
      <c r="AH365" s="704"/>
      <c r="AI365" s="705"/>
      <c r="AJ365" s="705"/>
      <c r="AK365" s="705"/>
      <c r="AL365" s="705"/>
      <c r="AM365" s="705"/>
      <c r="AN365" s="705"/>
      <c r="AO365" s="705"/>
      <c r="AP365" s="705"/>
      <c r="AQ365" s="705"/>
      <c r="AR365" s="705"/>
      <c r="AS365" s="705"/>
      <c r="AT365" s="705"/>
      <c r="AU365" s="705"/>
      <c r="AV365" s="705"/>
      <c r="AW365" s="705"/>
      <c r="AX365" s="705"/>
      <c r="AY365" s="705"/>
      <c r="AZ365" s="705"/>
      <c r="BA365" s="705"/>
      <c r="BB365" s="705"/>
      <c r="BC365" s="705"/>
      <c r="BD365" s="705"/>
      <c r="BE365" s="705"/>
      <c r="BF365" s="705"/>
      <c r="BG365" s="705"/>
      <c r="BH365" s="705"/>
      <c r="BI365" s="705"/>
      <c r="BJ365" s="705"/>
      <c r="BK365" s="705"/>
      <c r="BL365" s="705"/>
      <c r="BM365" s="705"/>
      <c r="BN365" s="705"/>
      <c r="BO365" s="705"/>
    </row>
    <row r="366" spans="1:67" s="706" customFormat="1" ht="10.55" customHeight="1" x14ac:dyDescent="0.2">
      <c r="A366" s="827" t="s">
        <v>495</v>
      </c>
      <c r="B366" s="367"/>
      <c r="C366" s="367"/>
      <c r="D366" s="373" t="s">
        <v>442</v>
      </c>
      <c r="E366" s="712">
        <f>IF(E365=0,0,E369+E370/(E365^(1/3)))</f>
        <v>0</v>
      </c>
      <c r="F366" s="721"/>
      <c r="G366" s="748"/>
      <c r="H366" s="741"/>
      <c r="I366" s="742"/>
      <c r="J366" s="743"/>
      <c r="K366" s="744"/>
      <c r="L366" s="745"/>
      <c r="M366" s="1036"/>
      <c r="N366" s="339"/>
      <c r="O366" s="702"/>
      <c r="P366" s="703"/>
      <c r="Q366" s="286"/>
      <c r="R366" s="287"/>
      <c r="S366" s="280"/>
      <c r="T366" s="280"/>
      <c r="U366" s="280"/>
      <c r="V366" s="280"/>
      <c r="W366" s="280"/>
      <c r="X366" s="280"/>
      <c r="Y366" s="280"/>
      <c r="Z366" s="280"/>
      <c r="AA366" s="280"/>
      <c r="AB366" s="280"/>
      <c r="AC366" s="280"/>
      <c r="AD366" s="280"/>
      <c r="AE366" s="280"/>
      <c r="AF366" s="704"/>
      <c r="AG366" s="704"/>
      <c r="AH366" s="704"/>
      <c r="AI366" s="705"/>
      <c r="AJ366" s="705"/>
      <c r="AK366" s="705"/>
      <c r="AL366" s="705"/>
      <c r="AM366" s="705"/>
      <c r="AN366" s="705"/>
      <c r="AO366" s="705"/>
      <c r="AP366" s="705"/>
      <c r="AQ366" s="705"/>
      <c r="AR366" s="705"/>
      <c r="AS366" s="705"/>
      <c r="AT366" s="705"/>
      <c r="AU366" s="705"/>
      <c r="AV366" s="705"/>
      <c r="AW366" s="705"/>
      <c r="AX366" s="705"/>
      <c r="AY366" s="705"/>
      <c r="AZ366" s="705"/>
      <c r="BA366" s="705"/>
      <c r="BB366" s="705"/>
      <c r="BC366" s="705"/>
      <c r="BD366" s="705"/>
      <c r="BE366" s="705"/>
      <c r="BF366" s="705"/>
      <c r="BG366" s="705"/>
      <c r="BH366" s="705"/>
      <c r="BI366" s="705"/>
      <c r="BJ366" s="705"/>
      <c r="BK366" s="705"/>
      <c r="BL366" s="705"/>
      <c r="BM366" s="705"/>
      <c r="BN366" s="705"/>
      <c r="BO366" s="705"/>
    </row>
    <row r="367" spans="1:67" s="706" customFormat="1" ht="10.55" customHeight="1" x14ac:dyDescent="0.2">
      <c r="A367" s="827" t="s">
        <v>443</v>
      </c>
      <c r="B367" s="367"/>
      <c r="C367" s="367"/>
      <c r="D367" s="373" t="s">
        <v>444</v>
      </c>
      <c r="E367" s="726">
        <v>0.9</v>
      </c>
      <c r="F367" s="721"/>
      <c r="G367" s="748"/>
      <c r="H367" s="741"/>
      <c r="I367" s="742"/>
      <c r="J367" s="743"/>
      <c r="K367" s="744"/>
      <c r="L367" s="745"/>
      <c r="M367" s="1036"/>
      <c r="N367" s="339"/>
      <c r="O367" s="702"/>
      <c r="P367" s="703"/>
      <c r="Q367" s="286"/>
      <c r="R367" s="287"/>
      <c r="S367" s="280"/>
      <c r="T367" s="280"/>
      <c r="U367" s="280"/>
      <c r="V367" s="280"/>
      <c r="W367" s="280"/>
      <c r="X367" s="280"/>
      <c r="Y367" s="280"/>
      <c r="Z367" s="280"/>
      <c r="AA367" s="280"/>
      <c r="AB367" s="280"/>
      <c r="AC367" s="280"/>
      <c r="AD367" s="280"/>
      <c r="AE367" s="280"/>
      <c r="AF367" s="704"/>
      <c r="AG367" s="704"/>
      <c r="AH367" s="704"/>
      <c r="AI367" s="705"/>
      <c r="AJ367" s="705"/>
      <c r="AK367" s="705"/>
      <c r="AL367" s="705"/>
      <c r="AM367" s="705"/>
      <c r="AN367" s="705"/>
      <c r="AO367" s="705"/>
      <c r="AP367" s="705"/>
      <c r="AQ367" s="705"/>
      <c r="AR367" s="705"/>
      <c r="AS367" s="705"/>
      <c r="AT367" s="705"/>
      <c r="AU367" s="705"/>
      <c r="AV367" s="705"/>
      <c r="AW367" s="705"/>
      <c r="AX367" s="705"/>
      <c r="AY367" s="705"/>
      <c r="AZ367" s="705"/>
      <c r="BA367" s="705"/>
      <c r="BB367" s="705"/>
      <c r="BC367" s="705"/>
      <c r="BD367" s="705"/>
      <c r="BE367" s="705"/>
      <c r="BF367" s="705"/>
      <c r="BG367" s="705"/>
      <c r="BH367" s="705"/>
      <c r="BI367" s="705"/>
      <c r="BJ367" s="705"/>
      <c r="BK367" s="705"/>
      <c r="BL367" s="705"/>
      <c r="BM367" s="705"/>
      <c r="BN367" s="705"/>
      <c r="BO367" s="705"/>
    </row>
    <row r="368" spans="1:67" s="706" customFormat="1" ht="10.55" customHeight="1" x14ac:dyDescent="0.2">
      <c r="A368" s="827" t="s">
        <v>500</v>
      </c>
      <c r="B368" s="367"/>
      <c r="C368" s="367"/>
      <c r="D368" s="373" t="s">
        <v>494</v>
      </c>
      <c r="E368" s="726">
        <v>1</v>
      </c>
      <c r="F368" s="721"/>
      <c r="G368" s="748"/>
      <c r="H368" s="741"/>
      <c r="I368" s="742"/>
      <c r="J368" s="743"/>
      <c r="K368" s="744"/>
      <c r="L368" s="745"/>
      <c r="M368" s="1036"/>
      <c r="N368" s="339"/>
      <c r="O368" s="702"/>
      <c r="P368" s="703"/>
      <c r="Q368" s="286"/>
      <c r="R368" s="287"/>
      <c r="S368" s="280"/>
      <c r="T368" s="280"/>
      <c r="U368" s="280"/>
      <c r="V368" s="280"/>
      <c r="W368" s="280"/>
      <c r="X368" s="280"/>
      <c r="Y368" s="280"/>
      <c r="Z368" s="280"/>
      <c r="AA368" s="280"/>
      <c r="AB368" s="280"/>
      <c r="AC368" s="280"/>
      <c r="AD368" s="280"/>
      <c r="AE368" s="280"/>
      <c r="AF368" s="704"/>
      <c r="AG368" s="704"/>
      <c r="AH368" s="704"/>
      <c r="AI368" s="705"/>
      <c r="AJ368" s="705"/>
      <c r="AK368" s="705"/>
      <c r="AL368" s="705"/>
      <c r="AM368" s="705"/>
      <c r="AN368" s="705"/>
      <c r="AO368" s="705"/>
      <c r="AP368" s="705"/>
      <c r="AQ368" s="705"/>
      <c r="AR368" s="705"/>
      <c r="AS368" s="705"/>
      <c r="AT368" s="705"/>
      <c r="AU368" s="705"/>
      <c r="AV368" s="705"/>
      <c r="AW368" s="705"/>
      <c r="AX368" s="705"/>
      <c r="AY368" s="705"/>
      <c r="AZ368" s="705"/>
      <c r="BA368" s="705"/>
      <c r="BB368" s="705"/>
      <c r="BC368" s="705"/>
      <c r="BD368" s="705"/>
      <c r="BE368" s="705"/>
      <c r="BF368" s="705"/>
      <c r="BG368" s="705"/>
      <c r="BH368" s="705"/>
      <c r="BI368" s="705"/>
      <c r="BJ368" s="705"/>
      <c r="BK368" s="705"/>
      <c r="BL368" s="705"/>
      <c r="BM368" s="705"/>
      <c r="BN368" s="705"/>
      <c r="BO368" s="705"/>
    </row>
    <row r="369" spans="1:67" s="706" customFormat="1" ht="10.55" customHeight="1" x14ac:dyDescent="0.2">
      <c r="A369" s="827" t="s">
        <v>501</v>
      </c>
      <c r="B369" s="2823" t="s">
        <v>837</v>
      </c>
      <c r="C369" s="2823"/>
      <c r="D369" s="373" t="s">
        <v>492</v>
      </c>
      <c r="E369" s="727">
        <v>6.6000000000000003E-2</v>
      </c>
      <c r="F369" s="721"/>
      <c r="G369" s="2824"/>
      <c r="H369" s="2825"/>
      <c r="I369" s="742"/>
      <c r="J369" s="743"/>
      <c r="K369" s="744"/>
      <c r="L369" s="745"/>
      <c r="M369" s="1036"/>
      <c r="N369" s="339"/>
      <c r="O369" s="702"/>
      <c r="P369" s="703"/>
      <c r="Q369" s="286"/>
      <c r="R369" s="287"/>
      <c r="S369" s="280"/>
      <c r="T369" s="280"/>
      <c r="U369" s="280"/>
      <c r="V369" s="280"/>
      <c r="W369" s="280"/>
      <c r="X369" s="280"/>
      <c r="Y369" s="280"/>
      <c r="Z369" s="280"/>
      <c r="AA369" s="280"/>
      <c r="AB369" s="280"/>
      <c r="AC369" s="280"/>
      <c r="AD369" s="280"/>
      <c r="AE369" s="280"/>
      <c r="AF369" s="704"/>
      <c r="AG369" s="704"/>
      <c r="AH369" s="704"/>
      <c r="AI369" s="705"/>
      <c r="AJ369" s="705"/>
      <c r="AK369" s="705"/>
      <c r="AL369" s="705"/>
      <c r="AM369" s="705"/>
      <c r="AN369" s="705"/>
      <c r="AO369" s="705"/>
      <c r="AP369" s="705"/>
      <c r="AQ369" s="705"/>
      <c r="AR369" s="705"/>
      <c r="AS369" s="705"/>
      <c r="AT369" s="705"/>
      <c r="AU369" s="705"/>
      <c r="AV369" s="705"/>
      <c r="AW369" s="705"/>
      <c r="AX369" s="705"/>
      <c r="AY369" s="705"/>
      <c r="AZ369" s="705"/>
      <c r="BA369" s="705"/>
      <c r="BB369" s="705"/>
      <c r="BC369" s="705"/>
      <c r="BD369" s="705"/>
      <c r="BE369" s="705"/>
      <c r="BF369" s="705"/>
      <c r="BG369" s="705"/>
      <c r="BH369" s="705"/>
      <c r="BI369" s="705"/>
      <c r="BJ369" s="705"/>
      <c r="BK369" s="705"/>
      <c r="BL369" s="705"/>
      <c r="BM369" s="705"/>
      <c r="BN369" s="705"/>
      <c r="BO369" s="705"/>
    </row>
    <row r="370" spans="1:67" s="706" customFormat="1" ht="10.55" customHeight="1" x14ac:dyDescent="0.2">
      <c r="A370" s="827" t="s">
        <v>502</v>
      </c>
      <c r="B370" s="2823" t="s">
        <v>837</v>
      </c>
      <c r="C370" s="2823"/>
      <c r="D370" s="373" t="s">
        <v>493</v>
      </c>
      <c r="E370" s="727">
        <v>11.28</v>
      </c>
      <c r="F370" s="721"/>
      <c r="G370" s="2824"/>
      <c r="H370" s="2825"/>
      <c r="I370" s="742"/>
      <c r="J370" s="743"/>
      <c r="K370" s="744"/>
      <c r="L370" s="745"/>
      <c r="M370" s="1036"/>
      <c r="N370" s="339"/>
      <c r="O370" s="702"/>
      <c r="P370" s="703"/>
      <c r="Q370" s="286"/>
      <c r="R370" s="287"/>
      <c r="S370" s="280"/>
      <c r="T370" s="280"/>
      <c r="U370" s="280"/>
      <c r="V370" s="280"/>
      <c r="W370" s="280"/>
      <c r="X370" s="280"/>
      <c r="Y370" s="280"/>
      <c r="Z370" s="280"/>
      <c r="AA370" s="280"/>
      <c r="AB370" s="280"/>
      <c r="AC370" s="280"/>
      <c r="AD370" s="280"/>
      <c r="AE370" s="280"/>
      <c r="AF370" s="704"/>
      <c r="AG370" s="704"/>
      <c r="AH370" s="704"/>
      <c r="AI370" s="705"/>
      <c r="AJ370" s="705"/>
      <c r="AK370" s="705"/>
      <c r="AL370" s="705"/>
      <c r="AM370" s="705"/>
      <c r="AN370" s="705"/>
      <c r="AO370" s="705"/>
      <c r="AP370" s="705"/>
      <c r="AQ370" s="705"/>
      <c r="AR370" s="705"/>
      <c r="AS370" s="705"/>
      <c r="AT370" s="705"/>
      <c r="AU370" s="705"/>
      <c r="AV370" s="705"/>
      <c r="AW370" s="705"/>
      <c r="AX370" s="705"/>
      <c r="AY370" s="705"/>
      <c r="AZ370" s="705"/>
      <c r="BA370" s="705"/>
      <c r="BB370" s="705"/>
      <c r="BC370" s="705"/>
      <c r="BD370" s="705"/>
      <c r="BE370" s="705"/>
      <c r="BF370" s="705"/>
      <c r="BG370" s="705"/>
      <c r="BH370" s="705"/>
      <c r="BI370" s="705"/>
      <c r="BJ370" s="705"/>
      <c r="BK370" s="705"/>
      <c r="BL370" s="705"/>
      <c r="BM370" s="705"/>
      <c r="BN370" s="705"/>
      <c r="BO370" s="705"/>
    </row>
    <row r="371" spans="1:67" s="706" customFormat="1" ht="10.55" customHeight="1" x14ac:dyDescent="0.2">
      <c r="A371" s="827" t="s">
        <v>498</v>
      </c>
      <c r="B371" s="367"/>
      <c r="C371" s="367"/>
      <c r="D371" s="373" t="s">
        <v>499</v>
      </c>
      <c r="E371" s="727">
        <v>100</v>
      </c>
      <c r="F371" s="1037"/>
      <c r="G371" s="1038"/>
      <c r="H371" s="1039"/>
      <c r="I371" s="742"/>
      <c r="J371" s="743"/>
      <c r="K371" s="744"/>
      <c r="L371" s="745"/>
      <c r="M371" s="1036"/>
      <c r="N371" s="339"/>
      <c r="O371" s="702"/>
      <c r="P371" s="703"/>
      <c r="Q371" s="286"/>
      <c r="R371" s="287"/>
      <c r="S371" s="280"/>
      <c r="T371" s="280"/>
      <c r="U371" s="280"/>
      <c r="V371" s="280"/>
      <c r="W371" s="280"/>
      <c r="X371" s="280"/>
      <c r="Y371" s="280"/>
      <c r="Z371" s="280"/>
      <c r="AA371" s="280"/>
      <c r="AB371" s="280"/>
      <c r="AC371" s="280"/>
      <c r="AD371" s="280"/>
      <c r="AE371" s="280"/>
      <c r="AF371" s="704"/>
      <c r="AG371" s="704"/>
      <c r="AH371" s="704"/>
      <c r="AI371" s="705"/>
      <c r="AJ371" s="705"/>
      <c r="AK371" s="705"/>
      <c r="AL371" s="705"/>
      <c r="AM371" s="705"/>
      <c r="AN371" s="705"/>
      <c r="AO371" s="705"/>
      <c r="AP371" s="705"/>
      <c r="AQ371" s="705"/>
      <c r="AR371" s="705"/>
      <c r="AS371" s="705"/>
      <c r="AT371" s="705"/>
      <c r="AU371" s="705"/>
      <c r="AV371" s="705"/>
      <c r="AW371" s="705"/>
      <c r="AX371" s="705"/>
      <c r="AY371" s="705"/>
      <c r="AZ371" s="705"/>
      <c r="BA371" s="705"/>
      <c r="BB371" s="705"/>
      <c r="BC371" s="705"/>
      <c r="BD371" s="705"/>
      <c r="BE371" s="705"/>
      <c r="BF371" s="705"/>
      <c r="BG371" s="705"/>
      <c r="BH371" s="705"/>
      <c r="BI371" s="705"/>
      <c r="BJ371" s="705"/>
      <c r="BK371" s="705"/>
      <c r="BL371" s="705"/>
      <c r="BM371" s="705"/>
      <c r="BN371" s="705"/>
      <c r="BO371" s="705"/>
    </row>
    <row r="372" spans="1:67" s="706" customFormat="1" ht="10.55" customHeight="1" x14ac:dyDescent="0.2">
      <c r="A372" s="827" t="s">
        <v>496</v>
      </c>
      <c r="B372" s="367"/>
      <c r="C372" s="367"/>
      <c r="D372" s="373" t="s">
        <v>497</v>
      </c>
      <c r="E372" s="726">
        <v>1</v>
      </c>
      <c r="F372" s="1040"/>
      <c r="G372" s="1038"/>
      <c r="H372" s="1039"/>
      <c r="I372" s="742"/>
      <c r="J372" s="743"/>
      <c r="K372" s="744"/>
      <c r="L372" s="745"/>
      <c r="M372" s="1036"/>
      <c r="N372" s="339"/>
      <c r="O372" s="702"/>
      <c r="P372" s="703"/>
      <c r="Q372" s="286"/>
      <c r="R372" s="287"/>
      <c r="S372" s="280"/>
      <c r="T372" s="280"/>
      <c r="U372" s="280"/>
      <c r="V372" s="280"/>
      <c r="W372" s="280"/>
      <c r="X372" s="280"/>
      <c r="Y372" s="280"/>
      <c r="Z372" s="280"/>
      <c r="AA372" s="280"/>
      <c r="AB372" s="280"/>
      <c r="AC372" s="280"/>
      <c r="AD372" s="280"/>
      <c r="AE372" s="280"/>
      <c r="AF372" s="704"/>
      <c r="AG372" s="704"/>
      <c r="AH372" s="704"/>
      <c r="AI372" s="705"/>
      <c r="AJ372" s="705"/>
      <c r="AK372" s="705"/>
      <c r="AL372" s="705"/>
      <c r="AM372" s="705"/>
      <c r="AN372" s="705"/>
      <c r="AO372" s="705"/>
      <c r="AP372" s="705"/>
      <c r="AQ372" s="705"/>
      <c r="AR372" s="705"/>
      <c r="AS372" s="705"/>
      <c r="AT372" s="705"/>
      <c r="AU372" s="705"/>
      <c r="AV372" s="705"/>
      <c r="AW372" s="705"/>
      <c r="AX372" s="705"/>
      <c r="AY372" s="705"/>
      <c r="AZ372" s="705"/>
      <c r="BA372" s="705"/>
      <c r="BB372" s="705"/>
      <c r="BC372" s="705"/>
      <c r="BD372" s="705"/>
      <c r="BE372" s="705"/>
      <c r="BF372" s="705"/>
      <c r="BG372" s="705"/>
      <c r="BH372" s="705"/>
      <c r="BI372" s="705"/>
      <c r="BJ372" s="705"/>
      <c r="BK372" s="705"/>
      <c r="BL372" s="705"/>
      <c r="BM372" s="705"/>
      <c r="BN372" s="705"/>
      <c r="BO372" s="705"/>
    </row>
    <row r="373" spans="1:67" s="706" customFormat="1" ht="10.55" customHeight="1" x14ac:dyDescent="0.2">
      <c r="A373" s="827" t="s">
        <v>503</v>
      </c>
      <c r="B373" s="367"/>
      <c r="C373" s="367"/>
      <c r="D373" s="373" t="s">
        <v>505</v>
      </c>
      <c r="E373" s="726">
        <v>1</v>
      </c>
      <c r="F373" s="1040"/>
      <c r="G373" s="1038"/>
      <c r="H373" s="1039"/>
      <c r="I373" s="742"/>
      <c r="J373" s="743"/>
      <c r="K373" s="744"/>
      <c r="L373" s="745"/>
      <c r="M373" s="1036"/>
      <c r="N373" s="339"/>
      <c r="O373" s="702"/>
      <c r="P373" s="703"/>
      <c r="Q373" s="286"/>
      <c r="R373" s="287"/>
      <c r="S373" s="280"/>
      <c r="T373" s="280"/>
      <c r="U373" s="280"/>
      <c r="V373" s="280"/>
      <c r="W373" s="280"/>
      <c r="X373" s="280"/>
      <c r="Y373" s="280"/>
      <c r="Z373" s="280"/>
      <c r="AA373" s="280"/>
      <c r="AB373" s="280"/>
      <c r="AC373" s="280"/>
      <c r="AD373" s="280"/>
      <c r="AE373" s="280"/>
      <c r="AF373" s="704"/>
      <c r="AG373" s="704"/>
      <c r="AH373" s="704"/>
      <c r="AI373" s="705"/>
      <c r="AJ373" s="705"/>
      <c r="AK373" s="705"/>
      <c r="AL373" s="705"/>
      <c r="AM373" s="705"/>
      <c r="AN373" s="705"/>
      <c r="AO373" s="705"/>
      <c r="AP373" s="705"/>
      <c r="AQ373" s="705"/>
      <c r="AR373" s="705"/>
      <c r="AS373" s="705"/>
      <c r="AT373" s="705"/>
      <c r="AU373" s="705"/>
      <c r="AV373" s="705"/>
      <c r="AW373" s="705"/>
      <c r="AX373" s="705"/>
      <c r="AY373" s="705"/>
      <c r="AZ373" s="705"/>
      <c r="BA373" s="705"/>
      <c r="BB373" s="705"/>
      <c r="BC373" s="705"/>
      <c r="BD373" s="705"/>
      <c r="BE373" s="705"/>
      <c r="BF373" s="705"/>
      <c r="BG373" s="705"/>
      <c r="BH373" s="705"/>
      <c r="BI373" s="705"/>
      <c r="BJ373" s="705"/>
      <c r="BK373" s="705"/>
      <c r="BL373" s="705"/>
      <c r="BM373" s="705"/>
      <c r="BN373" s="705"/>
      <c r="BO373" s="705"/>
    </row>
    <row r="374" spans="1:67" s="706" customFormat="1" ht="10.55" customHeight="1" x14ac:dyDescent="0.2">
      <c r="A374" s="827" t="s">
        <v>504</v>
      </c>
      <c r="B374" s="367"/>
      <c r="C374" s="367"/>
      <c r="D374" s="373" t="s">
        <v>506</v>
      </c>
      <c r="E374" s="728">
        <v>150</v>
      </c>
      <c r="F374" s="1040"/>
      <c r="G374" s="1038"/>
      <c r="H374" s="1039"/>
      <c r="I374" s="742"/>
      <c r="J374" s="743"/>
      <c r="K374" s="744"/>
      <c r="L374" s="745"/>
      <c r="M374" s="1036"/>
      <c r="N374" s="339"/>
      <c r="O374" s="702"/>
      <c r="P374" s="703"/>
      <c r="Q374" s="286"/>
      <c r="R374" s="287"/>
      <c r="S374" s="280"/>
      <c r="T374" s="280"/>
      <c r="U374" s="280"/>
      <c r="V374" s="280"/>
      <c r="W374" s="280"/>
      <c r="X374" s="280"/>
      <c r="Y374" s="280"/>
      <c r="Z374" s="280"/>
      <c r="AA374" s="280"/>
      <c r="AB374" s="280"/>
      <c r="AC374" s="280"/>
      <c r="AD374" s="280"/>
      <c r="AE374" s="280"/>
      <c r="AF374" s="704"/>
      <c r="AG374" s="704"/>
      <c r="AH374" s="704"/>
      <c r="AI374" s="705"/>
      <c r="AJ374" s="705"/>
      <c r="AK374" s="705"/>
      <c r="AL374" s="705"/>
      <c r="AM374" s="705"/>
      <c r="AN374" s="705"/>
      <c r="AO374" s="705"/>
      <c r="AP374" s="705"/>
      <c r="AQ374" s="705"/>
      <c r="AR374" s="705"/>
      <c r="AS374" s="705"/>
      <c r="AT374" s="705"/>
      <c r="AU374" s="705"/>
      <c r="AV374" s="705"/>
      <c r="AW374" s="705"/>
      <c r="AX374" s="705"/>
      <c r="AY374" s="705"/>
      <c r="AZ374" s="705"/>
      <c r="BA374" s="705"/>
      <c r="BB374" s="705"/>
      <c r="BC374" s="705"/>
      <c r="BD374" s="705"/>
      <c r="BE374" s="705"/>
      <c r="BF374" s="705"/>
      <c r="BG374" s="705"/>
      <c r="BH374" s="705"/>
      <c r="BI374" s="705"/>
      <c r="BJ374" s="705"/>
      <c r="BK374" s="705"/>
      <c r="BL374" s="705"/>
      <c r="BM374" s="705"/>
      <c r="BN374" s="705"/>
      <c r="BO374" s="705"/>
    </row>
    <row r="375" spans="1:67" s="706" customFormat="1" ht="10.55" customHeight="1" x14ac:dyDescent="0.2">
      <c r="A375" s="828" t="s">
        <v>507</v>
      </c>
      <c r="B375" s="370"/>
      <c r="C375" s="370"/>
      <c r="D375" s="715"/>
      <c r="E375" s="2810">
        <f>E365*E366/100*E367*E371/100*E368*E372*E373*E374</f>
        <v>0</v>
      </c>
      <c r="F375" s="2811"/>
      <c r="G375" s="1041"/>
      <c r="H375" s="1042"/>
      <c r="I375" s="736"/>
      <c r="J375" s="737"/>
      <c r="K375" s="738"/>
      <c r="L375" s="739"/>
      <c r="M375" s="1035"/>
      <c r="N375" s="339"/>
      <c r="O375" s="702"/>
      <c r="P375" s="703"/>
      <c r="Q375" s="286"/>
      <c r="R375" s="287"/>
      <c r="S375" s="280"/>
      <c r="T375" s="280"/>
      <c r="U375" s="280"/>
      <c r="V375" s="280"/>
      <c r="W375" s="280"/>
      <c r="X375" s="280"/>
      <c r="Y375" s="280"/>
      <c r="Z375" s="280"/>
      <c r="AA375" s="280"/>
      <c r="AB375" s="280"/>
      <c r="AC375" s="280"/>
      <c r="AD375" s="280"/>
      <c r="AE375" s="280"/>
      <c r="AF375" s="704"/>
      <c r="AG375" s="704"/>
      <c r="AH375" s="704"/>
      <c r="AI375" s="705"/>
      <c r="AJ375" s="705"/>
      <c r="AK375" s="705"/>
      <c r="AL375" s="705"/>
      <c r="AM375" s="705"/>
      <c r="AN375" s="705"/>
      <c r="AO375" s="705"/>
      <c r="AP375" s="705"/>
      <c r="AQ375" s="705"/>
      <c r="AR375" s="705"/>
      <c r="AS375" s="705"/>
      <c r="AT375" s="705"/>
      <c r="AU375" s="705"/>
      <c r="AV375" s="705"/>
      <c r="AW375" s="705"/>
      <c r="AX375" s="705"/>
      <c r="AY375" s="705"/>
      <c r="AZ375" s="705"/>
      <c r="BA375" s="705"/>
      <c r="BB375" s="705"/>
      <c r="BC375" s="705"/>
      <c r="BD375" s="705"/>
      <c r="BE375" s="705"/>
      <c r="BF375" s="705"/>
      <c r="BG375" s="705"/>
      <c r="BH375" s="705"/>
      <c r="BI375" s="705"/>
      <c r="BJ375" s="705"/>
      <c r="BK375" s="705"/>
      <c r="BL375" s="705"/>
      <c r="BM375" s="705"/>
      <c r="BN375" s="705"/>
      <c r="BO375" s="705"/>
    </row>
    <row r="376" spans="1:67" s="706" customFormat="1" ht="10.55" customHeight="1" x14ac:dyDescent="0.2">
      <c r="A376" s="827"/>
      <c r="B376" s="367"/>
      <c r="C376" s="367"/>
      <c r="D376" s="377"/>
      <c r="E376" s="716"/>
      <c r="F376" s="722"/>
      <c r="G376" s="740"/>
      <c r="H376" s="741"/>
      <c r="I376" s="742"/>
      <c r="J376" s="743"/>
      <c r="K376" s="744"/>
      <c r="L376" s="745"/>
      <c r="M376" s="1036"/>
      <c r="N376" s="339"/>
      <c r="O376" s="702"/>
      <c r="P376" s="703"/>
      <c r="Q376" s="286"/>
      <c r="R376" s="287"/>
      <c r="S376" s="280"/>
      <c r="T376" s="280"/>
      <c r="U376" s="280"/>
      <c r="V376" s="280"/>
      <c r="W376" s="280"/>
      <c r="X376" s="280"/>
      <c r="Y376" s="280"/>
      <c r="Z376" s="280"/>
      <c r="AA376" s="280"/>
      <c r="AB376" s="280"/>
      <c r="AC376" s="280"/>
      <c r="AD376" s="280"/>
      <c r="AE376" s="280"/>
      <c r="AF376" s="704"/>
      <c r="AG376" s="704"/>
      <c r="AH376" s="704"/>
      <c r="AI376" s="705"/>
      <c r="AJ376" s="705"/>
      <c r="AK376" s="705"/>
      <c r="AL376" s="705"/>
      <c r="AM376" s="705"/>
      <c r="AN376" s="705"/>
      <c r="AO376" s="705"/>
      <c r="AP376" s="705"/>
      <c r="AQ376" s="705"/>
      <c r="AR376" s="705"/>
      <c r="AS376" s="705"/>
      <c r="AT376" s="705"/>
      <c r="AU376" s="705"/>
      <c r="AV376" s="705"/>
      <c r="AW376" s="705"/>
      <c r="AX376" s="705"/>
      <c r="AY376" s="705"/>
      <c r="AZ376" s="705"/>
      <c r="BA376" s="705"/>
      <c r="BB376" s="705"/>
      <c r="BC376" s="705"/>
      <c r="BD376" s="705"/>
      <c r="BE376" s="705"/>
      <c r="BF376" s="705"/>
      <c r="BG376" s="705"/>
      <c r="BH376" s="705"/>
      <c r="BI376" s="705"/>
      <c r="BJ376" s="705"/>
      <c r="BK376" s="705"/>
      <c r="BL376" s="705"/>
      <c r="BM376" s="705"/>
      <c r="BN376" s="705"/>
      <c r="BO376" s="705"/>
    </row>
    <row r="377" spans="1:67" s="706" customFormat="1" ht="10.55" customHeight="1" x14ac:dyDescent="0.2">
      <c r="A377" s="826" t="s">
        <v>445</v>
      </c>
      <c r="B377" s="378"/>
      <c r="C377" s="378"/>
      <c r="D377" s="377"/>
      <c r="E377" s="372"/>
      <c r="F377" s="720"/>
      <c r="G377" s="740"/>
      <c r="H377" s="741"/>
      <c r="I377" s="742"/>
      <c r="J377" s="743"/>
      <c r="K377" s="744"/>
      <c r="L377" s="745"/>
      <c r="M377" s="1036"/>
      <c r="N377" s="339"/>
      <c r="O377" s="702"/>
      <c r="P377" s="703"/>
      <c r="Q377" s="286"/>
      <c r="R377" s="287"/>
      <c r="S377" s="280"/>
      <c r="T377" s="280"/>
      <c r="U377" s="280"/>
      <c r="V377" s="280"/>
      <c r="W377" s="280"/>
      <c r="X377" s="280"/>
      <c r="Y377" s="280"/>
      <c r="Z377" s="280"/>
      <c r="AA377" s="280"/>
      <c r="AB377" s="280"/>
      <c r="AC377" s="280"/>
      <c r="AD377" s="280"/>
      <c r="AE377" s="280"/>
      <c r="AF377" s="704"/>
      <c r="AG377" s="704"/>
      <c r="AH377" s="704"/>
      <c r="AI377" s="705"/>
      <c r="AJ377" s="705"/>
      <c r="AK377" s="705"/>
      <c r="AL377" s="705"/>
      <c r="AM377" s="705"/>
      <c r="AN377" s="705"/>
      <c r="AO377" s="705"/>
      <c r="AP377" s="705"/>
      <c r="AQ377" s="705"/>
      <c r="AR377" s="705"/>
      <c r="AS377" s="705"/>
      <c r="AT377" s="705"/>
      <c r="AU377" s="705"/>
      <c r="AV377" s="705"/>
      <c r="AW377" s="705"/>
      <c r="AX377" s="705"/>
      <c r="AY377" s="705"/>
      <c r="AZ377" s="705"/>
      <c r="BA377" s="705"/>
      <c r="BB377" s="705"/>
      <c r="BC377" s="705"/>
      <c r="BD377" s="705"/>
      <c r="BE377" s="705"/>
      <c r="BF377" s="705"/>
      <c r="BG377" s="705"/>
      <c r="BH377" s="705"/>
      <c r="BI377" s="705"/>
      <c r="BJ377" s="705"/>
      <c r="BK377" s="705"/>
      <c r="BL377" s="705"/>
      <c r="BM377" s="705"/>
      <c r="BN377" s="705"/>
      <c r="BO377" s="705"/>
    </row>
    <row r="378" spans="1:67" s="706" customFormat="1" ht="10.55" customHeight="1" x14ac:dyDescent="0.2">
      <c r="A378" s="827" t="s">
        <v>440</v>
      </c>
      <c r="B378" s="367"/>
      <c r="C378" s="367"/>
      <c r="D378" s="373" t="s">
        <v>441</v>
      </c>
      <c r="E378" s="2821">
        <f>SUM(E44,E196,E211,E226,E286,E340:F345)</f>
        <v>0</v>
      </c>
      <c r="F378" s="2822"/>
      <c r="G378" s="746"/>
      <c r="H378" s="747"/>
      <c r="I378" s="742"/>
      <c r="J378" s="743"/>
      <c r="K378" s="744"/>
      <c r="L378" s="745"/>
      <c r="M378" s="1036"/>
      <c r="N378" s="339"/>
      <c r="O378" s="702"/>
      <c r="P378" s="703"/>
      <c r="Q378" s="286"/>
      <c r="R378" s="287"/>
      <c r="S378" s="280"/>
      <c r="T378" s="280"/>
      <c r="U378" s="280"/>
      <c r="V378" s="280"/>
      <c r="W378" s="280"/>
      <c r="X378" s="280"/>
      <c r="Y378" s="280"/>
      <c r="Z378" s="280"/>
      <c r="AA378" s="280"/>
      <c r="AB378" s="280"/>
      <c r="AC378" s="280"/>
      <c r="AD378" s="280"/>
      <c r="AE378" s="280"/>
      <c r="AF378" s="704"/>
      <c r="AG378" s="704"/>
      <c r="AH378" s="704"/>
      <c r="AI378" s="705"/>
      <c r="AJ378" s="705"/>
      <c r="AK378" s="705"/>
      <c r="AL378" s="705"/>
      <c r="AM378" s="705"/>
      <c r="AN378" s="705"/>
      <c r="AO378" s="705"/>
      <c r="AP378" s="705"/>
      <c r="AQ378" s="705"/>
      <c r="AR378" s="705"/>
      <c r="AS378" s="705"/>
      <c r="AT378" s="705"/>
      <c r="AU378" s="705"/>
      <c r="AV378" s="705"/>
      <c r="AW378" s="705"/>
      <c r="AX378" s="705"/>
      <c r="AY378" s="705"/>
      <c r="AZ378" s="705"/>
      <c r="BA378" s="705"/>
      <c r="BB378" s="705"/>
      <c r="BC378" s="705"/>
      <c r="BD378" s="705"/>
      <c r="BE378" s="705"/>
      <c r="BF378" s="705"/>
      <c r="BG378" s="705"/>
      <c r="BH378" s="705"/>
      <c r="BI378" s="705"/>
      <c r="BJ378" s="705"/>
      <c r="BK378" s="705"/>
      <c r="BL378" s="705"/>
      <c r="BM378" s="705"/>
      <c r="BN378" s="705"/>
      <c r="BO378" s="705"/>
    </row>
    <row r="379" spans="1:67" s="706" customFormat="1" ht="10.55" customHeight="1" x14ac:dyDescent="0.2">
      <c r="A379" s="827" t="s">
        <v>495</v>
      </c>
      <c r="B379" s="367"/>
      <c r="C379" s="367"/>
      <c r="D379" s="373" t="s">
        <v>442</v>
      </c>
      <c r="E379" s="712">
        <f>IF(E378=0,0,E382+E383/(E378^(1/3)))</f>
        <v>0</v>
      </c>
      <c r="F379" s="721"/>
      <c r="G379" s="748"/>
      <c r="H379" s="741"/>
      <c r="I379" s="742"/>
      <c r="J379" s="743"/>
      <c r="K379" s="744"/>
      <c r="L379" s="745"/>
      <c r="M379" s="1036"/>
      <c r="N379" s="339"/>
      <c r="O379" s="702"/>
      <c r="P379" s="703"/>
      <c r="Q379" s="286"/>
      <c r="R379" s="287"/>
      <c r="S379" s="280"/>
      <c r="T379" s="280"/>
      <c r="U379" s="280"/>
      <c r="V379" s="280"/>
      <c r="W379" s="280"/>
      <c r="X379" s="280"/>
      <c r="Y379" s="280"/>
      <c r="Z379" s="280"/>
      <c r="AA379" s="280"/>
      <c r="AB379" s="280"/>
      <c r="AC379" s="280"/>
      <c r="AD379" s="280"/>
      <c r="AE379" s="280"/>
      <c r="AF379" s="704"/>
      <c r="AG379" s="704"/>
      <c r="AH379" s="704"/>
      <c r="AI379" s="705"/>
      <c r="AJ379" s="705"/>
      <c r="AK379" s="705"/>
      <c r="AL379" s="705"/>
      <c r="AM379" s="705"/>
      <c r="AN379" s="705"/>
      <c r="AO379" s="705"/>
      <c r="AP379" s="705"/>
      <c r="AQ379" s="705"/>
      <c r="AR379" s="705"/>
      <c r="AS379" s="705"/>
      <c r="AT379" s="705"/>
      <c r="AU379" s="705"/>
      <c r="AV379" s="705"/>
      <c r="AW379" s="705"/>
      <c r="AX379" s="705"/>
      <c r="AY379" s="705"/>
      <c r="AZ379" s="705"/>
      <c r="BA379" s="705"/>
      <c r="BB379" s="705"/>
      <c r="BC379" s="705"/>
      <c r="BD379" s="705"/>
      <c r="BE379" s="705"/>
      <c r="BF379" s="705"/>
      <c r="BG379" s="705"/>
      <c r="BH379" s="705"/>
      <c r="BI379" s="705"/>
      <c r="BJ379" s="705"/>
      <c r="BK379" s="705"/>
      <c r="BL379" s="705"/>
      <c r="BM379" s="705"/>
      <c r="BN379" s="705"/>
      <c r="BO379" s="705"/>
    </row>
    <row r="380" spans="1:67" s="706" customFormat="1" ht="10.55" customHeight="1" x14ac:dyDescent="0.2">
      <c r="A380" s="827" t="s">
        <v>443</v>
      </c>
      <c r="B380" s="367"/>
      <c r="C380" s="367"/>
      <c r="D380" s="373" t="s">
        <v>444</v>
      </c>
      <c r="E380" s="375">
        <v>0.9</v>
      </c>
      <c r="F380" s="721"/>
      <c r="G380" s="748"/>
      <c r="H380" s="741"/>
      <c r="I380" s="742"/>
      <c r="J380" s="743"/>
      <c r="K380" s="744"/>
      <c r="L380" s="745"/>
      <c r="M380" s="1036"/>
      <c r="N380" s="339"/>
      <c r="O380" s="702"/>
      <c r="P380" s="703"/>
      <c r="Q380" s="286"/>
      <c r="R380" s="287"/>
      <c r="S380" s="280"/>
      <c r="T380" s="280"/>
      <c r="U380" s="280"/>
      <c r="V380" s="280"/>
      <c r="W380" s="280"/>
      <c r="X380" s="280"/>
      <c r="Y380" s="280"/>
      <c r="Z380" s="280"/>
      <c r="AA380" s="280"/>
      <c r="AB380" s="280"/>
      <c r="AC380" s="280"/>
      <c r="AD380" s="280"/>
      <c r="AE380" s="280"/>
      <c r="AF380" s="704"/>
      <c r="AG380" s="704"/>
      <c r="AH380" s="704"/>
      <c r="AI380" s="705"/>
      <c r="AJ380" s="705"/>
      <c r="AK380" s="705"/>
      <c r="AL380" s="705"/>
      <c r="AM380" s="705"/>
      <c r="AN380" s="705"/>
      <c r="AO380" s="705"/>
      <c r="AP380" s="705"/>
      <c r="AQ380" s="705"/>
      <c r="AR380" s="705"/>
      <c r="AS380" s="705"/>
      <c r="AT380" s="705"/>
      <c r="AU380" s="705"/>
      <c r="AV380" s="705"/>
      <c r="AW380" s="705"/>
      <c r="AX380" s="705"/>
      <c r="AY380" s="705"/>
      <c r="AZ380" s="705"/>
      <c r="BA380" s="705"/>
      <c r="BB380" s="705"/>
      <c r="BC380" s="705"/>
      <c r="BD380" s="705"/>
      <c r="BE380" s="705"/>
      <c r="BF380" s="705"/>
      <c r="BG380" s="705"/>
      <c r="BH380" s="705"/>
      <c r="BI380" s="705"/>
      <c r="BJ380" s="705"/>
      <c r="BK380" s="705"/>
      <c r="BL380" s="705"/>
      <c r="BM380" s="705"/>
      <c r="BN380" s="705"/>
      <c r="BO380" s="705"/>
    </row>
    <row r="381" spans="1:67" s="706" customFormat="1" ht="10.55" customHeight="1" x14ac:dyDescent="0.2">
      <c r="A381" s="827" t="s">
        <v>500</v>
      </c>
      <c r="B381" s="367"/>
      <c r="C381" s="367"/>
      <c r="D381" s="373" t="s">
        <v>494</v>
      </c>
      <c r="E381" s="375">
        <v>1</v>
      </c>
      <c r="F381" s="721"/>
      <c r="G381" s="748"/>
      <c r="H381" s="741"/>
      <c r="I381" s="742"/>
      <c r="J381" s="743"/>
      <c r="K381" s="744"/>
      <c r="L381" s="745"/>
      <c r="M381" s="1036"/>
      <c r="N381" s="339"/>
      <c r="O381" s="702"/>
      <c r="P381" s="703"/>
      <c r="Q381" s="286"/>
      <c r="R381" s="287"/>
      <c r="S381" s="280"/>
      <c r="T381" s="280"/>
      <c r="U381" s="280"/>
      <c r="V381" s="280"/>
      <c r="W381" s="280"/>
      <c r="X381" s="280"/>
      <c r="Y381" s="280"/>
      <c r="Z381" s="280"/>
      <c r="AA381" s="280"/>
      <c r="AB381" s="280"/>
      <c r="AC381" s="280"/>
      <c r="AD381" s="280"/>
      <c r="AE381" s="280"/>
      <c r="AF381" s="704"/>
      <c r="AG381" s="704"/>
      <c r="AH381" s="704"/>
      <c r="AI381" s="705"/>
      <c r="AJ381" s="705"/>
      <c r="AK381" s="705"/>
      <c r="AL381" s="705"/>
      <c r="AM381" s="705"/>
      <c r="AN381" s="705"/>
      <c r="AO381" s="705"/>
      <c r="AP381" s="705"/>
      <c r="AQ381" s="705"/>
      <c r="AR381" s="705"/>
      <c r="AS381" s="705"/>
      <c r="AT381" s="705"/>
      <c r="AU381" s="705"/>
      <c r="AV381" s="705"/>
      <c r="AW381" s="705"/>
      <c r="AX381" s="705"/>
      <c r="AY381" s="705"/>
      <c r="AZ381" s="705"/>
      <c r="BA381" s="705"/>
      <c r="BB381" s="705"/>
      <c r="BC381" s="705"/>
      <c r="BD381" s="705"/>
      <c r="BE381" s="705"/>
      <c r="BF381" s="705"/>
      <c r="BG381" s="705"/>
      <c r="BH381" s="705"/>
      <c r="BI381" s="705"/>
      <c r="BJ381" s="705"/>
      <c r="BK381" s="705"/>
      <c r="BL381" s="705"/>
      <c r="BM381" s="705"/>
      <c r="BN381" s="705"/>
      <c r="BO381" s="705"/>
    </row>
    <row r="382" spans="1:67" s="706" customFormat="1" ht="10.55" customHeight="1" x14ac:dyDescent="0.2">
      <c r="A382" s="827" t="s">
        <v>501</v>
      </c>
      <c r="B382" s="2823" t="s">
        <v>837</v>
      </c>
      <c r="C382" s="2823"/>
      <c r="D382" s="373" t="s">
        <v>492</v>
      </c>
      <c r="E382" s="376">
        <v>6.2E-2</v>
      </c>
      <c r="F382" s="721"/>
      <c r="G382" s="2824"/>
      <c r="H382" s="2825"/>
      <c r="I382" s="742"/>
      <c r="J382" s="743"/>
      <c r="K382" s="744"/>
      <c r="L382" s="745"/>
      <c r="M382" s="1036"/>
      <c r="N382" s="339"/>
      <c r="O382" s="702"/>
      <c r="P382" s="703"/>
      <c r="Q382" s="286"/>
      <c r="R382" s="287"/>
      <c r="S382" s="280"/>
      <c r="T382" s="280"/>
      <c r="U382" s="280"/>
      <c r="V382" s="280"/>
      <c r="W382" s="280"/>
      <c r="X382" s="280"/>
      <c r="Y382" s="280"/>
      <c r="Z382" s="280"/>
      <c r="AA382" s="280"/>
      <c r="AB382" s="280"/>
      <c r="AC382" s="280"/>
      <c r="AD382" s="280"/>
      <c r="AE382" s="280"/>
      <c r="AF382" s="704"/>
      <c r="AG382" s="704"/>
      <c r="AH382" s="704"/>
      <c r="AI382" s="705"/>
      <c r="AJ382" s="705"/>
      <c r="AK382" s="705"/>
      <c r="AL382" s="705"/>
      <c r="AM382" s="705"/>
      <c r="AN382" s="705"/>
      <c r="AO382" s="705"/>
      <c r="AP382" s="705"/>
      <c r="AQ382" s="705"/>
      <c r="AR382" s="705"/>
      <c r="AS382" s="705"/>
      <c r="AT382" s="705"/>
      <c r="AU382" s="705"/>
      <c r="AV382" s="705"/>
      <c r="AW382" s="705"/>
      <c r="AX382" s="705"/>
      <c r="AY382" s="705"/>
      <c r="AZ382" s="705"/>
      <c r="BA382" s="705"/>
      <c r="BB382" s="705"/>
      <c r="BC382" s="705"/>
      <c r="BD382" s="705"/>
      <c r="BE382" s="705"/>
      <c r="BF382" s="705"/>
      <c r="BG382" s="705"/>
      <c r="BH382" s="705"/>
      <c r="BI382" s="705"/>
      <c r="BJ382" s="705"/>
      <c r="BK382" s="705"/>
      <c r="BL382" s="705"/>
      <c r="BM382" s="705"/>
      <c r="BN382" s="705"/>
      <c r="BO382" s="705"/>
    </row>
    <row r="383" spans="1:67" s="706" customFormat="1" ht="10.55" customHeight="1" x14ac:dyDescent="0.2">
      <c r="A383" s="827" t="s">
        <v>502</v>
      </c>
      <c r="B383" s="2823" t="s">
        <v>837</v>
      </c>
      <c r="C383" s="2823"/>
      <c r="D383" s="373" t="s">
        <v>493</v>
      </c>
      <c r="E383" s="376">
        <v>10.58</v>
      </c>
      <c r="F383" s="721"/>
      <c r="G383" s="2824"/>
      <c r="H383" s="2825"/>
      <c r="I383" s="742"/>
      <c r="J383" s="743"/>
      <c r="K383" s="744"/>
      <c r="L383" s="745"/>
      <c r="M383" s="1036"/>
      <c r="N383" s="339"/>
      <c r="O383" s="702"/>
      <c r="P383" s="703"/>
      <c r="Q383" s="286"/>
      <c r="R383" s="287"/>
      <c r="S383" s="280"/>
      <c r="T383" s="280"/>
      <c r="U383" s="280"/>
      <c r="V383" s="280"/>
      <c r="W383" s="280"/>
      <c r="X383" s="280"/>
      <c r="Y383" s="280"/>
      <c r="Z383" s="280"/>
      <c r="AA383" s="280"/>
      <c r="AB383" s="280"/>
      <c r="AC383" s="280"/>
      <c r="AD383" s="280"/>
      <c r="AE383" s="280"/>
      <c r="AF383" s="704"/>
      <c r="AG383" s="704"/>
      <c r="AH383" s="704"/>
      <c r="AI383" s="705"/>
      <c r="AJ383" s="705"/>
      <c r="AK383" s="705"/>
      <c r="AL383" s="705"/>
      <c r="AM383" s="705"/>
      <c r="AN383" s="705"/>
      <c r="AO383" s="705"/>
      <c r="AP383" s="705"/>
      <c r="AQ383" s="705"/>
      <c r="AR383" s="705"/>
      <c r="AS383" s="705"/>
      <c r="AT383" s="705"/>
      <c r="AU383" s="705"/>
      <c r="AV383" s="705"/>
      <c r="AW383" s="705"/>
      <c r="AX383" s="705"/>
      <c r="AY383" s="705"/>
      <c r="AZ383" s="705"/>
      <c r="BA383" s="705"/>
      <c r="BB383" s="705"/>
      <c r="BC383" s="705"/>
      <c r="BD383" s="705"/>
      <c r="BE383" s="705"/>
      <c r="BF383" s="705"/>
      <c r="BG383" s="705"/>
      <c r="BH383" s="705"/>
      <c r="BI383" s="705"/>
      <c r="BJ383" s="705"/>
      <c r="BK383" s="705"/>
      <c r="BL383" s="705"/>
      <c r="BM383" s="705"/>
      <c r="BN383" s="705"/>
      <c r="BO383" s="705"/>
    </row>
    <row r="384" spans="1:67" s="706" customFormat="1" ht="10.55" customHeight="1" x14ac:dyDescent="0.2">
      <c r="A384" s="827" t="s">
        <v>498</v>
      </c>
      <c r="B384" s="367"/>
      <c r="C384" s="367"/>
      <c r="D384" s="373" t="s">
        <v>499</v>
      </c>
      <c r="E384" s="376">
        <v>100</v>
      </c>
      <c r="F384" s="1037"/>
      <c r="G384" s="1038"/>
      <c r="H384" s="1039"/>
      <c r="I384" s="742"/>
      <c r="J384" s="743"/>
      <c r="K384" s="744"/>
      <c r="L384" s="745"/>
      <c r="M384" s="1036"/>
      <c r="N384" s="339"/>
      <c r="O384" s="702"/>
      <c r="P384" s="703"/>
      <c r="Q384" s="286"/>
      <c r="R384" s="287"/>
      <c r="S384" s="280"/>
      <c r="T384" s="280"/>
      <c r="U384" s="280"/>
      <c r="V384" s="280"/>
      <c r="W384" s="280"/>
      <c r="X384" s="280"/>
      <c r="Y384" s="280"/>
      <c r="Z384" s="280"/>
      <c r="AA384" s="280"/>
      <c r="AB384" s="280"/>
      <c r="AC384" s="280"/>
      <c r="AD384" s="280"/>
      <c r="AE384" s="280"/>
      <c r="AF384" s="704"/>
      <c r="AG384" s="704"/>
      <c r="AH384" s="704"/>
      <c r="AI384" s="705"/>
      <c r="AJ384" s="705"/>
      <c r="AK384" s="705"/>
      <c r="AL384" s="705"/>
      <c r="AM384" s="705"/>
      <c r="AN384" s="705"/>
      <c r="AO384" s="705"/>
      <c r="AP384" s="705"/>
      <c r="AQ384" s="705"/>
      <c r="AR384" s="705"/>
      <c r="AS384" s="705"/>
      <c r="AT384" s="705"/>
      <c r="AU384" s="705"/>
      <c r="AV384" s="705"/>
      <c r="AW384" s="705"/>
      <c r="AX384" s="705"/>
      <c r="AY384" s="705"/>
      <c r="AZ384" s="705"/>
      <c r="BA384" s="705"/>
      <c r="BB384" s="705"/>
      <c r="BC384" s="705"/>
      <c r="BD384" s="705"/>
      <c r="BE384" s="705"/>
      <c r="BF384" s="705"/>
      <c r="BG384" s="705"/>
      <c r="BH384" s="705"/>
      <c r="BI384" s="705"/>
      <c r="BJ384" s="705"/>
      <c r="BK384" s="705"/>
      <c r="BL384" s="705"/>
      <c r="BM384" s="705"/>
      <c r="BN384" s="705"/>
      <c r="BO384" s="705"/>
    </row>
    <row r="385" spans="1:67" s="706" customFormat="1" ht="10.55" customHeight="1" x14ac:dyDescent="0.2">
      <c r="A385" s="827" t="s">
        <v>496</v>
      </c>
      <c r="B385" s="367"/>
      <c r="C385" s="367"/>
      <c r="D385" s="373" t="s">
        <v>497</v>
      </c>
      <c r="E385" s="375">
        <v>1</v>
      </c>
      <c r="F385" s="1040"/>
      <c r="G385" s="1038"/>
      <c r="H385" s="1039"/>
      <c r="I385" s="742"/>
      <c r="J385" s="743"/>
      <c r="K385" s="744"/>
      <c r="L385" s="745"/>
      <c r="M385" s="1036"/>
      <c r="N385" s="339"/>
      <c r="O385" s="702"/>
      <c r="P385" s="703"/>
      <c r="Q385" s="286"/>
      <c r="R385" s="287"/>
      <c r="S385" s="280"/>
      <c r="T385" s="280"/>
      <c r="U385" s="280"/>
      <c r="V385" s="280"/>
      <c r="W385" s="280"/>
      <c r="X385" s="280"/>
      <c r="Y385" s="280"/>
      <c r="Z385" s="280"/>
      <c r="AA385" s="280"/>
      <c r="AB385" s="280"/>
      <c r="AC385" s="280"/>
      <c r="AD385" s="280"/>
      <c r="AE385" s="280"/>
      <c r="AF385" s="704"/>
      <c r="AG385" s="704"/>
      <c r="AH385" s="704"/>
      <c r="AI385" s="705"/>
      <c r="AJ385" s="705"/>
      <c r="AK385" s="705"/>
      <c r="AL385" s="705"/>
      <c r="AM385" s="705"/>
      <c r="AN385" s="705"/>
      <c r="AO385" s="705"/>
      <c r="AP385" s="705"/>
      <c r="AQ385" s="705"/>
      <c r="AR385" s="705"/>
      <c r="AS385" s="705"/>
      <c r="AT385" s="705"/>
      <c r="AU385" s="705"/>
      <c r="AV385" s="705"/>
      <c r="AW385" s="705"/>
      <c r="AX385" s="705"/>
      <c r="AY385" s="705"/>
      <c r="AZ385" s="705"/>
      <c r="BA385" s="705"/>
      <c r="BB385" s="705"/>
      <c r="BC385" s="705"/>
      <c r="BD385" s="705"/>
      <c r="BE385" s="705"/>
      <c r="BF385" s="705"/>
      <c r="BG385" s="705"/>
      <c r="BH385" s="705"/>
      <c r="BI385" s="705"/>
      <c r="BJ385" s="705"/>
      <c r="BK385" s="705"/>
      <c r="BL385" s="705"/>
      <c r="BM385" s="705"/>
      <c r="BN385" s="705"/>
      <c r="BO385" s="705"/>
    </row>
    <row r="386" spans="1:67" s="706" customFormat="1" ht="10.55" customHeight="1" x14ac:dyDescent="0.2">
      <c r="A386" s="827" t="s">
        <v>503</v>
      </c>
      <c r="B386" s="367"/>
      <c r="C386" s="367"/>
      <c r="D386" s="373" t="s">
        <v>505</v>
      </c>
      <c r="E386" s="375">
        <v>1</v>
      </c>
      <c r="F386" s="1040"/>
      <c r="G386" s="1038"/>
      <c r="H386" s="1039"/>
      <c r="I386" s="742"/>
      <c r="J386" s="743"/>
      <c r="K386" s="744"/>
      <c r="L386" s="745"/>
      <c r="M386" s="1036"/>
      <c r="N386" s="339"/>
      <c r="O386" s="702"/>
      <c r="P386" s="703"/>
      <c r="Q386" s="286"/>
      <c r="R386" s="287"/>
      <c r="S386" s="280"/>
      <c r="T386" s="280"/>
      <c r="U386" s="280"/>
      <c r="V386" s="280"/>
      <c r="W386" s="280"/>
      <c r="X386" s="280"/>
      <c r="Y386" s="280"/>
      <c r="Z386" s="280"/>
      <c r="AA386" s="280"/>
      <c r="AB386" s="280"/>
      <c r="AC386" s="280"/>
      <c r="AD386" s="280"/>
      <c r="AE386" s="280"/>
      <c r="AF386" s="704"/>
      <c r="AG386" s="704"/>
      <c r="AH386" s="704"/>
      <c r="AI386" s="705"/>
      <c r="AJ386" s="705"/>
      <c r="AK386" s="705"/>
      <c r="AL386" s="705"/>
      <c r="AM386" s="705"/>
      <c r="AN386" s="705"/>
      <c r="AO386" s="705"/>
      <c r="AP386" s="705"/>
      <c r="AQ386" s="705"/>
      <c r="AR386" s="705"/>
      <c r="AS386" s="705"/>
      <c r="AT386" s="705"/>
      <c r="AU386" s="705"/>
      <c r="AV386" s="705"/>
      <c r="AW386" s="705"/>
      <c r="AX386" s="705"/>
      <c r="AY386" s="705"/>
      <c r="AZ386" s="705"/>
      <c r="BA386" s="705"/>
      <c r="BB386" s="705"/>
      <c r="BC386" s="705"/>
      <c r="BD386" s="705"/>
      <c r="BE386" s="705"/>
      <c r="BF386" s="705"/>
      <c r="BG386" s="705"/>
      <c r="BH386" s="705"/>
      <c r="BI386" s="705"/>
      <c r="BJ386" s="705"/>
      <c r="BK386" s="705"/>
      <c r="BL386" s="705"/>
      <c r="BM386" s="705"/>
      <c r="BN386" s="705"/>
      <c r="BO386" s="705"/>
    </row>
    <row r="387" spans="1:67" s="706" customFormat="1" ht="10.55" customHeight="1" x14ac:dyDescent="0.2">
      <c r="A387" s="827" t="s">
        <v>504</v>
      </c>
      <c r="B387" s="367"/>
      <c r="C387" s="367"/>
      <c r="D387" s="373" t="s">
        <v>506</v>
      </c>
      <c r="E387" s="711">
        <v>150</v>
      </c>
      <c r="F387" s="1040"/>
      <c r="G387" s="1038"/>
      <c r="H387" s="1039"/>
      <c r="I387" s="742"/>
      <c r="J387" s="743"/>
      <c r="K387" s="744"/>
      <c r="L387" s="745"/>
      <c r="M387" s="1036"/>
      <c r="N387" s="339"/>
      <c r="O387" s="702"/>
      <c r="P387" s="703"/>
      <c r="Q387" s="286"/>
      <c r="R387" s="287"/>
      <c r="S387" s="280"/>
      <c r="T387" s="280"/>
      <c r="U387" s="280"/>
      <c r="V387" s="280"/>
      <c r="W387" s="280"/>
      <c r="X387" s="280"/>
      <c r="Y387" s="280"/>
      <c r="Z387" s="280"/>
      <c r="AA387" s="280"/>
      <c r="AB387" s="280"/>
      <c r="AC387" s="280"/>
      <c r="AD387" s="280"/>
      <c r="AE387" s="280"/>
      <c r="AF387" s="704"/>
      <c r="AG387" s="704"/>
      <c r="AH387" s="704"/>
      <c r="AI387" s="705"/>
      <c r="AJ387" s="705"/>
      <c r="AK387" s="705"/>
      <c r="AL387" s="705"/>
      <c r="AM387" s="705"/>
      <c r="AN387" s="705"/>
      <c r="AO387" s="705"/>
      <c r="AP387" s="705"/>
      <c r="AQ387" s="705"/>
      <c r="AR387" s="705"/>
      <c r="AS387" s="705"/>
      <c r="AT387" s="705"/>
      <c r="AU387" s="705"/>
      <c r="AV387" s="705"/>
      <c r="AW387" s="705"/>
      <c r="AX387" s="705"/>
      <c r="AY387" s="705"/>
      <c r="AZ387" s="705"/>
      <c r="BA387" s="705"/>
      <c r="BB387" s="705"/>
      <c r="BC387" s="705"/>
      <c r="BD387" s="705"/>
      <c r="BE387" s="705"/>
      <c r="BF387" s="705"/>
      <c r="BG387" s="705"/>
      <c r="BH387" s="705"/>
      <c r="BI387" s="705"/>
      <c r="BJ387" s="705"/>
      <c r="BK387" s="705"/>
      <c r="BL387" s="705"/>
      <c r="BM387" s="705"/>
      <c r="BN387" s="705"/>
      <c r="BO387" s="705"/>
    </row>
    <row r="388" spans="1:67" s="706" customFormat="1" ht="10.55" customHeight="1" x14ac:dyDescent="0.2">
      <c r="A388" s="828" t="s">
        <v>507</v>
      </c>
      <c r="B388" s="370"/>
      <c r="C388" s="370"/>
      <c r="D388" s="715"/>
      <c r="E388" s="2810">
        <f>E378*E379/100*E380*E384/100*E381*E385*E386*E387</f>
        <v>0</v>
      </c>
      <c r="F388" s="2811"/>
      <c r="G388" s="1041"/>
      <c r="H388" s="1042"/>
      <c r="I388" s="736"/>
      <c r="J388" s="737"/>
      <c r="K388" s="738"/>
      <c r="L388" s="739"/>
      <c r="M388" s="1035"/>
      <c r="N388" s="339"/>
      <c r="O388" s="702"/>
      <c r="P388" s="703"/>
      <c r="Q388" s="286"/>
      <c r="R388" s="287"/>
      <c r="S388" s="280"/>
      <c r="T388" s="280"/>
      <c r="U388" s="280"/>
      <c r="V388" s="280"/>
      <c r="W388" s="280"/>
      <c r="X388" s="280"/>
      <c r="Y388" s="280"/>
      <c r="Z388" s="280"/>
      <c r="AA388" s="280"/>
      <c r="AB388" s="280"/>
      <c r="AC388" s="280"/>
      <c r="AD388" s="280"/>
      <c r="AE388" s="280"/>
      <c r="AF388" s="704"/>
      <c r="AG388" s="704"/>
      <c r="AH388" s="704"/>
      <c r="AI388" s="705"/>
      <c r="AJ388" s="705"/>
      <c r="AK388" s="705"/>
      <c r="AL388" s="705"/>
      <c r="AM388" s="705"/>
      <c r="AN388" s="705"/>
      <c r="AO388" s="705"/>
      <c r="AP388" s="705"/>
      <c r="AQ388" s="705"/>
      <c r="AR388" s="705"/>
      <c r="AS388" s="705"/>
      <c r="AT388" s="705"/>
      <c r="AU388" s="705"/>
      <c r="AV388" s="705"/>
      <c r="AW388" s="705"/>
      <c r="AX388" s="705"/>
      <c r="AY388" s="705"/>
      <c r="AZ388" s="705"/>
      <c r="BA388" s="705"/>
      <c r="BB388" s="705"/>
      <c r="BC388" s="705"/>
      <c r="BD388" s="705"/>
      <c r="BE388" s="705"/>
      <c r="BF388" s="705"/>
      <c r="BG388" s="705"/>
      <c r="BH388" s="705"/>
      <c r="BI388" s="705"/>
      <c r="BJ388" s="705"/>
      <c r="BK388" s="705"/>
      <c r="BL388" s="705"/>
      <c r="BM388" s="705"/>
      <c r="BN388" s="705"/>
      <c r="BO388" s="705"/>
    </row>
    <row r="389" spans="1:67" s="706" customFormat="1" ht="10.55" customHeight="1" x14ac:dyDescent="0.2">
      <c r="A389" s="1043"/>
      <c r="B389" s="378"/>
      <c r="C389" s="378"/>
      <c r="D389" s="735"/>
      <c r="E389" s="1044"/>
      <c r="F389" s="1045"/>
      <c r="G389" s="1046"/>
      <c r="H389" s="1047"/>
      <c r="I389" s="700"/>
      <c r="J389" s="701"/>
      <c r="K389" s="717"/>
      <c r="L389" s="718"/>
      <c r="M389" s="1034"/>
      <c r="N389" s="339"/>
      <c r="O389" s="702"/>
      <c r="P389" s="703"/>
      <c r="Q389" s="286"/>
      <c r="R389" s="287"/>
      <c r="S389" s="280"/>
      <c r="T389" s="280"/>
      <c r="U389" s="280"/>
      <c r="V389" s="280"/>
      <c r="W389" s="280"/>
      <c r="X389" s="280"/>
      <c r="Y389" s="280"/>
      <c r="Z389" s="280"/>
      <c r="AA389" s="280"/>
      <c r="AB389" s="280"/>
      <c r="AC389" s="280"/>
      <c r="AD389" s="280"/>
      <c r="AE389" s="280"/>
      <c r="AF389" s="704"/>
      <c r="AG389" s="704"/>
      <c r="AH389" s="704"/>
      <c r="AI389" s="705"/>
      <c r="AJ389" s="705"/>
      <c r="AK389" s="705"/>
      <c r="AL389" s="705"/>
      <c r="AM389" s="705"/>
      <c r="AN389" s="705"/>
      <c r="AO389" s="705"/>
      <c r="AP389" s="705"/>
      <c r="AQ389" s="705"/>
      <c r="AR389" s="705"/>
      <c r="AS389" s="705"/>
      <c r="AT389" s="705"/>
      <c r="AU389" s="705"/>
      <c r="AV389" s="705"/>
      <c r="AW389" s="705"/>
      <c r="AX389" s="705"/>
      <c r="AY389" s="705"/>
      <c r="AZ389" s="705"/>
      <c r="BA389" s="705"/>
      <c r="BB389" s="705"/>
      <c r="BC389" s="705"/>
      <c r="BD389" s="705"/>
      <c r="BE389" s="705"/>
      <c r="BF389" s="705"/>
      <c r="BG389" s="705"/>
      <c r="BH389" s="705"/>
      <c r="BI389" s="705"/>
      <c r="BJ389" s="705"/>
      <c r="BK389" s="705"/>
      <c r="BL389" s="705"/>
      <c r="BM389" s="705"/>
      <c r="BN389" s="705"/>
      <c r="BO389" s="705"/>
    </row>
    <row r="390" spans="1:67" s="706" customFormat="1" ht="10.55" customHeight="1" x14ac:dyDescent="0.2">
      <c r="A390" s="824" t="s">
        <v>446</v>
      </c>
      <c r="B390" s="370"/>
      <c r="C390" s="370"/>
      <c r="D390" s="379"/>
      <c r="E390" s="1073"/>
      <c r="F390" s="725"/>
      <c r="G390" s="371"/>
      <c r="H390" s="1075"/>
      <c r="I390" s="736"/>
      <c r="J390" s="737"/>
      <c r="K390" s="738"/>
      <c r="L390" s="739"/>
      <c r="M390" s="1035"/>
      <c r="N390" s="339"/>
      <c r="O390" s="702"/>
      <c r="P390" s="703"/>
      <c r="Q390" s="286"/>
      <c r="R390" s="287"/>
      <c r="S390" s="280"/>
      <c r="T390" s="280"/>
      <c r="U390" s="280"/>
      <c r="V390" s="280"/>
      <c r="W390" s="280"/>
      <c r="X390" s="280"/>
      <c r="Y390" s="280"/>
      <c r="Z390" s="280"/>
      <c r="AA390" s="280"/>
      <c r="AB390" s="280"/>
      <c r="AC390" s="280"/>
      <c r="AD390" s="280"/>
      <c r="AE390" s="280"/>
      <c r="AF390" s="704"/>
      <c r="AG390" s="704"/>
      <c r="AH390" s="704"/>
      <c r="AI390" s="705"/>
      <c r="AJ390" s="705"/>
      <c r="AK390" s="705"/>
      <c r="AL390" s="705"/>
      <c r="AM390" s="705"/>
      <c r="AN390" s="705"/>
      <c r="AO390" s="705"/>
      <c r="AP390" s="705"/>
      <c r="AQ390" s="705"/>
      <c r="AR390" s="705"/>
      <c r="AS390" s="705"/>
      <c r="AT390" s="705"/>
      <c r="AU390" s="705"/>
      <c r="AV390" s="705"/>
      <c r="AW390" s="705"/>
      <c r="AX390" s="705"/>
      <c r="AY390" s="705"/>
      <c r="AZ390" s="705"/>
      <c r="BA390" s="705"/>
      <c r="BB390" s="705"/>
      <c r="BC390" s="705"/>
      <c r="BD390" s="705"/>
      <c r="BE390" s="705"/>
      <c r="BF390" s="705"/>
      <c r="BG390" s="705"/>
      <c r="BH390" s="705"/>
      <c r="BI390" s="705"/>
      <c r="BJ390" s="705"/>
      <c r="BK390" s="705"/>
      <c r="BL390" s="705"/>
      <c r="BM390" s="705"/>
      <c r="BN390" s="705"/>
      <c r="BO390" s="705"/>
    </row>
    <row r="391" spans="1:67" s="706" customFormat="1" ht="10.55" customHeight="1" x14ac:dyDescent="0.2">
      <c r="A391" s="825"/>
      <c r="B391" s="367"/>
      <c r="C391" s="367"/>
      <c r="D391" s="377"/>
      <c r="E391" s="716"/>
      <c r="F391" s="719"/>
      <c r="G391" s="740"/>
      <c r="H391" s="741"/>
      <c r="I391" s="742"/>
      <c r="J391" s="743"/>
      <c r="K391" s="744"/>
      <c r="L391" s="745"/>
      <c r="M391" s="1036"/>
      <c r="N391" s="339"/>
      <c r="O391" s="702"/>
      <c r="P391" s="703"/>
      <c r="Q391" s="286"/>
      <c r="R391" s="287"/>
      <c r="S391" s="280"/>
      <c r="T391" s="280"/>
      <c r="U391" s="280"/>
      <c r="V391" s="280"/>
      <c r="W391" s="280"/>
      <c r="X391" s="280"/>
      <c r="Y391" s="280"/>
      <c r="Z391" s="280"/>
      <c r="AA391" s="280"/>
      <c r="AB391" s="280"/>
      <c r="AC391" s="280"/>
      <c r="AD391" s="280"/>
      <c r="AE391" s="280"/>
      <c r="AF391" s="704"/>
      <c r="AG391" s="704"/>
      <c r="AH391" s="704"/>
      <c r="AI391" s="705"/>
      <c r="AJ391" s="705"/>
      <c r="AK391" s="705"/>
      <c r="AL391" s="705"/>
      <c r="AM391" s="705"/>
      <c r="AN391" s="705"/>
      <c r="AO391" s="705"/>
      <c r="AP391" s="705"/>
      <c r="AQ391" s="705"/>
      <c r="AR391" s="705"/>
      <c r="AS391" s="705"/>
      <c r="AT391" s="705"/>
      <c r="AU391" s="705"/>
      <c r="AV391" s="705"/>
      <c r="AW391" s="705"/>
      <c r="AX391" s="705"/>
      <c r="AY391" s="705"/>
      <c r="AZ391" s="705"/>
      <c r="BA391" s="705"/>
      <c r="BB391" s="705"/>
      <c r="BC391" s="705"/>
      <c r="BD391" s="705"/>
      <c r="BE391" s="705"/>
      <c r="BF391" s="705"/>
      <c r="BG391" s="705"/>
      <c r="BH391" s="705"/>
      <c r="BI391" s="705"/>
      <c r="BJ391" s="705"/>
      <c r="BK391" s="705"/>
      <c r="BL391" s="705"/>
      <c r="BM391" s="705"/>
      <c r="BN391" s="705"/>
      <c r="BO391" s="705"/>
    </row>
    <row r="392" spans="1:67" s="706" customFormat="1" ht="10.55" customHeight="1" x14ac:dyDescent="0.2">
      <c r="A392" s="826" t="s">
        <v>447</v>
      </c>
      <c r="B392" s="378"/>
      <c r="C392" s="378"/>
      <c r="D392" s="377"/>
      <c r="E392" s="372"/>
      <c r="F392" s="720"/>
      <c r="G392" s="740"/>
      <c r="H392" s="741"/>
      <c r="I392" s="742"/>
      <c r="J392" s="743"/>
      <c r="K392" s="744"/>
      <c r="L392" s="745"/>
      <c r="M392" s="1036"/>
      <c r="N392" s="339"/>
      <c r="O392" s="702"/>
      <c r="P392" s="703"/>
      <c r="Q392" s="286"/>
      <c r="R392" s="287"/>
      <c r="S392" s="280"/>
      <c r="T392" s="280"/>
      <c r="U392" s="280"/>
      <c r="V392" s="280"/>
      <c r="W392" s="280"/>
      <c r="X392" s="280"/>
      <c r="Y392" s="280"/>
      <c r="Z392" s="280"/>
      <c r="AA392" s="280"/>
      <c r="AB392" s="280"/>
      <c r="AC392" s="280"/>
      <c r="AD392" s="280"/>
      <c r="AE392" s="280"/>
      <c r="AF392" s="704"/>
      <c r="AG392" s="704"/>
      <c r="AH392" s="704"/>
      <c r="AI392" s="705"/>
      <c r="AJ392" s="705"/>
      <c r="AK392" s="705"/>
      <c r="AL392" s="705"/>
      <c r="AM392" s="705"/>
      <c r="AN392" s="705"/>
      <c r="AO392" s="705"/>
      <c r="AP392" s="705"/>
      <c r="AQ392" s="705"/>
      <c r="AR392" s="705"/>
      <c r="AS392" s="705"/>
      <c r="AT392" s="705"/>
      <c r="AU392" s="705"/>
      <c r="AV392" s="705"/>
      <c r="AW392" s="705"/>
      <c r="AX392" s="705"/>
      <c r="AY392" s="705"/>
      <c r="AZ392" s="705"/>
      <c r="BA392" s="705"/>
      <c r="BB392" s="705"/>
      <c r="BC392" s="705"/>
      <c r="BD392" s="705"/>
      <c r="BE392" s="705"/>
      <c r="BF392" s="705"/>
      <c r="BG392" s="705"/>
      <c r="BH392" s="705"/>
      <c r="BI392" s="705"/>
      <c r="BJ392" s="705"/>
      <c r="BK392" s="705"/>
      <c r="BL392" s="705"/>
      <c r="BM392" s="705"/>
      <c r="BN392" s="705"/>
      <c r="BO392" s="705"/>
    </row>
    <row r="393" spans="1:67" s="706" customFormat="1" ht="10.55" customHeight="1" x14ac:dyDescent="0.2">
      <c r="A393" s="1303"/>
      <c r="B393" s="2826"/>
      <c r="C393" s="2827"/>
      <c r="D393" s="2828"/>
      <c r="E393" s="2829"/>
      <c r="F393" s="2830"/>
      <c r="G393" s="746"/>
      <c r="H393" s="747"/>
      <c r="I393" s="742"/>
      <c r="J393" s="743"/>
      <c r="K393" s="744"/>
      <c r="L393" s="745"/>
      <c r="M393" s="1036"/>
      <c r="N393" s="339"/>
      <c r="O393" s="702"/>
      <c r="P393" s="703"/>
      <c r="Q393" s="286"/>
      <c r="R393" s="287"/>
      <c r="S393" s="280"/>
      <c r="T393" s="280"/>
      <c r="U393" s="280"/>
      <c r="V393" s="280"/>
      <c r="W393" s="280"/>
      <c r="X393" s="280"/>
      <c r="Y393" s="280"/>
      <c r="Z393" s="280"/>
      <c r="AA393" s="280"/>
      <c r="AB393" s="280"/>
      <c r="AC393" s="280"/>
      <c r="AD393" s="280"/>
      <c r="AE393" s="280"/>
      <c r="AF393" s="704"/>
      <c r="AG393" s="704"/>
      <c r="AH393" s="704"/>
      <c r="AI393" s="705"/>
      <c r="AJ393" s="705"/>
      <c r="AK393" s="705"/>
      <c r="AL393" s="705"/>
      <c r="AM393" s="705"/>
      <c r="AN393" s="705"/>
      <c r="AO393" s="705"/>
      <c r="AP393" s="705"/>
      <c r="AQ393" s="705"/>
      <c r="AR393" s="705"/>
      <c r="AS393" s="705"/>
      <c r="AT393" s="705"/>
      <c r="AU393" s="705"/>
      <c r="AV393" s="705"/>
      <c r="AW393" s="705"/>
      <c r="AX393" s="705"/>
      <c r="AY393" s="705"/>
      <c r="AZ393" s="705"/>
      <c r="BA393" s="705"/>
      <c r="BB393" s="705"/>
      <c r="BC393" s="705"/>
      <c r="BD393" s="705"/>
      <c r="BE393" s="705"/>
      <c r="BF393" s="705"/>
      <c r="BG393" s="705"/>
      <c r="BH393" s="705"/>
      <c r="BI393" s="705"/>
      <c r="BJ393" s="705"/>
      <c r="BK393" s="705"/>
      <c r="BL393" s="705"/>
      <c r="BM393" s="705"/>
      <c r="BN393" s="705"/>
      <c r="BO393" s="705"/>
    </row>
    <row r="394" spans="1:67" s="706" customFormat="1" ht="10.55" customHeight="1" x14ac:dyDescent="0.2">
      <c r="A394" s="1303"/>
      <c r="B394" s="2826"/>
      <c r="C394" s="2827"/>
      <c r="D394" s="2828"/>
      <c r="E394" s="2829"/>
      <c r="F394" s="2830"/>
      <c r="G394" s="748"/>
      <c r="H394" s="741"/>
      <c r="I394" s="742"/>
      <c r="J394" s="743"/>
      <c r="K394" s="744"/>
      <c r="L394" s="745"/>
      <c r="M394" s="1036"/>
      <c r="N394" s="339"/>
      <c r="O394" s="702"/>
      <c r="P394" s="703"/>
      <c r="Q394" s="286"/>
      <c r="R394" s="287"/>
      <c r="S394" s="280"/>
      <c r="T394" s="280"/>
      <c r="U394" s="280"/>
      <c r="V394" s="280"/>
      <c r="W394" s="280"/>
      <c r="X394" s="280"/>
      <c r="Y394" s="280"/>
      <c r="Z394" s="280"/>
      <c r="AA394" s="280"/>
      <c r="AB394" s="280"/>
      <c r="AC394" s="280"/>
      <c r="AD394" s="280"/>
      <c r="AE394" s="280"/>
      <c r="AF394" s="704"/>
      <c r="AG394" s="704"/>
      <c r="AH394" s="704"/>
      <c r="AI394" s="705"/>
      <c r="AJ394" s="705"/>
      <c r="AK394" s="705"/>
      <c r="AL394" s="705"/>
      <c r="AM394" s="705"/>
      <c r="AN394" s="705"/>
      <c r="AO394" s="705"/>
      <c r="AP394" s="705"/>
      <c r="AQ394" s="705"/>
      <c r="AR394" s="705"/>
      <c r="AS394" s="705"/>
      <c r="AT394" s="705"/>
      <c r="AU394" s="705"/>
      <c r="AV394" s="705"/>
      <c r="AW394" s="705"/>
      <c r="AX394" s="705"/>
      <c r="AY394" s="705"/>
      <c r="AZ394" s="705"/>
      <c r="BA394" s="705"/>
      <c r="BB394" s="705"/>
      <c r="BC394" s="705"/>
      <c r="BD394" s="705"/>
      <c r="BE394" s="705"/>
      <c r="BF394" s="705"/>
      <c r="BG394" s="705"/>
      <c r="BH394" s="705"/>
      <c r="BI394" s="705"/>
      <c r="BJ394" s="705"/>
      <c r="BK394" s="705"/>
      <c r="BL394" s="705"/>
      <c r="BM394" s="705"/>
      <c r="BN394" s="705"/>
      <c r="BO394" s="705"/>
    </row>
    <row r="395" spans="1:67" s="706" customFormat="1" ht="10.55" customHeight="1" x14ac:dyDescent="0.2">
      <c r="A395" s="1303"/>
      <c r="B395" s="2826"/>
      <c r="C395" s="2827"/>
      <c r="D395" s="2828"/>
      <c r="E395" s="2829"/>
      <c r="F395" s="2830"/>
      <c r="G395" s="748"/>
      <c r="H395" s="741"/>
      <c r="I395" s="742"/>
      <c r="J395" s="743"/>
      <c r="K395" s="744"/>
      <c r="L395" s="745"/>
      <c r="M395" s="1036"/>
      <c r="N395" s="339"/>
      <c r="O395" s="702"/>
      <c r="P395" s="703"/>
      <c r="Q395" s="286"/>
      <c r="R395" s="287"/>
      <c r="S395" s="280"/>
      <c r="T395" s="280"/>
      <c r="U395" s="280"/>
      <c r="V395" s="280"/>
      <c r="W395" s="280"/>
      <c r="X395" s="280"/>
      <c r="Y395" s="280"/>
      <c r="Z395" s="280"/>
      <c r="AA395" s="280"/>
      <c r="AB395" s="280"/>
      <c r="AC395" s="280"/>
      <c r="AD395" s="280"/>
      <c r="AE395" s="280"/>
      <c r="AF395" s="704"/>
      <c r="AG395" s="704"/>
      <c r="AH395" s="704"/>
      <c r="AI395" s="705"/>
      <c r="AJ395" s="705"/>
      <c r="AK395" s="705"/>
      <c r="AL395" s="705"/>
      <c r="AM395" s="705"/>
      <c r="AN395" s="705"/>
      <c r="AO395" s="705"/>
      <c r="AP395" s="705"/>
      <c r="AQ395" s="705"/>
      <c r="AR395" s="705"/>
      <c r="AS395" s="705"/>
      <c r="AT395" s="705"/>
      <c r="AU395" s="705"/>
      <c r="AV395" s="705"/>
      <c r="AW395" s="705"/>
      <c r="AX395" s="705"/>
      <c r="AY395" s="705"/>
      <c r="AZ395" s="705"/>
      <c r="BA395" s="705"/>
      <c r="BB395" s="705"/>
      <c r="BC395" s="705"/>
      <c r="BD395" s="705"/>
      <c r="BE395" s="705"/>
      <c r="BF395" s="705"/>
      <c r="BG395" s="705"/>
      <c r="BH395" s="705"/>
      <c r="BI395" s="705"/>
      <c r="BJ395" s="705"/>
      <c r="BK395" s="705"/>
      <c r="BL395" s="705"/>
      <c r="BM395" s="705"/>
      <c r="BN395" s="705"/>
      <c r="BO395" s="705"/>
    </row>
    <row r="396" spans="1:67" s="706" customFormat="1" ht="10.55" customHeight="1" x14ac:dyDescent="0.2">
      <c r="A396" s="1303"/>
      <c r="B396" s="2826"/>
      <c r="C396" s="2827"/>
      <c r="D396" s="2828"/>
      <c r="E396" s="2829"/>
      <c r="F396" s="2830"/>
      <c r="G396" s="748"/>
      <c r="H396" s="741"/>
      <c r="I396" s="742"/>
      <c r="J396" s="743"/>
      <c r="K396" s="744"/>
      <c r="L396" s="745"/>
      <c r="M396" s="1036"/>
      <c r="N396" s="339"/>
      <c r="O396" s="702"/>
      <c r="P396" s="703"/>
      <c r="Q396" s="286"/>
      <c r="R396" s="287"/>
      <c r="S396" s="280"/>
      <c r="T396" s="280"/>
      <c r="U396" s="280"/>
      <c r="V396" s="280"/>
      <c r="W396" s="280"/>
      <c r="X396" s="280"/>
      <c r="Y396" s="280"/>
      <c r="Z396" s="280"/>
      <c r="AA396" s="280"/>
      <c r="AB396" s="280"/>
      <c r="AC396" s="280"/>
      <c r="AD396" s="280"/>
      <c r="AE396" s="280"/>
      <c r="AF396" s="704"/>
      <c r="AG396" s="704"/>
      <c r="AH396" s="704"/>
      <c r="AI396" s="705"/>
      <c r="AJ396" s="705"/>
      <c r="AK396" s="705"/>
      <c r="AL396" s="705"/>
      <c r="AM396" s="705"/>
      <c r="AN396" s="705"/>
      <c r="AO396" s="705"/>
      <c r="AP396" s="705"/>
      <c r="AQ396" s="705"/>
      <c r="AR396" s="705"/>
      <c r="AS396" s="705"/>
      <c r="AT396" s="705"/>
      <c r="AU396" s="705"/>
      <c r="AV396" s="705"/>
      <c r="AW396" s="705"/>
      <c r="AX396" s="705"/>
      <c r="AY396" s="705"/>
      <c r="AZ396" s="705"/>
      <c r="BA396" s="705"/>
      <c r="BB396" s="705"/>
      <c r="BC396" s="705"/>
      <c r="BD396" s="705"/>
      <c r="BE396" s="705"/>
      <c r="BF396" s="705"/>
      <c r="BG396" s="705"/>
      <c r="BH396" s="705"/>
      <c r="BI396" s="705"/>
      <c r="BJ396" s="705"/>
      <c r="BK396" s="705"/>
      <c r="BL396" s="705"/>
      <c r="BM396" s="705"/>
      <c r="BN396" s="705"/>
      <c r="BO396" s="705"/>
    </row>
    <row r="397" spans="1:67" s="706" customFormat="1" ht="10.55" customHeight="1" x14ac:dyDescent="0.2">
      <c r="A397" s="1303"/>
      <c r="B397" s="2826"/>
      <c r="C397" s="2827"/>
      <c r="D397" s="2828"/>
      <c r="E397" s="2829"/>
      <c r="F397" s="2830"/>
      <c r="G397" s="749"/>
      <c r="H397" s="750"/>
      <c r="I397" s="742"/>
      <c r="J397" s="743"/>
      <c r="K397" s="744"/>
      <c r="L397" s="745"/>
      <c r="M397" s="1036"/>
      <c r="N397" s="339"/>
      <c r="O397" s="702"/>
      <c r="P397" s="703"/>
      <c r="Q397" s="286"/>
      <c r="R397" s="287"/>
      <c r="S397" s="280"/>
      <c r="T397" s="280"/>
      <c r="U397" s="280"/>
      <c r="V397" s="280"/>
      <c r="W397" s="280"/>
      <c r="X397" s="280"/>
      <c r="Y397" s="280"/>
      <c r="Z397" s="280"/>
      <c r="AA397" s="280"/>
      <c r="AB397" s="280"/>
      <c r="AC397" s="280"/>
      <c r="AD397" s="280"/>
      <c r="AE397" s="280"/>
      <c r="AF397" s="704"/>
      <c r="AG397" s="704"/>
      <c r="AH397" s="704"/>
      <c r="AI397" s="705"/>
      <c r="AJ397" s="705"/>
      <c r="AK397" s="705"/>
      <c r="AL397" s="705"/>
      <c r="AM397" s="705"/>
      <c r="AN397" s="705"/>
      <c r="AO397" s="705"/>
      <c r="AP397" s="705"/>
      <c r="AQ397" s="705"/>
      <c r="AR397" s="705"/>
      <c r="AS397" s="705"/>
      <c r="AT397" s="705"/>
      <c r="AU397" s="705"/>
      <c r="AV397" s="705"/>
      <c r="AW397" s="705"/>
      <c r="AX397" s="705"/>
      <c r="AY397" s="705"/>
      <c r="AZ397" s="705"/>
      <c r="BA397" s="705"/>
      <c r="BB397" s="705"/>
      <c r="BC397" s="705"/>
      <c r="BD397" s="705"/>
      <c r="BE397" s="705"/>
      <c r="BF397" s="705"/>
      <c r="BG397" s="705"/>
      <c r="BH397" s="705"/>
      <c r="BI397" s="705"/>
      <c r="BJ397" s="705"/>
      <c r="BK397" s="705"/>
      <c r="BL397" s="705"/>
      <c r="BM397" s="705"/>
      <c r="BN397" s="705"/>
      <c r="BO397" s="705"/>
    </row>
    <row r="398" spans="1:67" s="706" customFormat="1" ht="10.55" customHeight="1" x14ac:dyDescent="0.2">
      <c r="A398" s="829" t="s">
        <v>14</v>
      </c>
      <c r="B398" s="368"/>
      <c r="C398" s="368"/>
      <c r="D398" s="715"/>
      <c r="E398" s="2838">
        <f>SUM(E393:E397)</f>
        <v>0</v>
      </c>
      <c r="F398" s="2839"/>
      <c r="G398" s="723"/>
      <c r="H398" s="724"/>
      <c r="I398" s="736"/>
      <c r="J398" s="737"/>
      <c r="K398" s="738"/>
      <c r="L398" s="739"/>
      <c r="M398" s="1035"/>
      <c r="N398" s="339"/>
      <c r="O398" s="702"/>
      <c r="P398" s="703"/>
      <c r="Q398" s="286"/>
      <c r="R398" s="287"/>
      <c r="S398" s="280"/>
      <c r="T398" s="280"/>
      <c r="U398" s="280"/>
      <c r="V398" s="280"/>
      <c r="W398" s="280"/>
      <c r="X398" s="280"/>
      <c r="Y398" s="280"/>
      <c r="Z398" s="280"/>
      <c r="AA398" s="280"/>
      <c r="AB398" s="280"/>
      <c r="AC398" s="280"/>
      <c r="AD398" s="280"/>
      <c r="AE398" s="280"/>
      <c r="AF398" s="704"/>
      <c r="AG398" s="704"/>
      <c r="AH398" s="704"/>
      <c r="AI398" s="705"/>
      <c r="AJ398" s="705"/>
      <c r="AK398" s="705"/>
      <c r="AL398" s="705"/>
      <c r="AM398" s="705"/>
      <c r="AN398" s="705"/>
      <c r="AO398" s="705"/>
      <c r="AP398" s="705"/>
      <c r="AQ398" s="705"/>
      <c r="AR398" s="705"/>
      <c r="AS398" s="705"/>
      <c r="AT398" s="705"/>
      <c r="AU398" s="705"/>
      <c r="AV398" s="705"/>
      <c r="AW398" s="705"/>
      <c r="AX398" s="705"/>
      <c r="AY398" s="705"/>
      <c r="AZ398" s="705"/>
      <c r="BA398" s="705"/>
      <c r="BB398" s="705"/>
      <c r="BC398" s="705"/>
      <c r="BD398" s="705"/>
      <c r="BE398" s="705"/>
      <c r="BF398" s="705"/>
      <c r="BG398" s="705"/>
      <c r="BH398" s="705"/>
      <c r="BI398" s="705"/>
      <c r="BJ398" s="705"/>
      <c r="BK398" s="705"/>
      <c r="BL398" s="705"/>
      <c r="BM398" s="705"/>
      <c r="BN398" s="705"/>
      <c r="BO398" s="705"/>
    </row>
    <row r="399" spans="1:67" s="706" customFormat="1" ht="10.55" customHeight="1" x14ac:dyDescent="0.2">
      <c r="A399" s="827"/>
      <c r="B399" s="367"/>
      <c r="C399" s="367"/>
      <c r="D399" s="377"/>
      <c r="E399" s="716"/>
      <c r="F399" s="719"/>
      <c r="G399" s="740"/>
      <c r="H399" s="741"/>
      <c r="I399" s="742"/>
      <c r="J399" s="743"/>
      <c r="K399" s="744"/>
      <c r="L399" s="745"/>
      <c r="M399" s="1036"/>
      <c r="N399" s="339"/>
      <c r="O399" s="702"/>
      <c r="P399" s="703"/>
      <c r="Q399" s="286"/>
      <c r="R399" s="287"/>
      <c r="S399" s="280"/>
      <c r="T399" s="280"/>
      <c r="U399" s="280"/>
      <c r="V399" s="280"/>
      <c r="W399" s="280"/>
      <c r="X399" s="280"/>
      <c r="Y399" s="280"/>
      <c r="Z399" s="280"/>
      <c r="AA399" s="280"/>
      <c r="AB399" s="280"/>
      <c r="AC399" s="280"/>
      <c r="AD399" s="280"/>
      <c r="AE399" s="280"/>
      <c r="AF399" s="704"/>
      <c r="AG399" s="704"/>
      <c r="AH399" s="704"/>
      <c r="AI399" s="705"/>
      <c r="AJ399" s="705"/>
      <c r="AK399" s="705"/>
      <c r="AL399" s="705"/>
      <c r="AM399" s="705"/>
      <c r="AN399" s="705"/>
      <c r="AO399" s="705"/>
      <c r="AP399" s="705"/>
      <c r="AQ399" s="705"/>
      <c r="AR399" s="705"/>
      <c r="AS399" s="705"/>
      <c r="AT399" s="705"/>
      <c r="AU399" s="705"/>
      <c r="AV399" s="705"/>
      <c r="AW399" s="705"/>
      <c r="AX399" s="705"/>
      <c r="AY399" s="705"/>
      <c r="AZ399" s="705"/>
      <c r="BA399" s="705"/>
      <c r="BB399" s="705"/>
      <c r="BC399" s="705"/>
      <c r="BD399" s="705"/>
      <c r="BE399" s="705"/>
      <c r="BF399" s="705"/>
      <c r="BG399" s="705"/>
      <c r="BH399" s="705"/>
      <c r="BI399" s="705"/>
      <c r="BJ399" s="705"/>
      <c r="BK399" s="705"/>
      <c r="BL399" s="705"/>
      <c r="BM399" s="705"/>
      <c r="BN399" s="705"/>
      <c r="BO399" s="705"/>
    </row>
    <row r="400" spans="1:67" s="706" customFormat="1" ht="10.55" customHeight="1" x14ac:dyDescent="0.2">
      <c r="A400" s="826" t="s">
        <v>450</v>
      </c>
      <c r="B400" s="378"/>
      <c r="C400" s="378"/>
      <c r="D400" s="377"/>
      <c r="E400" s="372"/>
      <c r="F400" s="720"/>
      <c r="G400" s="740"/>
      <c r="H400" s="741"/>
      <c r="I400" s="742"/>
      <c r="J400" s="743"/>
      <c r="K400" s="744"/>
      <c r="L400" s="745"/>
      <c r="M400" s="1036"/>
      <c r="N400" s="339"/>
      <c r="O400" s="702"/>
      <c r="P400" s="703"/>
      <c r="Q400" s="286"/>
      <c r="R400" s="287"/>
      <c r="S400" s="280"/>
      <c r="T400" s="280"/>
      <c r="U400" s="280"/>
      <c r="V400" s="280"/>
      <c r="W400" s="280"/>
      <c r="X400" s="280"/>
      <c r="Y400" s="280"/>
      <c r="Z400" s="280"/>
      <c r="AA400" s="280"/>
      <c r="AB400" s="280"/>
      <c r="AC400" s="280"/>
      <c r="AD400" s="280"/>
      <c r="AE400" s="280"/>
      <c r="AF400" s="704"/>
      <c r="AG400" s="704"/>
      <c r="AH400" s="704"/>
      <c r="AI400" s="705"/>
      <c r="AJ400" s="705"/>
      <c r="AK400" s="705"/>
      <c r="AL400" s="705"/>
      <c r="AM400" s="705"/>
      <c r="AN400" s="705"/>
      <c r="AO400" s="705"/>
      <c r="AP400" s="705"/>
      <c r="AQ400" s="705"/>
      <c r="AR400" s="705"/>
      <c r="AS400" s="705"/>
      <c r="AT400" s="705"/>
      <c r="AU400" s="705"/>
      <c r="AV400" s="705"/>
      <c r="AW400" s="705"/>
      <c r="AX400" s="705"/>
      <c r="AY400" s="705"/>
      <c r="AZ400" s="705"/>
      <c r="BA400" s="705"/>
      <c r="BB400" s="705"/>
      <c r="BC400" s="705"/>
      <c r="BD400" s="705"/>
      <c r="BE400" s="705"/>
      <c r="BF400" s="705"/>
      <c r="BG400" s="705"/>
      <c r="BH400" s="705"/>
      <c r="BI400" s="705"/>
      <c r="BJ400" s="705"/>
      <c r="BK400" s="705"/>
      <c r="BL400" s="705"/>
      <c r="BM400" s="705"/>
      <c r="BN400" s="705"/>
      <c r="BO400" s="705"/>
    </row>
    <row r="401" spans="1:68" s="706" customFormat="1" ht="10.55" customHeight="1" x14ac:dyDescent="0.2">
      <c r="A401" s="1304"/>
      <c r="B401" s="2833"/>
      <c r="C401" s="2834"/>
      <c r="D401" s="2835"/>
      <c r="E401" s="2836"/>
      <c r="F401" s="2837"/>
      <c r="G401" s="746"/>
      <c r="H401" s="747"/>
      <c r="I401" s="742"/>
      <c r="J401" s="743"/>
      <c r="K401" s="744"/>
      <c r="L401" s="745"/>
      <c r="M401" s="1036"/>
      <c r="N401" s="339"/>
      <c r="O401" s="702"/>
      <c r="P401" s="703"/>
      <c r="Q401" s="286"/>
      <c r="R401" s="287"/>
      <c r="S401" s="280"/>
      <c r="T401" s="280"/>
      <c r="U401" s="280"/>
      <c r="V401" s="280"/>
      <c r="W401" s="280"/>
      <c r="X401" s="280"/>
      <c r="Y401" s="280"/>
      <c r="Z401" s="280"/>
      <c r="AA401" s="280"/>
      <c r="AB401" s="280"/>
      <c r="AC401" s="280"/>
      <c r="AD401" s="280"/>
      <c r="AE401" s="280"/>
      <c r="AF401" s="704"/>
      <c r="AG401" s="704"/>
      <c r="AH401" s="704"/>
      <c r="AI401" s="705"/>
      <c r="AJ401" s="705"/>
      <c r="AK401" s="705"/>
      <c r="AL401" s="705"/>
      <c r="AM401" s="705"/>
      <c r="AN401" s="705"/>
      <c r="AO401" s="705"/>
      <c r="AP401" s="705"/>
      <c r="AQ401" s="705"/>
      <c r="AR401" s="705"/>
      <c r="AS401" s="705"/>
      <c r="AT401" s="705"/>
      <c r="AU401" s="705"/>
      <c r="AV401" s="705"/>
      <c r="AW401" s="705"/>
      <c r="AX401" s="705"/>
      <c r="AY401" s="705"/>
      <c r="AZ401" s="705"/>
      <c r="BA401" s="705"/>
      <c r="BB401" s="705"/>
      <c r="BC401" s="705"/>
      <c r="BD401" s="705"/>
      <c r="BE401" s="705"/>
      <c r="BF401" s="705"/>
      <c r="BG401" s="705"/>
      <c r="BH401" s="705"/>
      <c r="BI401" s="705"/>
      <c r="BJ401" s="705"/>
      <c r="BK401" s="705"/>
      <c r="BL401" s="705"/>
      <c r="BM401" s="705"/>
      <c r="BN401" s="705"/>
      <c r="BO401" s="705"/>
    </row>
    <row r="402" spans="1:68" s="706" customFormat="1" ht="10.55" customHeight="1" x14ac:dyDescent="0.2">
      <c r="A402" s="1304"/>
      <c r="B402" s="2833"/>
      <c r="C402" s="2834"/>
      <c r="D402" s="2835"/>
      <c r="E402" s="2836"/>
      <c r="F402" s="2837"/>
      <c r="G402" s="748"/>
      <c r="H402" s="741"/>
      <c r="I402" s="742"/>
      <c r="J402" s="743"/>
      <c r="K402" s="744"/>
      <c r="L402" s="745"/>
      <c r="M402" s="1036"/>
      <c r="N402" s="339"/>
      <c r="O402" s="702"/>
      <c r="P402" s="703"/>
      <c r="Q402" s="286"/>
      <c r="R402" s="287"/>
      <c r="S402" s="280"/>
      <c r="T402" s="280"/>
      <c r="U402" s="280"/>
      <c r="V402" s="280"/>
      <c r="W402" s="280"/>
      <c r="X402" s="280"/>
      <c r="Y402" s="280"/>
      <c r="Z402" s="280"/>
      <c r="AA402" s="280"/>
      <c r="AB402" s="280"/>
      <c r="AC402" s="280"/>
      <c r="AD402" s="280"/>
      <c r="AE402" s="280"/>
      <c r="AF402" s="704"/>
      <c r="AG402" s="704"/>
      <c r="AH402" s="704"/>
      <c r="AI402" s="705"/>
      <c r="AJ402" s="705"/>
      <c r="AK402" s="705"/>
      <c r="AL402" s="705"/>
      <c r="AM402" s="705"/>
      <c r="AN402" s="705"/>
      <c r="AO402" s="705"/>
      <c r="AP402" s="705"/>
      <c r="AQ402" s="705"/>
      <c r="AR402" s="705"/>
      <c r="AS402" s="705"/>
      <c r="AT402" s="705"/>
      <c r="AU402" s="705"/>
      <c r="AV402" s="705"/>
      <c r="AW402" s="705"/>
      <c r="AX402" s="705"/>
      <c r="AY402" s="705"/>
      <c r="AZ402" s="705"/>
      <c r="BA402" s="705"/>
      <c r="BB402" s="705"/>
      <c r="BC402" s="705"/>
      <c r="BD402" s="705"/>
      <c r="BE402" s="705"/>
      <c r="BF402" s="705"/>
      <c r="BG402" s="705"/>
      <c r="BH402" s="705"/>
      <c r="BI402" s="705"/>
      <c r="BJ402" s="705"/>
      <c r="BK402" s="705"/>
      <c r="BL402" s="705"/>
      <c r="BM402" s="705"/>
      <c r="BN402" s="705"/>
      <c r="BO402" s="705"/>
    </row>
    <row r="403" spans="1:68" s="706" customFormat="1" ht="10.55" customHeight="1" x14ac:dyDescent="0.2">
      <c r="A403" s="1304"/>
      <c r="B403" s="2833"/>
      <c r="C403" s="2834"/>
      <c r="D403" s="2835"/>
      <c r="E403" s="2836"/>
      <c r="F403" s="2837"/>
      <c r="G403" s="748"/>
      <c r="H403" s="741"/>
      <c r="I403" s="742"/>
      <c r="J403" s="743"/>
      <c r="K403" s="744"/>
      <c r="L403" s="745"/>
      <c r="M403" s="1036"/>
      <c r="N403" s="339"/>
      <c r="O403" s="702"/>
      <c r="P403" s="703"/>
      <c r="Q403" s="286"/>
      <c r="R403" s="287"/>
      <c r="S403" s="280"/>
      <c r="T403" s="280"/>
      <c r="U403" s="280"/>
      <c r="V403" s="280"/>
      <c r="W403" s="280"/>
      <c r="X403" s="280"/>
      <c r="Y403" s="280"/>
      <c r="Z403" s="280"/>
      <c r="AA403" s="280"/>
      <c r="AB403" s="280"/>
      <c r="AC403" s="280"/>
      <c r="AD403" s="280"/>
      <c r="AE403" s="280"/>
      <c r="AF403" s="704"/>
      <c r="AG403" s="704"/>
      <c r="AH403" s="704"/>
      <c r="AI403" s="705"/>
      <c r="AJ403" s="705"/>
      <c r="AK403" s="705"/>
      <c r="AL403" s="705"/>
      <c r="AM403" s="705"/>
      <c r="AN403" s="705"/>
      <c r="AO403" s="705"/>
      <c r="AP403" s="705"/>
      <c r="AQ403" s="705"/>
      <c r="AR403" s="705"/>
      <c r="AS403" s="705"/>
      <c r="AT403" s="705"/>
      <c r="AU403" s="705"/>
      <c r="AV403" s="705"/>
      <c r="AW403" s="705"/>
      <c r="AX403" s="705"/>
      <c r="AY403" s="705"/>
      <c r="AZ403" s="705"/>
      <c r="BA403" s="705"/>
      <c r="BB403" s="705"/>
      <c r="BC403" s="705"/>
      <c r="BD403" s="705"/>
      <c r="BE403" s="705"/>
      <c r="BF403" s="705"/>
      <c r="BG403" s="705"/>
      <c r="BH403" s="705"/>
      <c r="BI403" s="705"/>
      <c r="BJ403" s="705"/>
      <c r="BK403" s="705"/>
      <c r="BL403" s="705"/>
      <c r="BM403" s="705"/>
      <c r="BN403" s="705"/>
      <c r="BO403" s="705"/>
    </row>
    <row r="404" spans="1:68" s="706" customFormat="1" ht="10.55" customHeight="1" x14ac:dyDescent="0.2">
      <c r="A404" s="1304"/>
      <c r="B404" s="2833"/>
      <c r="C404" s="2834"/>
      <c r="D404" s="2835"/>
      <c r="E404" s="2836"/>
      <c r="F404" s="2837"/>
      <c r="G404" s="748"/>
      <c r="H404" s="741"/>
      <c r="I404" s="742"/>
      <c r="J404" s="743"/>
      <c r="K404" s="744"/>
      <c r="L404" s="745"/>
      <c r="M404" s="1036"/>
      <c r="N404" s="339"/>
      <c r="O404" s="702"/>
      <c r="P404" s="703"/>
      <c r="Q404" s="286"/>
      <c r="R404" s="287"/>
      <c r="S404" s="280"/>
      <c r="T404" s="280"/>
      <c r="U404" s="280"/>
      <c r="V404" s="280"/>
      <c r="W404" s="280"/>
      <c r="X404" s="280"/>
      <c r="Y404" s="280"/>
      <c r="Z404" s="280"/>
      <c r="AA404" s="280"/>
      <c r="AB404" s="280"/>
      <c r="AC404" s="280"/>
      <c r="AD404" s="280"/>
      <c r="AE404" s="280"/>
      <c r="AF404" s="704"/>
      <c r="AG404" s="704"/>
      <c r="AH404" s="704"/>
      <c r="AI404" s="705"/>
      <c r="AJ404" s="705"/>
      <c r="AK404" s="705"/>
      <c r="AL404" s="705"/>
      <c r="AM404" s="705"/>
      <c r="AN404" s="705"/>
      <c r="AO404" s="705"/>
      <c r="AP404" s="705"/>
      <c r="AQ404" s="705"/>
      <c r="AR404" s="705"/>
      <c r="AS404" s="705"/>
      <c r="AT404" s="705"/>
      <c r="AU404" s="705"/>
      <c r="AV404" s="705"/>
      <c r="AW404" s="705"/>
      <c r="AX404" s="705"/>
      <c r="AY404" s="705"/>
      <c r="AZ404" s="705"/>
      <c r="BA404" s="705"/>
      <c r="BB404" s="705"/>
      <c r="BC404" s="705"/>
      <c r="BD404" s="705"/>
      <c r="BE404" s="705"/>
      <c r="BF404" s="705"/>
      <c r="BG404" s="705"/>
      <c r="BH404" s="705"/>
      <c r="BI404" s="705"/>
      <c r="BJ404" s="705"/>
      <c r="BK404" s="705"/>
      <c r="BL404" s="705"/>
      <c r="BM404" s="705"/>
      <c r="BN404" s="705"/>
      <c r="BO404" s="705"/>
    </row>
    <row r="405" spans="1:68" s="706" customFormat="1" ht="10.55" customHeight="1" x14ac:dyDescent="0.2">
      <c r="A405" s="1304"/>
      <c r="B405" s="2833"/>
      <c r="C405" s="2834"/>
      <c r="D405" s="2835"/>
      <c r="E405" s="2836"/>
      <c r="F405" s="2837"/>
      <c r="G405" s="749"/>
      <c r="H405" s="750"/>
      <c r="I405" s="742"/>
      <c r="J405" s="743"/>
      <c r="K405" s="744"/>
      <c r="L405" s="745"/>
      <c r="M405" s="1036"/>
      <c r="N405" s="339"/>
      <c r="O405" s="702"/>
      <c r="P405" s="703"/>
      <c r="Q405" s="286"/>
      <c r="R405" s="287"/>
      <c r="S405" s="280"/>
      <c r="T405" s="280"/>
      <c r="U405" s="280"/>
      <c r="V405" s="280"/>
      <c r="W405" s="280"/>
      <c r="X405" s="280"/>
      <c r="Y405" s="280"/>
      <c r="Z405" s="280"/>
      <c r="AA405" s="280"/>
      <c r="AB405" s="280"/>
      <c r="AC405" s="280"/>
      <c r="AD405" s="280"/>
      <c r="AE405" s="280"/>
      <c r="AF405" s="704"/>
      <c r="AG405" s="704"/>
      <c r="AH405" s="704"/>
      <c r="AI405" s="705"/>
      <c r="AJ405" s="705"/>
      <c r="AK405" s="705"/>
      <c r="AL405" s="705"/>
      <c r="AM405" s="705"/>
      <c r="AN405" s="705"/>
      <c r="AO405" s="705"/>
      <c r="AP405" s="705"/>
      <c r="AQ405" s="705"/>
      <c r="AR405" s="705"/>
      <c r="AS405" s="705"/>
      <c r="AT405" s="705"/>
      <c r="AU405" s="705"/>
      <c r="AV405" s="705"/>
      <c r="AW405" s="705"/>
      <c r="AX405" s="705"/>
      <c r="AY405" s="705"/>
      <c r="AZ405" s="705"/>
      <c r="BA405" s="705"/>
      <c r="BB405" s="705"/>
      <c r="BC405" s="705"/>
      <c r="BD405" s="705"/>
      <c r="BE405" s="705"/>
      <c r="BF405" s="705"/>
      <c r="BG405" s="705"/>
      <c r="BH405" s="705"/>
      <c r="BI405" s="705"/>
      <c r="BJ405" s="705"/>
      <c r="BK405" s="705"/>
      <c r="BL405" s="705"/>
      <c r="BM405" s="705"/>
      <c r="BN405" s="705"/>
      <c r="BO405" s="705"/>
    </row>
    <row r="406" spans="1:68" s="706" customFormat="1" ht="10.55" customHeight="1" x14ac:dyDescent="0.2">
      <c r="A406" s="829" t="s">
        <v>14</v>
      </c>
      <c r="B406" s="368"/>
      <c r="C406" s="368"/>
      <c r="D406" s="715"/>
      <c r="E406" s="2838">
        <f>SUM(E401:E405)</f>
        <v>0</v>
      </c>
      <c r="F406" s="2839"/>
      <c r="G406" s="723"/>
      <c r="H406" s="724"/>
      <c r="I406" s="736"/>
      <c r="J406" s="737"/>
      <c r="K406" s="738"/>
      <c r="L406" s="739"/>
      <c r="M406" s="1035"/>
      <c r="N406" s="339"/>
      <c r="O406" s="702"/>
      <c r="P406" s="703"/>
      <c r="Q406" s="286"/>
      <c r="R406" s="287"/>
      <c r="S406" s="280"/>
      <c r="T406" s="280"/>
      <c r="U406" s="280"/>
      <c r="V406" s="280"/>
      <c r="W406" s="280"/>
      <c r="X406" s="280"/>
      <c r="Y406" s="280"/>
      <c r="Z406" s="280"/>
      <c r="AA406" s="280"/>
      <c r="AB406" s="280"/>
      <c r="AC406" s="280"/>
      <c r="AD406" s="280"/>
      <c r="AE406" s="280"/>
      <c r="AF406" s="704"/>
      <c r="AG406" s="704"/>
      <c r="AH406" s="704"/>
      <c r="AI406" s="705"/>
      <c r="AJ406" s="705"/>
      <c r="AK406" s="705"/>
      <c r="AL406" s="705"/>
      <c r="AM406" s="705"/>
      <c r="AN406" s="705"/>
      <c r="AO406" s="705"/>
      <c r="AP406" s="705"/>
      <c r="AQ406" s="705"/>
      <c r="AR406" s="705"/>
      <c r="AS406" s="705"/>
      <c r="AT406" s="705"/>
      <c r="AU406" s="705"/>
      <c r="AV406" s="705"/>
      <c r="AW406" s="705"/>
      <c r="AX406" s="705"/>
      <c r="AY406" s="705"/>
      <c r="AZ406" s="705"/>
      <c r="BA406" s="705"/>
      <c r="BB406" s="705"/>
      <c r="BC406" s="705"/>
      <c r="BD406" s="705"/>
      <c r="BE406" s="705"/>
      <c r="BF406" s="705"/>
      <c r="BG406" s="705"/>
      <c r="BH406" s="705"/>
      <c r="BI406" s="705"/>
      <c r="BJ406" s="705"/>
      <c r="BK406" s="705"/>
      <c r="BL406" s="705"/>
      <c r="BM406" s="705"/>
      <c r="BN406" s="705"/>
      <c r="BO406" s="705"/>
    </row>
    <row r="407" spans="1:68" s="88" customFormat="1" ht="10.55" customHeight="1" x14ac:dyDescent="0.2">
      <c r="A407" s="1048"/>
      <c r="B407" s="1074"/>
      <c r="C407" s="1074"/>
      <c r="D407" s="1075"/>
      <c r="E407" s="2793"/>
      <c r="F407" s="2794"/>
      <c r="G407" s="1018"/>
      <c r="H407" s="1019"/>
      <c r="I407" s="676">
        <f>IF($O407&gt;0,-PMT(($I$9),$O407,1),0)</f>
        <v>0</v>
      </c>
      <c r="J407" s="677"/>
      <c r="K407" s="680"/>
      <c r="L407" s="1020"/>
      <c r="M407" s="1021">
        <f>ROUND(E407/100*IF(ISBLANK(L407),K407,L407),-1)</f>
        <v>0</v>
      </c>
      <c r="N407" s="1106"/>
      <c r="O407" s="674">
        <f>IF(ISBLANK(H407),G407,H407)</f>
        <v>0</v>
      </c>
      <c r="P407" s="682"/>
      <c r="Q407" s="286"/>
      <c r="R407" s="287"/>
      <c r="S407" s="280"/>
      <c r="T407" s="280"/>
      <c r="U407" s="280"/>
      <c r="V407" s="280"/>
      <c r="W407" s="280"/>
      <c r="X407" s="280"/>
      <c r="Y407" s="280"/>
      <c r="Z407" s="284"/>
      <c r="AA407" s="284"/>
      <c r="AB407" s="284"/>
      <c r="AC407" s="284"/>
      <c r="AD407" s="284"/>
      <c r="AE407" s="284"/>
      <c r="AF407" s="447"/>
      <c r="AG407" s="447"/>
      <c r="AH407" s="447"/>
      <c r="AI407" s="382"/>
      <c r="AJ407" s="382"/>
      <c r="AK407" s="382"/>
      <c r="AL407" s="382"/>
      <c r="AM407" s="382"/>
      <c r="AN407" s="382"/>
      <c r="AO407" s="382"/>
      <c r="AP407" s="382"/>
      <c r="AQ407" s="382"/>
      <c r="AR407" s="382"/>
      <c r="AS407" s="382"/>
      <c r="AT407" s="382"/>
      <c r="AU407" s="382"/>
      <c r="AV407" s="382"/>
      <c r="AW407" s="382"/>
      <c r="AX407" s="382"/>
      <c r="AY407" s="382"/>
      <c r="AZ407" s="382"/>
      <c r="BA407" s="382"/>
      <c r="BB407" s="382"/>
      <c r="BC407" s="382"/>
      <c r="BD407" s="382"/>
      <c r="BE407" s="382"/>
      <c r="BF407" s="382"/>
      <c r="BG407" s="382"/>
      <c r="BH407" s="382"/>
      <c r="BI407" s="382"/>
      <c r="BJ407" s="382"/>
      <c r="BK407" s="382"/>
      <c r="BL407" s="382"/>
      <c r="BM407" s="382"/>
      <c r="BN407" s="382"/>
      <c r="BO407" s="382"/>
    </row>
    <row r="408" spans="1:68" s="88" customFormat="1" ht="10.55" customHeight="1" x14ac:dyDescent="0.2">
      <c r="A408" s="1011" t="s">
        <v>549</v>
      </c>
      <c r="B408" s="2844"/>
      <c r="C408" s="2845"/>
      <c r="D408" s="2846"/>
      <c r="E408" s="2810"/>
      <c r="F408" s="2811"/>
      <c r="G408" s="2747"/>
      <c r="H408" s="2748"/>
      <c r="I408" s="688"/>
      <c r="J408" s="1012"/>
      <c r="K408" s="2749"/>
      <c r="L408" s="2750"/>
      <c r="M408" s="1430">
        <f>SUM(M409:M412)</f>
        <v>0</v>
      </c>
      <c r="N408" s="1106"/>
      <c r="O408" s="387">
        <f>IF(H408="",G408,H408)</f>
        <v>0</v>
      </c>
      <c r="P408" s="682"/>
      <c r="Q408" s="286"/>
      <c r="R408" s="287"/>
      <c r="S408" s="280"/>
      <c r="T408" s="280"/>
      <c r="U408" s="280"/>
      <c r="V408" s="280"/>
      <c r="W408" s="280"/>
      <c r="X408" s="280"/>
      <c r="Y408" s="280"/>
      <c r="Z408" s="284"/>
      <c r="AA408" s="284"/>
      <c r="AB408" s="284"/>
      <c r="AC408" s="284"/>
      <c r="AD408" s="284"/>
      <c r="AE408" s="284"/>
      <c r="AF408" s="447"/>
      <c r="AG408" s="447"/>
      <c r="AH408" s="447"/>
      <c r="AI408" s="382"/>
      <c r="AJ408" s="382"/>
      <c r="AK408" s="382"/>
      <c r="AL408" s="382"/>
      <c r="AM408" s="382"/>
      <c r="AN408" s="382"/>
      <c r="AO408" s="382"/>
      <c r="AP408" s="382"/>
      <c r="AQ408" s="382"/>
      <c r="AR408" s="382"/>
      <c r="AS408" s="382"/>
      <c r="AT408" s="382"/>
      <c r="AU408" s="382"/>
      <c r="AV408" s="382"/>
      <c r="AW408" s="382"/>
      <c r="AX408" s="382"/>
      <c r="AY408" s="382"/>
      <c r="AZ408" s="382"/>
      <c r="BA408" s="382"/>
      <c r="BB408" s="382"/>
      <c r="BC408" s="382"/>
      <c r="BD408" s="382"/>
      <c r="BE408" s="382"/>
      <c r="BF408" s="382"/>
      <c r="BG408" s="382"/>
      <c r="BH408" s="382"/>
      <c r="BI408" s="382"/>
      <c r="BJ408" s="382"/>
      <c r="BK408" s="382"/>
      <c r="BL408" s="382"/>
      <c r="BM408" s="382"/>
      <c r="BN408" s="382"/>
      <c r="BO408" s="382"/>
    </row>
    <row r="409" spans="1:68" s="88" customFormat="1" ht="10.55" customHeight="1" x14ac:dyDescent="0.2">
      <c r="A409" s="1065" t="s">
        <v>550</v>
      </c>
      <c r="B409" s="689"/>
      <c r="C409" s="689"/>
      <c r="D409" s="1450"/>
      <c r="E409" s="2812"/>
      <c r="F409" s="2813"/>
      <c r="G409" s="1049"/>
      <c r="H409" s="1050"/>
      <c r="I409" s="1448"/>
      <c r="J409" s="1414"/>
      <c r="K409" s="733"/>
      <c r="L409" s="734"/>
      <c r="M409" s="1428">
        <f>(E414-E347)*D409</f>
        <v>0</v>
      </c>
      <c r="N409" s="1106"/>
      <c r="O409" s="674">
        <f>IF(ISBLANK(H409),G409,H409)</f>
        <v>0</v>
      </c>
      <c r="P409" s="682"/>
      <c r="Q409" s="286"/>
      <c r="R409" s="287"/>
      <c r="S409" s="280"/>
      <c r="T409" s="280"/>
      <c r="U409" s="280"/>
      <c r="V409" s="280"/>
      <c r="W409" s="280"/>
      <c r="X409" s="280"/>
      <c r="Y409" s="280"/>
      <c r="Z409" s="284"/>
      <c r="AA409" s="284"/>
      <c r="AB409" s="284"/>
      <c r="AC409" s="284"/>
      <c r="AD409" s="284"/>
      <c r="AE409" s="284"/>
      <c r="AF409" s="447"/>
      <c r="AG409" s="447"/>
      <c r="AH409" s="447"/>
      <c r="AI409" s="382"/>
      <c r="AJ409" s="382"/>
      <c r="AK409" s="382"/>
      <c r="AL409" s="382"/>
      <c r="AM409" s="382"/>
      <c r="AN409" s="382"/>
      <c r="AO409" s="382"/>
      <c r="AP409" s="382"/>
      <c r="AQ409" s="382"/>
      <c r="AR409" s="382"/>
      <c r="AS409" s="382"/>
      <c r="AT409" s="382"/>
      <c r="AU409" s="382"/>
      <c r="AV409" s="382"/>
      <c r="AW409" s="382"/>
      <c r="AX409" s="382"/>
      <c r="AY409" s="382"/>
      <c r="AZ409" s="382"/>
      <c r="BA409" s="382"/>
      <c r="BB409" s="382"/>
      <c r="BC409" s="382"/>
      <c r="BD409" s="382"/>
      <c r="BE409" s="382"/>
      <c r="BF409" s="382"/>
      <c r="BG409" s="382"/>
      <c r="BH409" s="382"/>
      <c r="BI409" s="382"/>
      <c r="BJ409" s="382"/>
      <c r="BK409" s="382"/>
      <c r="BL409" s="382"/>
      <c r="BM409" s="382"/>
      <c r="BN409" s="382"/>
      <c r="BO409" s="382"/>
    </row>
    <row r="410" spans="1:68" s="88" customFormat="1" ht="10.55" customHeight="1" x14ac:dyDescent="0.2">
      <c r="A410" s="1013" t="s">
        <v>551</v>
      </c>
      <c r="B410" s="2831"/>
      <c r="C410" s="2831"/>
      <c r="D410" s="2832"/>
      <c r="E410" s="2751"/>
      <c r="F410" s="2752"/>
      <c r="G410" s="1051"/>
      <c r="H410" s="1052"/>
      <c r="I410" s="1448">
        <f>IF($O410&gt;0,-PMT(($I$9),$O410,1),0)</f>
        <v>0</v>
      </c>
      <c r="J410" s="1414">
        <f>ROUND(E410*I410,-1)</f>
        <v>0</v>
      </c>
      <c r="K410" s="684"/>
      <c r="L410" s="685"/>
      <c r="M410" s="1442"/>
      <c r="N410" s="1106"/>
      <c r="O410" s="674">
        <f>IF(ISBLANK(H410),G410,H410)</f>
        <v>0</v>
      </c>
      <c r="P410" s="682"/>
      <c r="Q410" s="286"/>
      <c r="R410" s="287"/>
      <c r="S410" s="280"/>
      <c r="T410" s="280"/>
      <c r="U410" s="280"/>
      <c r="V410" s="280"/>
      <c r="W410" s="280"/>
      <c r="X410" s="280"/>
      <c r="Y410" s="280"/>
      <c r="Z410" s="284"/>
      <c r="AA410" s="284"/>
      <c r="AB410" s="284"/>
      <c r="AC410" s="284"/>
      <c r="AD410" s="284"/>
      <c r="AE410" s="284"/>
      <c r="AF410" s="447"/>
      <c r="AG410" s="447"/>
      <c r="AH410" s="447"/>
      <c r="AI410" s="382"/>
      <c r="AJ410" s="382"/>
      <c r="AK410" s="382"/>
      <c r="AL410" s="382"/>
      <c r="AM410" s="382"/>
      <c r="AN410" s="382"/>
      <c r="AO410" s="382"/>
      <c r="AP410" s="382"/>
      <c r="AQ410" s="382"/>
      <c r="AR410" s="382"/>
      <c r="AS410" s="382"/>
      <c r="AT410" s="382"/>
      <c r="AU410" s="382"/>
      <c r="AV410" s="382"/>
      <c r="AW410" s="382"/>
      <c r="AX410" s="382"/>
      <c r="AY410" s="382"/>
      <c r="AZ410" s="382"/>
      <c r="BA410" s="382"/>
      <c r="BB410" s="382"/>
      <c r="BC410" s="382"/>
      <c r="BD410" s="382"/>
      <c r="BE410" s="382"/>
      <c r="BF410" s="382"/>
      <c r="BG410" s="382"/>
      <c r="BH410" s="382"/>
      <c r="BI410" s="382"/>
      <c r="BJ410" s="382"/>
      <c r="BK410" s="382"/>
      <c r="BL410" s="382"/>
      <c r="BM410" s="382"/>
      <c r="BN410" s="382"/>
      <c r="BO410" s="382"/>
    </row>
    <row r="411" spans="1:68" s="88" customFormat="1" ht="10.55" customHeight="1" x14ac:dyDescent="0.2">
      <c r="A411" s="1013" t="s">
        <v>552</v>
      </c>
      <c r="B411" s="2831"/>
      <c r="C411" s="2831"/>
      <c r="D411" s="2832"/>
      <c r="E411" s="2751"/>
      <c r="F411" s="2752"/>
      <c r="G411" s="1051"/>
      <c r="H411" s="1052"/>
      <c r="I411" s="1448">
        <f>IF($O411&gt;0,-PMT(($I$9),$O411,1),0)</f>
        <v>0</v>
      </c>
      <c r="J411" s="1414">
        <f>ROUND(E411*I411,-1)</f>
        <v>0</v>
      </c>
      <c r="K411" s="684"/>
      <c r="L411" s="685"/>
      <c r="M411" s="1442"/>
      <c r="N411" s="1106"/>
      <c r="O411" s="674">
        <f>IF(ISBLANK(H411),G411,H411)</f>
        <v>0</v>
      </c>
      <c r="P411" s="682"/>
      <c r="Q411" s="286"/>
      <c r="R411" s="287"/>
      <c r="S411" s="280"/>
      <c r="T411" s="280"/>
      <c r="U411" s="280"/>
      <c r="V411" s="280"/>
      <c r="W411" s="280"/>
      <c r="X411" s="280"/>
      <c r="Y411" s="280"/>
      <c r="Z411" s="284"/>
      <c r="AA411" s="284"/>
      <c r="AB411" s="284"/>
      <c r="AC411" s="284"/>
      <c r="AD411" s="284"/>
      <c r="AE411" s="284"/>
      <c r="AF411" s="447"/>
      <c r="AG411" s="447"/>
      <c r="AH411" s="447"/>
      <c r="AI411" s="382"/>
      <c r="AJ411" s="382"/>
      <c r="AK411" s="382"/>
      <c r="AL411" s="382"/>
      <c r="AM411" s="382"/>
      <c r="AN411" s="382"/>
      <c r="AO411" s="382"/>
      <c r="AP411" s="382"/>
      <c r="AQ411" s="382"/>
      <c r="AR411" s="382"/>
      <c r="AS411" s="382"/>
      <c r="AT411" s="382"/>
      <c r="AU411" s="382"/>
      <c r="AV411" s="382"/>
      <c r="AW411" s="382"/>
      <c r="AX411" s="382"/>
      <c r="AY411" s="382"/>
      <c r="AZ411" s="382"/>
      <c r="BA411" s="382"/>
      <c r="BB411" s="382"/>
      <c r="BC411" s="382"/>
      <c r="BD411" s="382"/>
      <c r="BE411" s="382"/>
      <c r="BF411" s="382"/>
      <c r="BG411" s="382"/>
      <c r="BH411" s="382"/>
      <c r="BI411" s="382"/>
      <c r="BJ411" s="382"/>
      <c r="BK411" s="382"/>
      <c r="BL411" s="382"/>
      <c r="BM411" s="382"/>
      <c r="BN411" s="382"/>
      <c r="BO411" s="382"/>
    </row>
    <row r="412" spans="1:68" s="88" customFormat="1" ht="10.55" customHeight="1" x14ac:dyDescent="0.2">
      <c r="A412" s="1013" t="s">
        <v>553</v>
      </c>
      <c r="B412" s="2841"/>
      <c r="C412" s="2841"/>
      <c r="D412" s="2842"/>
      <c r="E412" s="2751"/>
      <c r="F412" s="2752"/>
      <c r="G412" s="1051"/>
      <c r="H412" s="1052"/>
      <c r="I412" s="1448">
        <f>IF($O412&gt;0,-PMT(($I$9),$O412,1),0)</f>
        <v>0</v>
      </c>
      <c r="J412" s="1414">
        <f>ROUND(E412*I412,-1)</f>
        <v>0</v>
      </c>
      <c r="K412" s="684"/>
      <c r="L412" s="685"/>
      <c r="M412" s="1442"/>
      <c r="N412" s="1106"/>
      <c r="O412" s="674">
        <f>IF(ISBLANK(H412),G412,H412)</f>
        <v>0</v>
      </c>
      <c r="P412" s="682"/>
      <c r="Q412" s="286"/>
      <c r="R412" s="287"/>
      <c r="S412" s="280"/>
      <c r="T412" s="280"/>
      <c r="U412" s="280"/>
      <c r="V412" s="280"/>
      <c r="W412" s="280"/>
      <c r="X412" s="280"/>
      <c r="Y412" s="280"/>
      <c r="Z412" s="284"/>
      <c r="AA412" s="284"/>
      <c r="AB412" s="284"/>
      <c r="AC412" s="284"/>
      <c r="AD412" s="284"/>
      <c r="AE412" s="284"/>
      <c r="AF412" s="447"/>
      <c r="AG412" s="447"/>
      <c r="AH412" s="447"/>
      <c r="AI412" s="382"/>
      <c r="AJ412" s="382"/>
      <c r="AK412" s="382"/>
      <c r="AL412" s="382"/>
      <c r="AM412" s="382"/>
      <c r="AN412" s="382"/>
      <c r="AO412" s="382"/>
      <c r="AP412" s="382"/>
      <c r="AQ412" s="382"/>
      <c r="AR412" s="382"/>
      <c r="AS412" s="382"/>
      <c r="AT412" s="382"/>
      <c r="AU412" s="382"/>
      <c r="AV412" s="382"/>
      <c r="AW412" s="382"/>
      <c r="AX412" s="382"/>
      <c r="AY412" s="382"/>
      <c r="AZ412" s="382"/>
      <c r="BA412" s="382"/>
      <c r="BB412" s="382"/>
      <c r="BC412" s="382"/>
      <c r="BD412" s="382"/>
      <c r="BE412" s="382"/>
      <c r="BF412" s="382"/>
      <c r="BG412" s="382"/>
      <c r="BH412" s="382"/>
      <c r="BI412" s="382"/>
      <c r="BJ412" s="382"/>
      <c r="BK412" s="382"/>
      <c r="BL412" s="382"/>
      <c r="BM412" s="382"/>
      <c r="BN412" s="382"/>
      <c r="BO412" s="382"/>
    </row>
    <row r="413" spans="1:68" s="88" customFormat="1" ht="10.55" customHeight="1" x14ac:dyDescent="0.2">
      <c r="A413" s="1017"/>
      <c r="B413" s="690"/>
      <c r="C413" s="690"/>
      <c r="D413" s="683"/>
      <c r="E413" s="2814"/>
      <c r="F413" s="2815"/>
      <c r="G413" s="1018"/>
      <c r="H413" s="1019"/>
      <c r="I413" s="1449">
        <f>IF($O413&gt;0,-PMT(($I$9),$O413,1),0)</f>
        <v>0</v>
      </c>
      <c r="J413" s="1447"/>
      <c r="K413" s="1444"/>
      <c r="L413" s="1445"/>
      <c r="M413" s="1443">
        <f>ROUND(E413/100*IF(ISBLANK(L413),K413,L413),-1)</f>
        <v>0</v>
      </c>
      <c r="N413" s="1106"/>
      <c r="O413" s="674">
        <f>IF(ISBLANK(H413),G413,H413)</f>
        <v>0</v>
      </c>
      <c r="P413" s="682"/>
      <c r="Q413" s="286"/>
      <c r="R413" s="287"/>
      <c r="S413" s="280"/>
      <c r="T413" s="280"/>
      <c r="U413" s="280"/>
      <c r="V413" s="280"/>
      <c r="W413" s="280"/>
      <c r="X413" s="280"/>
      <c r="Y413" s="280"/>
      <c r="Z413" s="284"/>
      <c r="AA413" s="284"/>
      <c r="AB413" s="284"/>
      <c r="AC413" s="284"/>
      <c r="AD413" s="284"/>
      <c r="AE413" s="284"/>
      <c r="AF413" s="447"/>
      <c r="AG413" s="447"/>
      <c r="AH413" s="447"/>
      <c r="AI413" s="382"/>
      <c r="AJ413" s="382"/>
      <c r="AK413" s="382"/>
      <c r="AL413" s="382"/>
      <c r="AM413" s="382"/>
      <c r="AN413" s="382"/>
      <c r="AO413" s="382"/>
      <c r="AP413" s="382"/>
      <c r="AQ413" s="382"/>
      <c r="AR413" s="382"/>
      <c r="AS413" s="382"/>
      <c r="AT413" s="382"/>
      <c r="AU413" s="382"/>
      <c r="AV413" s="382"/>
      <c r="AW413" s="382"/>
      <c r="AX413" s="382"/>
      <c r="AY413" s="382"/>
      <c r="AZ413" s="382"/>
      <c r="BA413" s="382"/>
      <c r="BB413" s="382"/>
      <c r="BC413" s="382"/>
      <c r="BD413" s="382"/>
      <c r="BE413" s="382"/>
      <c r="BF413" s="382"/>
      <c r="BG413" s="382"/>
      <c r="BH413" s="382"/>
      <c r="BI413" s="382"/>
      <c r="BJ413" s="382"/>
      <c r="BK413" s="382"/>
      <c r="BL413" s="382"/>
      <c r="BM413" s="382"/>
      <c r="BN413" s="382"/>
      <c r="BO413" s="382"/>
    </row>
    <row r="414" spans="1:68" s="88" customFormat="1" ht="14.1" customHeight="1" thickBot="1" x14ac:dyDescent="0.25">
      <c r="A414" s="391" t="s">
        <v>14</v>
      </c>
      <c r="B414" s="90"/>
      <c r="C414" s="90"/>
      <c r="D414" s="90"/>
      <c r="E414" s="2843">
        <f>ROUND(SUM(E44:E361)/2,-2)</f>
        <v>0</v>
      </c>
      <c r="F414" s="2843"/>
      <c r="G414" s="2840">
        <f>IF($E$414&gt;0,SUMPRODUCT($E$44:$E$360,$O$44:$O$360)/$E$414,0)</f>
        <v>0</v>
      </c>
      <c r="H414" s="2840"/>
      <c r="I414" s="1410">
        <f>IF(E414=0,0,J414/E414)</f>
        <v>0</v>
      </c>
      <c r="J414" s="1407">
        <f>ROUND(SUM(J44:J361)/2,-1)</f>
        <v>0</v>
      </c>
      <c r="K414" s="2764"/>
      <c r="L414" s="2765"/>
      <c r="M414" s="1446">
        <f>ROUND(SUM(M44:M413)/2,-1)</f>
        <v>0</v>
      </c>
      <c r="N414" s="1106"/>
      <c r="O414" s="320"/>
      <c r="P414" s="288"/>
      <c r="Q414" s="280"/>
      <c r="R414" s="287"/>
      <c r="S414" s="289"/>
      <c r="T414" s="271"/>
      <c r="U414" s="271"/>
      <c r="V414" s="271"/>
      <c r="W414" s="271"/>
      <c r="X414" s="271"/>
      <c r="Y414" s="271"/>
      <c r="Z414" s="270"/>
      <c r="AA414" s="270"/>
      <c r="AB414" s="270"/>
      <c r="AC414" s="270"/>
      <c r="AD414" s="270"/>
      <c r="AE414" s="270"/>
      <c r="AF414" s="380"/>
      <c r="AG414" s="380"/>
      <c r="AH414" s="380"/>
      <c r="AI414" s="381"/>
      <c r="AJ414" s="381"/>
      <c r="AK414" s="382"/>
      <c r="AL414" s="382"/>
      <c r="AM414" s="382"/>
      <c r="AN414" s="382"/>
      <c r="AO414" s="382"/>
      <c r="AP414" s="382"/>
      <c r="AQ414" s="382"/>
      <c r="AR414" s="382"/>
      <c r="AS414" s="382"/>
      <c r="AT414" s="382"/>
      <c r="AU414" s="382"/>
      <c r="AV414" s="382"/>
      <c r="AW414" s="382"/>
      <c r="AX414" s="382"/>
      <c r="AY414" s="382"/>
      <c r="AZ414" s="382"/>
      <c r="BA414" s="382"/>
      <c r="BB414" s="382"/>
      <c r="BC414" s="382"/>
      <c r="BD414" s="382"/>
      <c r="BE414" s="382"/>
      <c r="BF414" s="382"/>
      <c r="BG414" s="382"/>
      <c r="BH414" s="382"/>
      <c r="BI414" s="382"/>
      <c r="BJ414" s="382"/>
      <c r="BK414" s="382"/>
      <c r="BL414" s="382"/>
      <c r="BM414" s="382"/>
      <c r="BN414" s="382"/>
      <c r="BO414" s="382"/>
    </row>
    <row r="415" spans="1:68" x14ac:dyDescent="0.2">
      <c r="F415" s="83"/>
      <c r="I415" s="86"/>
      <c r="O415" s="1106"/>
      <c r="P415" s="1106"/>
      <c r="Q415" s="1106"/>
      <c r="R415" s="1106"/>
      <c r="S415" s="1106"/>
      <c r="T415" s="1106"/>
      <c r="U415" s="1106"/>
      <c r="V415" s="1106"/>
      <c r="W415" s="83"/>
      <c r="X415" s="83"/>
      <c r="Y415" s="1106"/>
      <c r="Z415" s="1106"/>
      <c r="AF415" s="380"/>
      <c r="AI415" s="381"/>
      <c r="BP415" s="83"/>
    </row>
    <row r="416" spans="1:68" x14ac:dyDescent="0.2">
      <c r="F416" s="83"/>
      <c r="I416" s="86"/>
      <c r="O416" s="1106"/>
      <c r="P416" s="1106"/>
      <c r="Q416" s="1106"/>
      <c r="R416" s="1106"/>
      <c r="S416" s="1106"/>
      <c r="T416" s="1106"/>
      <c r="U416" s="1106"/>
      <c r="V416" s="1106"/>
      <c r="W416" s="83"/>
      <c r="X416" s="83"/>
      <c r="Y416" s="1106"/>
      <c r="Z416" s="1106"/>
      <c r="AF416" s="380"/>
      <c r="AI416" s="381"/>
      <c r="BP416" s="83"/>
    </row>
    <row r="417" spans="1:73" x14ac:dyDescent="0.2">
      <c r="F417" s="83"/>
      <c r="I417" s="86"/>
      <c r="O417" s="1106"/>
      <c r="P417" s="1106"/>
      <c r="Q417" s="1106"/>
      <c r="R417" s="1106"/>
      <c r="S417" s="1106"/>
      <c r="T417" s="1106"/>
      <c r="U417" s="1106"/>
      <c r="V417" s="1106"/>
      <c r="W417" s="83"/>
      <c r="X417" s="83"/>
      <c r="Y417" s="1106"/>
      <c r="Z417" s="1106"/>
      <c r="AF417" s="380"/>
      <c r="AI417" s="381"/>
      <c r="BP417" s="83"/>
    </row>
    <row r="418" spans="1:73" x14ac:dyDescent="0.2">
      <c r="O418" s="1106"/>
      <c r="P418" s="1106"/>
      <c r="Q418" s="1106"/>
      <c r="R418" s="1106"/>
      <c r="S418" s="1106"/>
      <c r="T418" s="1106"/>
      <c r="U418" s="1106"/>
      <c r="V418" s="1106"/>
      <c r="W418" s="83"/>
      <c r="X418" s="83"/>
      <c r="Y418" s="1106"/>
      <c r="Z418" s="1106"/>
      <c r="AA418" s="1106"/>
    </row>
    <row r="419" spans="1:73" x14ac:dyDescent="0.2">
      <c r="O419" s="1106"/>
      <c r="P419" s="1106"/>
      <c r="Q419" s="1106"/>
      <c r="R419" s="1106"/>
      <c r="S419" s="1106"/>
      <c r="T419" s="1106"/>
      <c r="U419" s="1106"/>
      <c r="V419" s="1106"/>
      <c r="W419" s="83"/>
      <c r="X419" s="83"/>
      <c r="Y419" s="1106"/>
      <c r="Z419" s="1106"/>
      <c r="AA419" s="1106"/>
    </row>
    <row r="420" spans="1:73" x14ac:dyDescent="0.2">
      <c r="O420" s="1106"/>
      <c r="P420" s="1106"/>
      <c r="Q420" s="1106"/>
      <c r="R420" s="1106"/>
      <c r="S420" s="1106"/>
      <c r="T420" s="1106"/>
      <c r="U420" s="1106"/>
      <c r="V420" s="1106"/>
      <c r="W420" s="83"/>
      <c r="X420" s="83"/>
      <c r="Y420" s="1106"/>
      <c r="Z420" s="1106"/>
      <c r="AA420" s="1106"/>
    </row>
    <row r="421" spans="1:73" x14ac:dyDescent="0.2">
      <c r="O421" s="1106"/>
      <c r="P421" s="1106"/>
      <c r="Q421" s="1106"/>
      <c r="R421" s="1106"/>
      <c r="S421" s="1106"/>
      <c r="T421" s="1106"/>
      <c r="U421" s="1106"/>
      <c r="V421" s="1106"/>
      <c r="W421" s="83"/>
      <c r="X421" s="83"/>
      <c r="Y421" s="1106"/>
      <c r="Z421" s="1106"/>
      <c r="AA421" s="1106"/>
    </row>
    <row r="422" spans="1:73" x14ac:dyDescent="0.2">
      <c r="O422" s="1106"/>
      <c r="P422" s="1106"/>
      <c r="Q422" s="1106"/>
      <c r="R422" s="1106"/>
      <c r="S422" s="1106"/>
      <c r="T422" s="1106"/>
      <c r="U422" s="1106"/>
      <c r="V422" s="1106"/>
      <c r="W422" s="83"/>
      <c r="X422" s="83"/>
      <c r="Y422" s="1106"/>
      <c r="Z422" s="1106"/>
      <c r="AA422" s="1106"/>
    </row>
    <row r="423" spans="1:73" x14ac:dyDescent="0.2">
      <c r="O423" s="1106"/>
      <c r="P423" s="1106"/>
      <c r="Q423" s="1106"/>
      <c r="R423" s="1106"/>
      <c r="S423" s="1106"/>
      <c r="T423" s="1106"/>
      <c r="U423" s="1106"/>
      <c r="V423" s="1106"/>
      <c r="W423" s="83"/>
      <c r="X423" s="83"/>
      <c r="Y423" s="1106"/>
      <c r="Z423" s="1106"/>
      <c r="AA423" s="1106"/>
    </row>
    <row r="424" spans="1:73" x14ac:dyDescent="0.2">
      <c r="O424" s="1106"/>
      <c r="P424" s="1106"/>
      <c r="Q424" s="1106"/>
      <c r="R424" s="1106"/>
      <c r="S424" s="1106"/>
      <c r="T424" s="1106"/>
      <c r="U424" s="1106"/>
      <c r="V424" s="1106"/>
      <c r="W424" s="83"/>
      <c r="X424" s="83"/>
      <c r="Y424" s="1106"/>
      <c r="Z424" s="1106"/>
      <c r="AA424" s="1106"/>
    </row>
    <row r="425" spans="1:73" x14ac:dyDescent="0.2">
      <c r="O425" s="1106"/>
      <c r="P425" s="1106"/>
      <c r="Q425" s="1106"/>
      <c r="R425" s="1106"/>
      <c r="S425" s="1106"/>
      <c r="T425" s="1106"/>
      <c r="U425" s="1106"/>
      <c r="V425" s="1106"/>
      <c r="W425" s="1106"/>
      <c r="X425" s="1106"/>
      <c r="Y425" s="1106"/>
      <c r="Z425" s="1106"/>
      <c r="AA425" s="1106"/>
    </row>
    <row r="426" spans="1:73" x14ac:dyDescent="0.2">
      <c r="O426" s="1106"/>
      <c r="P426" s="1106"/>
      <c r="Q426" s="1106"/>
      <c r="R426" s="1106"/>
      <c r="S426" s="1106"/>
      <c r="T426" s="1106"/>
      <c r="U426" s="1106"/>
      <c r="V426" s="1106"/>
      <c r="W426" s="1106"/>
      <c r="X426" s="1106"/>
      <c r="Y426" s="1106"/>
      <c r="Z426" s="1106"/>
      <c r="AA426" s="1106"/>
    </row>
    <row r="427" spans="1:73" x14ac:dyDescent="0.2">
      <c r="O427" s="1106"/>
      <c r="P427" s="1106"/>
      <c r="Q427" s="1106"/>
      <c r="R427" s="1106"/>
      <c r="S427" s="1106"/>
      <c r="T427" s="1106"/>
      <c r="U427" s="1106"/>
      <c r="V427" s="1106"/>
      <c r="W427" s="1106"/>
      <c r="X427" s="1106"/>
      <c r="Y427" s="1106"/>
      <c r="Z427" s="1106"/>
      <c r="AA427" s="1106"/>
    </row>
    <row r="428" spans="1:73" x14ac:dyDescent="0.2">
      <c r="O428" s="1106"/>
      <c r="P428" s="1106"/>
      <c r="Q428" s="1106"/>
      <c r="R428" s="1106"/>
      <c r="S428" s="1106"/>
      <c r="T428" s="1106"/>
      <c r="U428" s="1106"/>
      <c r="V428" s="1106"/>
      <c r="W428" s="1106"/>
      <c r="X428" s="1106"/>
      <c r="Y428" s="1106"/>
      <c r="Z428" s="1106"/>
      <c r="AA428" s="1106"/>
    </row>
    <row r="429" spans="1:73" x14ac:dyDescent="0.2">
      <c r="O429" s="1106"/>
      <c r="P429" s="1106"/>
      <c r="Q429" s="1106"/>
      <c r="R429" s="1106"/>
      <c r="S429" s="1106"/>
      <c r="T429" s="1106"/>
      <c r="U429" s="1106"/>
      <c r="V429" s="1106"/>
      <c r="W429" s="1106"/>
      <c r="X429" s="1106"/>
      <c r="Y429" s="1106"/>
      <c r="Z429" s="1106"/>
      <c r="AA429" s="1106"/>
    </row>
    <row r="430" spans="1:73" s="270" customFormat="1" x14ac:dyDescent="0.2">
      <c r="A430" s="86"/>
      <c r="B430" s="84"/>
      <c r="C430" s="84"/>
      <c r="D430" s="84"/>
      <c r="E430" s="84"/>
      <c r="F430" s="84"/>
      <c r="G430" s="83"/>
      <c r="H430" s="83"/>
      <c r="I430" s="83"/>
      <c r="J430" s="86"/>
      <c r="K430" s="86"/>
      <c r="L430" s="86"/>
      <c r="M430" s="86"/>
      <c r="N430" s="86"/>
      <c r="O430" s="1106"/>
      <c r="P430" s="1106"/>
      <c r="Q430" s="1106"/>
      <c r="R430" s="1106"/>
      <c r="S430" s="1106"/>
      <c r="T430" s="1106"/>
      <c r="U430" s="1106"/>
      <c r="V430" s="1106"/>
      <c r="W430" s="1106"/>
      <c r="X430" s="1106"/>
      <c r="Y430" s="1106"/>
      <c r="Z430" s="1106"/>
      <c r="AA430" s="1106"/>
      <c r="AG430" s="380"/>
      <c r="AH430" s="380"/>
      <c r="AI430" s="380"/>
      <c r="AJ430" s="381"/>
      <c r="AK430" s="381"/>
      <c r="AL430" s="381"/>
      <c r="AM430" s="381"/>
      <c r="AN430" s="381"/>
      <c r="AO430" s="381"/>
      <c r="AP430" s="381"/>
      <c r="AQ430" s="381"/>
      <c r="AR430" s="381"/>
      <c r="AS430" s="381"/>
      <c r="AT430" s="381"/>
      <c r="AU430" s="381"/>
      <c r="AV430" s="381"/>
      <c r="AW430" s="381"/>
      <c r="AX430" s="381"/>
      <c r="AY430" s="381"/>
      <c r="AZ430" s="381"/>
      <c r="BA430" s="381"/>
      <c r="BB430" s="381"/>
      <c r="BC430" s="381"/>
      <c r="BD430" s="381"/>
      <c r="BE430" s="381"/>
      <c r="BF430" s="381"/>
      <c r="BG430" s="381"/>
      <c r="BH430" s="381"/>
      <c r="BI430" s="381"/>
      <c r="BJ430" s="381"/>
      <c r="BK430" s="381"/>
      <c r="BL430" s="381"/>
      <c r="BM430" s="381"/>
      <c r="BN430" s="381"/>
      <c r="BO430" s="381"/>
      <c r="BP430" s="381"/>
      <c r="BQ430" s="83"/>
      <c r="BR430" s="83"/>
      <c r="BS430" s="83"/>
      <c r="BT430" s="83"/>
      <c r="BU430" s="83"/>
    </row>
    <row r="431" spans="1:73" s="270" customFormat="1" x14ac:dyDescent="0.2">
      <c r="A431" s="86"/>
      <c r="B431" s="84"/>
      <c r="C431" s="84"/>
      <c r="D431" s="84"/>
      <c r="E431" s="84"/>
      <c r="F431" s="84"/>
      <c r="G431" s="83"/>
      <c r="H431" s="83"/>
      <c r="I431" s="83"/>
      <c r="J431" s="86"/>
      <c r="K431" s="86"/>
      <c r="L431" s="86"/>
      <c r="M431" s="86"/>
      <c r="N431" s="86"/>
      <c r="O431" s="1106"/>
      <c r="P431" s="1106"/>
      <c r="Q431" s="1106"/>
      <c r="R431" s="1106"/>
      <c r="S431" s="1106"/>
      <c r="T431" s="1106"/>
      <c r="U431" s="1106"/>
      <c r="V431" s="1106"/>
      <c r="W431" s="1106"/>
      <c r="X431" s="1106"/>
      <c r="Y431" s="1106"/>
      <c r="Z431" s="1106"/>
      <c r="AA431" s="1106"/>
      <c r="AG431" s="380"/>
      <c r="AH431" s="380"/>
      <c r="AI431" s="380"/>
      <c r="AJ431" s="381"/>
      <c r="AK431" s="381"/>
      <c r="AL431" s="381"/>
      <c r="AM431" s="381"/>
      <c r="AN431" s="381"/>
      <c r="AO431" s="381"/>
      <c r="AP431" s="381"/>
      <c r="AQ431" s="381"/>
      <c r="AR431" s="381"/>
      <c r="AS431" s="381"/>
      <c r="AT431" s="381"/>
      <c r="AU431" s="381"/>
      <c r="AV431" s="381"/>
      <c r="AW431" s="381"/>
      <c r="AX431" s="381"/>
      <c r="AY431" s="381"/>
      <c r="AZ431" s="381"/>
      <c r="BA431" s="381"/>
      <c r="BB431" s="381"/>
      <c r="BC431" s="381"/>
      <c r="BD431" s="381"/>
      <c r="BE431" s="381"/>
      <c r="BF431" s="381"/>
      <c r="BG431" s="381"/>
      <c r="BH431" s="381"/>
      <c r="BI431" s="381"/>
      <c r="BJ431" s="381"/>
      <c r="BK431" s="381"/>
      <c r="BL431" s="381"/>
      <c r="BM431" s="381"/>
      <c r="BN431" s="381"/>
      <c r="BO431" s="381"/>
      <c r="BP431" s="381"/>
      <c r="BQ431" s="83"/>
      <c r="BR431" s="83"/>
      <c r="BS431" s="83"/>
      <c r="BT431" s="83"/>
      <c r="BU431" s="83"/>
    </row>
    <row r="432" spans="1:73" s="270" customFormat="1" x14ac:dyDescent="0.2">
      <c r="A432" s="86"/>
      <c r="B432" s="84"/>
      <c r="C432" s="84"/>
      <c r="D432" s="84"/>
      <c r="E432" s="84"/>
      <c r="F432" s="84"/>
      <c r="G432" s="83"/>
      <c r="H432" s="83"/>
      <c r="I432" s="83"/>
      <c r="J432" s="86"/>
      <c r="K432" s="86"/>
      <c r="L432" s="86"/>
      <c r="M432" s="86"/>
      <c r="N432" s="86"/>
      <c r="O432" s="1106"/>
      <c r="P432" s="1106"/>
      <c r="Q432" s="1106"/>
      <c r="R432" s="1106"/>
      <c r="S432" s="1106"/>
      <c r="T432" s="1106"/>
      <c r="U432" s="1106"/>
      <c r="V432" s="1106"/>
      <c r="W432" s="1106"/>
      <c r="X432" s="1106"/>
      <c r="Y432" s="1106"/>
      <c r="Z432" s="1106"/>
      <c r="AA432" s="1106"/>
      <c r="AG432" s="380"/>
      <c r="AH432" s="380"/>
      <c r="AI432" s="380"/>
      <c r="AJ432" s="381"/>
      <c r="AK432" s="381"/>
      <c r="AL432" s="381"/>
      <c r="AM432" s="381"/>
      <c r="AN432" s="381"/>
      <c r="AO432" s="381"/>
      <c r="AP432" s="381"/>
      <c r="AQ432" s="381"/>
      <c r="AR432" s="381"/>
      <c r="AS432" s="381"/>
      <c r="AT432" s="381"/>
      <c r="AU432" s="381"/>
      <c r="AV432" s="381"/>
      <c r="AW432" s="381"/>
      <c r="AX432" s="381"/>
      <c r="AY432" s="381"/>
      <c r="AZ432" s="381"/>
      <c r="BA432" s="381"/>
      <c r="BB432" s="381"/>
      <c r="BC432" s="381"/>
      <c r="BD432" s="381"/>
      <c r="BE432" s="381"/>
      <c r="BF432" s="381"/>
      <c r="BG432" s="381"/>
      <c r="BH432" s="381"/>
      <c r="BI432" s="381"/>
      <c r="BJ432" s="381"/>
      <c r="BK432" s="381"/>
      <c r="BL432" s="381"/>
      <c r="BM432" s="381"/>
      <c r="BN432" s="381"/>
      <c r="BO432" s="381"/>
      <c r="BP432" s="381"/>
      <c r="BQ432" s="83"/>
      <c r="BR432" s="83"/>
      <c r="BS432" s="83"/>
      <c r="BT432" s="83"/>
      <c r="BU432" s="83"/>
    </row>
    <row r="433" spans="1:73" s="270" customFormat="1" x14ac:dyDescent="0.2">
      <c r="A433" s="86"/>
      <c r="B433" s="84"/>
      <c r="C433" s="84"/>
      <c r="D433" s="84"/>
      <c r="E433" s="84"/>
      <c r="F433" s="84"/>
      <c r="G433" s="83"/>
      <c r="H433" s="83"/>
      <c r="I433" s="83"/>
      <c r="J433" s="86"/>
      <c r="K433" s="86"/>
      <c r="L433" s="86"/>
      <c r="M433" s="86"/>
      <c r="N433" s="86"/>
      <c r="O433" s="1106"/>
      <c r="P433" s="1106"/>
      <c r="Q433" s="1106"/>
      <c r="R433" s="1106"/>
      <c r="S433" s="1106"/>
      <c r="T433" s="1106"/>
      <c r="U433" s="1106"/>
      <c r="V433" s="1106"/>
      <c r="AG433" s="380"/>
      <c r="AH433" s="380"/>
      <c r="AI433" s="380"/>
      <c r="AJ433" s="381"/>
      <c r="AK433" s="381"/>
      <c r="AL433" s="381"/>
      <c r="AM433" s="381"/>
      <c r="AN433" s="381"/>
      <c r="AO433" s="381"/>
      <c r="AP433" s="381"/>
      <c r="AQ433" s="381"/>
      <c r="AR433" s="381"/>
      <c r="AS433" s="381"/>
      <c r="AT433" s="381"/>
      <c r="AU433" s="381"/>
      <c r="AV433" s="381"/>
      <c r="AW433" s="381"/>
      <c r="AX433" s="381"/>
      <c r="AY433" s="381"/>
      <c r="AZ433" s="381"/>
      <c r="BA433" s="381"/>
      <c r="BB433" s="381"/>
      <c r="BC433" s="381"/>
      <c r="BD433" s="381"/>
      <c r="BE433" s="381"/>
      <c r="BF433" s="381"/>
      <c r="BG433" s="381"/>
      <c r="BH433" s="381"/>
      <c r="BI433" s="381"/>
      <c r="BJ433" s="381"/>
      <c r="BK433" s="381"/>
      <c r="BL433" s="381"/>
      <c r="BM433" s="381"/>
      <c r="BN433" s="381"/>
      <c r="BO433" s="381"/>
      <c r="BP433" s="381"/>
      <c r="BQ433" s="83"/>
      <c r="BR433" s="83"/>
      <c r="BS433" s="83"/>
      <c r="BT433" s="83"/>
      <c r="BU433" s="83"/>
    </row>
    <row r="434" spans="1:73" s="270" customFormat="1" x14ac:dyDescent="0.2">
      <c r="A434" s="86"/>
      <c r="B434" s="84"/>
      <c r="C434" s="84"/>
      <c r="D434" s="84"/>
      <c r="E434" s="84"/>
      <c r="F434" s="84"/>
      <c r="G434" s="83"/>
      <c r="H434" s="83"/>
      <c r="I434" s="83"/>
      <c r="J434" s="86"/>
      <c r="K434" s="86"/>
      <c r="L434" s="86"/>
      <c r="M434" s="86"/>
      <c r="N434" s="86"/>
      <c r="O434" s="1106"/>
      <c r="P434" s="1106"/>
      <c r="Q434" s="1106"/>
      <c r="R434" s="1106"/>
      <c r="S434" s="1106"/>
      <c r="T434" s="1106"/>
      <c r="U434" s="1106"/>
      <c r="V434" s="1106"/>
      <c r="AG434" s="380"/>
      <c r="AH434" s="380"/>
      <c r="AI434" s="380"/>
      <c r="AJ434" s="381"/>
      <c r="AK434" s="381"/>
      <c r="AL434" s="381"/>
      <c r="AM434" s="381"/>
      <c r="AN434" s="381"/>
      <c r="AO434" s="381"/>
      <c r="AP434" s="381"/>
      <c r="AQ434" s="381"/>
      <c r="AR434" s="381"/>
      <c r="AS434" s="381"/>
      <c r="AT434" s="381"/>
      <c r="AU434" s="381"/>
      <c r="AV434" s="381"/>
      <c r="AW434" s="381"/>
      <c r="AX434" s="381"/>
      <c r="AY434" s="381"/>
      <c r="AZ434" s="381"/>
      <c r="BA434" s="381"/>
      <c r="BB434" s="381"/>
      <c r="BC434" s="381"/>
      <c r="BD434" s="381"/>
      <c r="BE434" s="381"/>
      <c r="BF434" s="381"/>
      <c r="BG434" s="381"/>
      <c r="BH434" s="381"/>
      <c r="BI434" s="381"/>
      <c r="BJ434" s="381"/>
      <c r="BK434" s="381"/>
      <c r="BL434" s="381"/>
      <c r="BM434" s="381"/>
      <c r="BN434" s="381"/>
      <c r="BO434" s="381"/>
      <c r="BP434" s="381"/>
      <c r="BQ434" s="83"/>
      <c r="BR434" s="83"/>
      <c r="BS434" s="83"/>
      <c r="BT434" s="83"/>
      <c r="BU434" s="83"/>
    </row>
    <row r="435" spans="1:73" s="270" customFormat="1" x14ac:dyDescent="0.2">
      <c r="A435" s="86"/>
      <c r="B435" s="84"/>
      <c r="C435" s="84"/>
      <c r="D435" s="84"/>
      <c r="E435" s="84"/>
      <c r="F435" s="84"/>
      <c r="G435" s="83"/>
      <c r="H435" s="83"/>
      <c r="I435" s="83"/>
      <c r="J435" s="86"/>
      <c r="K435" s="86"/>
      <c r="L435" s="86"/>
      <c r="M435" s="86"/>
      <c r="N435" s="86"/>
      <c r="O435" s="1106"/>
      <c r="P435" s="1106"/>
      <c r="Q435" s="1106"/>
      <c r="R435" s="1106"/>
      <c r="S435" s="1106"/>
      <c r="T435" s="1106"/>
      <c r="U435" s="1106"/>
      <c r="V435" s="1106"/>
      <c r="AG435" s="380"/>
      <c r="AH435" s="380"/>
      <c r="AI435" s="380"/>
      <c r="AJ435" s="381"/>
      <c r="AK435" s="381"/>
      <c r="AL435" s="381"/>
      <c r="AM435" s="381"/>
      <c r="AN435" s="381"/>
      <c r="AO435" s="381"/>
      <c r="AP435" s="381"/>
      <c r="AQ435" s="381"/>
      <c r="AR435" s="381"/>
      <c r="AS435" s="381"/>
      <c r="AT435" s="381"/>
      <c r="AU435" s="381"/>
      <c r="AV435" s="381"/>
      <c r="AW435" s="381"/>
      <c r="AX435" s="381"/>
      <c r="AY435" s="381"/>
      <c r="AZ435" s="381"/>
      <c r="BA435" s="381"/>
      <c r="BB435" s="381"/>
      <c r="BC435" s="381"/>
      <c r="BD435" s="381"/>
      <c r="BE435" s="381"/>
      <c r="BF435" s="381"/>
      <c r="BG435" s="381"/>
      <c r="BH435" s="381"/>
      <c r="BI435" s="381"/>
      <c r="BJ435" s="381"/>
      <c r="BK435" s="381"/>
      <c r="BL435" s="381"/>
      <c r="BM435" s="381"/>
      <c r="BN435" s="381"/>
      <c r="BO435" s="381"/>
      <c r="BP435" s="381"/>
      <c r="BQ435" s="83"/>
      <c r="BR435" s="83"/>
      <c r="BS435" s="83"/>
      <c r="BT435" s="83"/>
      <c r="BU435" s="83"/>
    </row>
    <row r="436" spans="1:73" s="270" customFormat="1" ht="12.9" customHeight="1" x14ac:dyDescent="0.2">
      <c r="A436" s="86"/>
      <c r="B436" s="84"/>
      <c r="C436" s="84"/>
      <c r="D436" s="84"/>
      <c r="E436" s="84"/>
      <c r="F436" s="84"/>
      <c r="G436" s="83"/>
      <c r="H436" s="83"/>
      <c r="I436" s="83"/>
      <c r="J436" s="86"/>
      <c r="K436" s="86"/>
      <c r="L436" s="86"/>
      <c r="M436" s="86"/>
      <c r="N436" s="86"/>
      <c r="O436" s="1106"/>
      <c r="P436" s="1106"/>
      <c r="Q436" s="1106"/>
      <c r="R436" s="1106"/>
      <c r="S436" s="1106"/>
      <c r="T436" s="1106"/>
      <c r="U436" s="1106"/>
      <c r="V436" s="1106"/>
      <c r="AG436" s="380"/>
      <c r="AH436" s="380"/>
      <c r="AI436" s="380"/>
      <c r="AJ436" s="381"/>
      <c r="AK436" s="381"/>
      <c r="AL436" s="381"/>
      <c r="AM436" s="381"/>
      <c r="AN436" s="381"/>
      <c r="AO436" s="381"/>
      <c r="AP436" s="381"/>
      <c r="AQ436" s="381"/>
      <c r="AR436" s="381"/>
      <c r="AS436" s="381"/>
      <c r="AT436" s="381"/>
      <c r="AU436" s="381"/>
      <c r="AV436" s="381"/>
      <c r="AW436" s="381"/>
      <c r="AX436" s="381"/>
      <c r="AY436" s="381"/>
      <c r="AZ436" s="381"/>
      <c r="BA436" s="381"/>
      <c r="BB436" s="381"/>
      <c r="BC436" s="381"/>
      <c r="BD436" s="381"/>
      <c r="BE436" s="381"/>
      <c r="BF436" s="381"/>
      <c r="BG436" s="381"/>
      <c r="BH436" s="381"/>
      <c r="BI436" s="381"/>
      <c r="BJ436" s="381"/>
      <c r="BK436" s="381"/>
      <c r="BL436" s="381"/>
      <c r="BM436" s="381"/>
      <c r="BN436" s="381"/>
      <c r="BO436" s="381"/>
      <c r="BP436" s="381"/>
      <c r="BQ436" s="83"/>
      <c r="BR436" s="83"/>
      <c r="BS436" s="83"/>
      <c r="BT436" s="83"/>
      <c r="BU436" s="83"/>
    </row>
  </sheetData>
  <sheetProtection algorithmName="SHA-512" hashValue="v92wpA09SezzKHJAE65O4rLA0oH3dBokXnwJezjRDSUIK37SaeMxBMc4HMoL0/X7CUAO1C8sIsaka8i9CeS/qg==" saltValue="mtfVRhpZdZpTAo8x2brYQw==" spinCount="100000" sheet="1" objects="1" scenarios="1" selectLockedCells="1"/>
  <mergeCells count="829">
    <mergeCell ref="E41:F42"/>
    <mergeCell ref="G41:H42"/>
    <mergeCell ref="I41:I43"/>
    <mergeCell ref="J41:J42"/>
    <mergeCell ref="B15:D15"/>
    <mergeCell ref="B16:D16"/>
    <mergeCell ref="B17:D17"/>
    <mergeCell ref="B18:D18"/>
    <mergeCell ref="B19:D19"/>
    <mergeCell ref="B20:D20"/>
    <mergeCell ref="B21:D21"/>
    <mergeCell ref="B22:D22"/>
    <mergeCell ref="B23:D23"/>
    <mergeCell ref="B24:D24"/>
    <mergeCell ref="B25:D25"/>
    <mergeCell ref="B26:D26"/>
    <mergeCell ref="B27:D27"/>
    <mergeCell ref="B28:D28"/>
    <mergeCell ref="B29:D29"/>
    <mergeCell ref="B30:D30"/>
    <mergeCell ref="B31:D31"/>
    <mergeCell ref="B32:D32"/>
    <mergeCell ref="E32:F32"/>
    <mergeCell ref="G20:I20"/>
    <mergeCell ref="E398:F398"/>
    <mergeCell ref="B401:D401"/>
    <mergeCell ref="E401:F401"/>
    <mergeCell ref="B402:D402"/>
    <mergeCell ref="E402:F402"/>
    <mergeCell ref="B403:D403"/>
    <mergeCell ref="E403:F403"/>
    <mergeCell ref="B395:D395"/>
    <mergeCell ref="E395:F395"/>
    <mergeCell ref="B396:D396"/>
    <mergeCell ref="E396:F396"/>
    <mergeCell ref="B397:D397"/>
    <mergeCell ref="E397:F397"/>
    <mergeCell ref="G414:H414"/>
    <mergeCell ref="B411:D411"/>
    <mergeCell ref="E411:F411"/>
    <mergeCell ref="B412:D412"/>
    <mergeCell ref="E412:F412"/>
    <mergeCell ref="E413:F413"/>
    <mergeCell ref="E414:F414"/>
    <mergeCell ref="B408:D408"/>
    <mergeCell ref="E408:F408"/>
    <mergeCell ref="G408:H408"/>
    <mergeCell ref="K408:L408"/>
    <mergeCell ref="E409:F409"/>
    <mergeCell ref="B410:D410"/>
    <mergeCell ref="E410:F410"/>
    <mergeCell ref="B404:D404"/>
    <mergeCell ref="E404:F404"/>
    <mergeCell ref="B405:D405"/>
    <mergeCell ref="E405:F405"/>
    <mergeCell ref="E406:F406"/>
    <mergeCell ref="E407:F407"/>
    <mergeCell ref="B383:C383"/>
    <mergeCell ref="G383:H383"/>
    <mergeCell ref="E388:F388"/>
    <mergeCell ref="B393:D393"/>
    <mergeCell ref="E393:F393"/>
    <mergeCell ref="B394:D394"/>
    <mergeCell ref="E394:F394"/>
    <mergeCell ref="G369:H369"/>
    <mergeCell ref="B370:C370"/>
    <mergeCell ref="G370:H370"/>
    <mergeCell ref="E375:F375"/>
    <mergeCell ref="E378:F378"/>
    <mergeCell ref="B382:C382"/>
    <mergeCell ref="G382:H382"/>
    <mergeCell ref="B359:D359"/>
    <mergeCell ref="E359:F359"/>
    <mergeCell ref="B360:D360"/>
    <mergeCell ref="E360:F360"/>
    <mergeCell ref="E365:F365"/>
    <mergeCell ref="B369:C369"/>
    <mergeCell ref="B356:D356"/>
    <mergeCell ref="E356:F356"/>
    <mergeCell ref="B357:D357"/>
    <mergeCell ref="E357:F357"/>
    <mergeCell ref="B358:D358"/>
    <mergeCell ref="E358:F358"/>
    <mergeCell ref="B353:D353"/>
    <mergeCell ref="E353:F353"/>
    <mergeCell ref="B354:D354"/>
    <mergeCell ref="E354:F354"/>
    <mergeCell ref="B355:D355"/>
    <mergeCell ref="E355:F355"/>
    <mergeCell ref="B350:D350"/>
    <mergeCell ref="E350:F350"/>
    <mergeCell ref="B351:D351"/>
    <mergeCell ref="E351:F351"/>
    <mergeCell ref="B352:D352"/>
    <mergeCell ref="E352:F352"/>
    <mergeCell ref="G347:H347"/>
    <mergeCell ref="K347:L347"/>
    <mergeCell ref="B348:D348"/>
    <mergeCell ref="E348:F348"/>
    <mergeCell ref="B349:D349"/>
    <mergeCell ref="E349:F349"/>
    <mergeCell ref="B344:D344"/>
    <mergeCell ref="E344:F344"/>
    <mergeCell ref="B345:D345"/>
    <mergeCell ref="E345:F345"/>
    <mergeCell ref="E346:F346"/>
    <mergeCell ref="B347:D347"/>
    <mergeCell ref="E347:F347"/>
    <mergeCell ref="B341:D341"/>
    <mergeCell ref="E341:F341"/>
    <mergeCell ref="B342:D342"/>
    <mergeCell ref="E342:F342"/>
    <mergeCell ref="B343:D343"/>
    <mergeCell ref="E343:F343"/>
    <mergeCell ref="B337:D337"/>
    <mergeCell ref="E337:F337"/>
    <mergeCell ref="B338:D338"/>
    <mergeCell ref="E338:F338"/>
    <mergeCell ref="E339:F339"/>
    <mergeCell ref="E340:F340"/>
    <mergeCell ref="E333:F333"/>
    <mergeCell ref="B334:D334"/>
    <mergeCell ref="E334:F334"/>
    <mergeCell ref="B335:D335"/>
    <mergeCell ref="E335:F335"/>
    <mergeCell ref="B336:D336"/>
    <mergeCell ref="E336:F336"/>
    <mergeCell ref="B330:D330"/>
    <mergeCell ref="E330:F330"/>
    <mergeCell ref="B331:D331"/>
    <mergeCell ref="E331:F331"/>
    <mergeCell ref="G331:H331"/>
    <mergeCell ref="K331:L331"/>
    <mergeCell ref="B327:D327"/>
    <mergeCell ref="E327:F327"/>
    <mergeCell ref="B328:D328"/>
    <mergeCell ref="E328:F328"/>
    <mergeCell ref="B329:D329"/>
    <mergeCell ref="E329:F329"/>
    <mergeCell ref="B324:D324"/>
    <mergeCell ref="E324:F324"/>
    <mergeCell ref="B325:D325"/>
    <mergeCell ref="E325:F325"/>
    <mergeCell ref="B326:D326"/>
    <mergeCell ref="E326:F326"/>
    <mergeCell ref="B321:D321"/>
    <mergeCell ref="E321:F321"/>
    <mergeCell ref="B322:D322"/>
    <mergeCell ref="E322:F322"/>
    <mergeCell ref="B323:D323"/>
    <mergeCell ref="E323:F323"/>
    <mergeCell ref="B318:D318"/>
    <mergeCell ref="E318:F318"/>
    <mergeCell ref="B319:D319"/>
    <mergeCell ref="E319:F319"/>
    <mergeCell ref="B320:D320"/>
    <mergeCell ref="E320:F320"/>
    <mergeCell ref="B316:D316"/>
    <mergeCell ref="E316:F316"/>
    <mergeCell ref="G316:H316"/>
    <mergeCell ref="K316:L316"/>
    <mergeCell ref="B317:D317"/>
    <mergeCell ref="E317:F317"/>
    <mergeCell ref="B313:D313"/>
    <mergeCell ref="E313:F313"/>
    <mergeCell ref="B314:D314"/>
    <mergeCell ref="E314:F314"/>
    <mergeCell ref="B315:D315"/>
    <mergeCell ref="E315:F315"/>
    <mergeCell ref="B310:D310"/>
    <mergeCell ref="E310:F310"/>
    <mergeCell ref="B311:D311"/>
    <mergeCell ref="E311:F311"/>
    <mergeCell ref="B312:D312"/>
    <mergeCell ref="E312:F312"/>
    <mergeCell ref="B307:D307"/>
    <mergeCell ref="E307:F307"/>
    <mergeCell ref="B308:D308"/>
    <mergeCell ref="E308:F308"/>
    <mergeCell ref="B309:D309"/>
    <mergeCell ref="E309:F309"/>
    <mergeCell ref="B304:D304"/>
    <mergeCell ref="E304:F304"/>
    <mergeCell ref="B305:D305"/>
    <mergeCell ref="E305:F305"/>
    <mergeCell ref="B306:D306"/>
    <mergeCell ref="E306:F306"/>
    <mergeCell ref="G301:H301"/>
    <mergeCell ref="K301:L301"/>
    <mergeCell ref="B302:D302"/>
    <mergeCell ref="E302:F302"/>
    <mergeCell ref="B303:D303"/>
    <mergeCell ref="E303:F303"/>
    <mergeCell ref="B299:D299"/>
    <mergeCell ref="E299:F299"/>
    <mergeCell ref="B300:D300"/>
    <mergeCell ref="E300:F300"/>
    <mergeCell ref="B301:D301"/>
    <mergeCell ref="E301:F301"/>
    <mergeCell ref="B296:D296"/>
    <mergeCell ref="E296:F296"/>
    <mergeCell ref="B297:D297"/>
    <mergeCell ref="E297:F297"/>
    <mergeCell ref="B298:D298"/>
    <mergeCell ref="E298:F298"/>
    <mergeCell ref="B293:D293"/>
    <mergeCell ref="E293:F293"/>
    <mergeCell ref="B294:D294"/>
    <mergeCell ref="E294:F294"/>
    <mergeCell ref="B295:D295"/>
    <mergeCell ref="E295:F295"/>
    <mergeCell ref="B290:D290"/>
    <mergeCell ref="E290:F290"/>
    <mergeCell ref="B291:D291"/>
    <mergeCell ref="E291:F291"/>
    <mergeCell ref="B292:D292"/>
    <mergeCell ref="E292:F292"/>
    <mergeCell ref="B287:D287"/>
    <mergeCell ref="E287:F287"/>
    <mergeCell ref="B288:D288"/>
    <mergeCell ref="E288:F288"/>
    <mergeCell ref="B289:D289"/>
    <mergeCell ref="E289:F289"/>
    <mergeCell ref="B285:D285"/>
    <mergeCell ref="E285:F285"/>
    <mergeCell ref="B286:D286"/>
    <mergeCell ref="E286:F286"/>
    <mergeCell ref="G286:H286"/>
    <mergeCell ref="K286:L286"/>
    <mergeCell ref="B282:D282"/>
    <mergeCell ref="E282:F282"/>
    <mergeCell ref="B283:D283"/>
    <mergeCell ref="E283:F283"/>
    <mergeCell ref="B284:D284"/>
    <mergeCell ref="E284:F284"/>
    <mergeCell ref="B279:D279"/>
    <mergeCell ref="E279:F279"/>
    <mergeCell ref="B280:D280"/>
    <mergeCell ref="E280:F280"/>
    <mergeCell ref="B281:D281"/>
    <mergeCell ref="E281:F281"/>
    <mergeCell ref="B276:D276"/>
    <mergeCell ref="E276:F276"/>
    <mergeCell ref="B277:D277"/>
    <mergeCell ref="E277:F277"/>
    <mergeCell ref="B278:D278"/>
    <mergeCell ref="E278:F278"/>
    <mergeCell ref="B273:D273"/>
    <mergeCell ref="E273:F273"/>
    <mergeCell ref="B274:D274"/>
    <mergeCell ref="E274:F274"/>
    <mergeCell ref="B275:D275"/>
    <mergeCell ref="E275:F275"/>
    <mergeCell ref="B271:D271"/>
    <mergeCell ref="E271:F271"/>
    <mergeCell ref="G271:H271"/>
    <mergeCell ref="K271:L271"/>
    <mergeCell ref="B272:D272"/>
    <mergeCell ref="E272:F272"/>
    <mergeCell ref="B268:D268"/>
    <mergeCell ref="E268:F268"/>
    <mergeCell ref="B269:D269"/>
    <mergeCell ref="E269:F269"/>
    <mergeCell ref="B270:D270"/>
    <mergeCell ref="E270:F270"/>
    <mergeCell ref="B265:D265"/>
    <mergeCell ref="E265:F265"/>
    <mergeCell ref="B266:D266"/>
    <mergeCell ref="E266:F266"/>
    <mergeCell ref="B267:D267"/>
    <mergeCell ref="E267:F267"/>
    <mergeCell ref="B262:D262"/>
    <mergeCell ref="E262:F262"/>
    <mergeCell ref="B263:D263"/>
    <mergeCell ref="E263:F263"/>
    <mergeCell ref="B264:D264"/>
    <mergeCell ref="E264:F264"/>
    <mergeCell ref="B259:D259"/>
    <mergeCell ref="E259:F259"/>
    <mergeCell ref="B260:D260"/>
    <mergeCell ref="E260:F260"/>
    <mergeCell ref="B261:D261"/>
    <mergeCell ref="E261:F261"/>
    <mergeCell ref="G256:H256"/>
    <mergeCell ref="K256:L256"/>
    <mergeCell ref="B257:D257"/>
    <mergeCell ref="E257:F257"/>
    <mergeCell ref="B258:D258"/>
    <mergeCell ref="E258:F258"/>
    <mergeCell ref="B254:D254"/>
    <mergeCell ref="E254:F254"/>
    <mergeCell ref="B255:D255"/>
    <mergeCell ref="E255:F255"/>
    <mergeCell ref="B256:D256"/>
    <mergeCell ref="E256:F256"/>
    <mergeCell ref="B251:D251"/>
    <mergeCell ref="E251:F251"/>
    <mergeCell ref="B252:D252"/>
    <mergeCell ref="E252:F252"/>
    <mergeCell ref="B253:D253"/>
    <mergeCell ref="E253:F253"/>
    <mergeCell ref="B248:D248"/>
    <mergeCell ref="E248:F248"/>
    <mergeCell ref="B249:D249"/>
    <mergeCell ref="E249:F249"/>
    <mergeCell ref="B250:D250"/>
    <mergeCell ref="E250:F250"/>
    <mergeCell ref="B245:D245"/>
    <mergeCell ref="E245:F245"/>
    <mergeCell ref="B246:D246"/>
    <mergeCell ref="E246:F246"/>
    <mergeCell ref="B247:D247"/>
    <mergeCell ref="E247:F247"/>
    <mergeCell ref="B242:D242"/>
    <mergeCell ref="E242:F242"/>
    <mergeCell ref="B243:D243"/>
    <mergeCell ref="E243:F243"/>
    <mergeCell ref="B244:D244"/>
    <mergeCell ref="E244:F244"/>
    <mergeCell ref="B240:D240"/>
    <mergeCell ref="E240:F240"/>
    <mergeCell ref="B241:D241"/>
    <mergeCell ref="E241:F241"/>
    <mergeCell ref="G241:H241"/>
    <mergeCell ref="K241:L241"/>
    <mergeCell ref="B237:D237"/>
    <mergeCell ref="E237:F237"/>
    <mergeCell ref="B238:D238"/>
    <mergeCell ref="E238:F238"/>
    <mergeCell ref="B239:D239"/>
    <mergeCell ref="E239:F239"/>
    <mergeCell ref="B234:D234"/>
    <mergeCell ref="E234:F234"/>
    <mergeCell ref="B235:D235"/>
    <mergeCell ref="E235:F235"/>
    <mergeCell ref="B236:D236"/>
    <mergeCell ref="E236:F236"/>
    <mergeCell ref="B231:D231"/>
    <mergeCell ref="E231:F231"/>
    <mergeCell ref="B232:D232"/>
    <mergeCell ref="E232:F232"/>
    <mergeCell ref="B233:D233"/>
    <mergeCell ref="E233:F233"/>
    <mergeCell ref="B228:D228"/>
    <mergeCell ref="E228:F228"/>
    <mergeCell ref="B229:D229"/>
    <mergeCell ref="E229:F229"/>
    <mergeCell ref="B230:D230"/>
    <mergeCell ref="E230:F230"/>
    <mergeCell ref="B226:D226"/>
    <mergeCell ref="E226:F226"/>
    <mergeCell ref="G226:H226"/>
    <mergeCell ref="K226:L226"/>
    <mergeCell ref="B227:D227"/>
    <mergeCell ref="E227:F227"/>
    <mergeCell ref="B223:D223"/>
    <mergeCell ref="E223:F223"/>
    <mergeCell ref="B224:D224"/>
    <mergeCell ref="E224:F224"/>
    <mergeCell ref="B225:D225"/>
    <mergeCell ref="E225:F225"/>
    <mergeCell ref="B220:D220"/>
    <mergeCell ref="E220:F220"/>
    <mergeCell ref="B221:D221"/>
    <mergeCell ref="E221:F221"/>
    <mergeCell ref="B222:D222"/>
    <mergeCell ref="E222:F222"/>
    <mergeCell ref="B217:D217"/>
    <mergeCell ref="E217:F217"/>
    <mergeCell ref="B218:D218"/>
    <mergeCell ref="E218:F218"/>
    <mergeCell ref="B219:D219"/>
    <mergeCell ref="E219:F219"/>
    <mergeCell ref="B214:D214"/>
    <mergeCell ref="E214:F214"/>
    <mergeCell ref="B215:D215"/>
    <mergeCell ref="E215:F215"/>
    <mergeCell ref="B216:D216"/>
    <mergeCell ref="E216:F216"/>
    <mergeCell ref="G211:H211"/>
    <mergeCell ref="K211:L211"/>
    <mergeCell ref="B212:D212"/>
    <mergeCell ref="E212:F212"/>
    <mergeCell ref="B213:D213"/>
    <mergeCell ref="E213:F213"/>
    <mergeCell ref="B209:D209"/>
    <mergeCell ref="E209:F209"/>
    <mergeCell ref="B210:D210"/>
    <mergeCell ref="E210:F210"/>
    <mergeCell ref="B211:D211"/>
    <mergeCell ref="E211:F211"/>
    <mergeCell ref="B206:D206"/>
    <mergeCell ref="E206:F206"/>
    <mergeCell ref="B207:D207"/>
    <mergeCell ref="E207:F207"/>
    <mergeCell ref="B208:D208"/>
    <mergeCell ref="E208:F208"/>
    <mergeCell ref="B203:D203"/>
    <mergeCell ref="E203:F203"/>
    <mergeCell ref="B204:D204"/>
    <mergeCell ref="E204:F204"/>
    <mergeCell ref="B205:D205"/>
    <mergeCell ref="E205:F205"/>
    <mergeCell ref="B200:D200"/>
    <mergeCell ref="E200:F200"/>
    <mergeCell ref="B201:D201"/>
    <mergeCell ref="E201:F201"/>
    <mergeCell ref="B202:D202"/>
    <mergeCell ref="E202:F202"/>
    <mergeCell ref="B197:D197"/>
    <mergeCell ref="E197:F197"/>
    <mergeCell ref="B198:D198"/>
    <mergeCell ref="E198:F198"/>
    <mergeCell ref="B199:D199"/>
    <mergeCell ref="E199:F199"/>
    <mergeCell ref="B195:D195"/>
    <mergeCell ref="E195:F195"/>
    <mergeCell ref="B196:D196"/>
    <mergeCell ref="E196:F196"/>
    <mergeCell ref="K196:L196"/>
    <mergeCell ref="B192:D192"/>
    <mergeCell ref="E192:F192"/>
    <mergeCell ref="B193:D193"/>
    <mergeCell ref="E193:F193"/>
    <mergeCell ref="B194:D194"/>
    <mergeCell ref="E194:F194"/>
    <mergeCell ref="B189:D189"/>
    <mergeCell ref="E189:F189"/>
    <mergeCell ref="B190:D190"/>
    <mergeCell ref="E190:F190"/>
    <mergeCell ref="B191:D191"/>
    <mergeCell ref="E191:F191"/>
    <mergeCell ref="B186:D186"/>
    <mergeCell ref="E186:F186"/>
    <mergeCell ref="B187:D187"/>
    <mergeCell ref="E187:F187"/>
    <mergeCell ref="B188:D188"/>
    <mergeCell ref="E188:F188"/>
    <mergeCell ref="B183:D183"/>
    <mergeCell ref="E183:F183"/>
    <mergeCell ref="B184:D184"/>
    <mergeCell ref="E184:F184"/>
    <mergeCell ref="B185:D185"/>
    <mergeCell ref="E185:F185"/>
    <mergeCell ref="B181:D181"/>
    <mergeCell ref="E181:F181"/>
    <mergeCell ref="G181:H181"/>
    <mergeCell ref="K181:L181"/>
    <mergeCell ref="B182:D182"/>
    <mergeCell ref="E182:F182"/>
    <mergeCell ref="B178:D178"/>
    <mergeCell ref="E178:F178"/>
    <mergeCell ref="B179:D179"/>
    <mergeCell ref="E179:F179"/>
    <mergeCell ref="B180:D180"/>
    <mergeCell ref="E180:F180"/>
    <mergeCell ref="B175:D175"/>
    <mergeCell ref="E175:F175"/>
    <mergeCell ref="B176:D176"/>
    <mergeCell ref="E176:F176"/>
    <mergeCell ref="B177:D177"/>
    <mergeCell ref="E177:F177"/>
    <mergeCell ref="B172:D172"/>
    <mergeCell ref="E172:F172"/>
    <mergeCell ref="B173:D173"/>
    <mergeCell ref="E173:F173"/>
    <mergeCell ref="B174:D174"/>
    <mergeCell ref="E174:F174"/>
    <mergeCell ref="B169:D169"/>
    <mergeCell ref="E169:F169"/>
    <mergeCell ref="B170:D170"/>
    <mergeCell ref="E170:F170"/>
    <mergeCell ref="B171:D171"/>
    <mergeCell ref="E171:F171"/>
    <mergeCell ref="G166:H166"/>
    <mergeCell ref="K166:L166"/>
    <mergeCell ref="B167:D167"/>
    <mergeCell ref="E167:F167"/>
    <mergeCell ref="B168:D168"/>
    <mergeCell ref="E168:F168"/>
    <mergeCell ref="B164:D164"/>
    <mergeCell ref="E164:F164"/>
    <mergeCell ref="B165:D165"/>
    <mergeCell ref="E165:F165"/>
    <mergeCell ref="B166:D166"/>
    <mergeCell ref="E166:F166"/>
    <mergeCell ref="B161:D161"/>
    <mergeCell ref="E161:F161"/>
    <mergeCell ref="B162:D162"/>
    <mergeCell ref="E162:F162"/>
    <mergeCell ref="B163:D163"/>
    <mergeCell ref="E163:F163"/>
    <mergeCell ref="B158:D158"/>
    <mergeCell ref="E158:F158"/>
    <mergeCell ref="B159:D159"/>
    <mergeCell ref="E159:F159"/>
    <mergeCell ref="B160:D160"/>
    <mergeCell ref="E160:F160"/>
    <mergeCell ref="B155:D155"/>
    <mergeCell ref="E155:F155"/>
    <mergeCell ref="B156:D156"/>
    <mergeCell ref="E156:F156"/>
    <mergeCell ref="B157:D157"/>
    <mergeCell ref="E157:F157"/>
    <mergeCell ref="B152:D152"/>
    <mergeCell ref="E152:F152"/>
    <mergeCell ref="B153:D153"/>
    <mergeCell ref="E153:F153"/>
    <mergeCell ref="B154:D154"/>
    <mergeCell ref="E154:F154"/>
    <mergeCell ref="B150:D150"/>
    <mergeCell ref="E150:F150"/>
    <mergeCell ref="B151:D151"/>
    <mergeCell ref="E151:F151"/>
    <mergeCell ref="B147:D147"/>
    <mergeCell ref="E147:F147"/>
    <mergeCell ref="B148:D148"/>
    <mergeCell ref="E148:F148"/>
    <mergeCell ref="B149:D149"/>
    <mergeCell ref="E149:F149"/>
    <mergeCell ref="B144:D144"/>
    <mergeCell ref="E144:F144"/>
    <mergeCell ref="B145:D145"/>
    <mergeCell ref="E145:F145"/>
    <mergeCell ref="B146:D146"/>
    <mergeCell ref="E146:F146"/>
    <mergeCell ref="B141:D141"/>
    <mergeCell ref="E141:F141"/>
    <mergeCell ref="B142:D142"/>
    <mergeCell ref="E142:F142"/>
    <mergeCell ref="B143:D143"/>
    <mergeCell ref="E143:F143"/>
    <mergeCell ref="B138:D138"/>
    <mergeCell ref="E138:F138"/>
    <mergeCell ref="B139:D139"/>
    <mergeCell ref="E139:F139"/>
    <mergeCell ref="B140:D140"/>
    <mergeCell ref="E140:F140"/>
    <mergeCell ref="B136:D136"/>
    <mergeCell ref="E136:F136"/>
    <mergeCell ref="G136:H136"/>
    <mergeCell ref="K136:L136"/>
    <mergeCell ref="B137:D137"/>
    <mergeCell ref="E137:F137"/>
    <mergeCell ref="B133:D133"/>
    <mergeCell ref="E133:F133"/>
    <mergeCell ref="B134:D134"/>
    <mergeCell ref="E134:F134"/>
    <mergeCell ref="B135:D135"/>
    <mergeCell ref="E135:F135"/>
    <mergeCell ref="B130:D130"/>
    <mergeCell ref="E130:F130"/>
    <mergeCell ref="B131:D131"/>
    <mergeCell ref="E131:F131"/>
    <mergeCell ref="B132:D132"/>
    <mergeCell ref="E132:F132"/>
    <mergeCell ref="B127:D127"/>
    <mergeCell ref="E127:F127"/>
    <mergeCell ref="B128:D128"/>
    <mergeCell ref="E128:F128"/>
    <mergeCell ref="B129:D129"/>
    <mergeCell ref="E129:F129"/>
    <mergeCell ref="B124:D124"/>
    <mergeCell ref="E124:F124"/>
    <mergeCell ref="B125:D125"/>
    <mergeCell ref="E125:F125"/>
    <mergeCell ref="B126:D126"/>
    <mergeCell ref="E126:F126"/>
    <mergeCell ref="G121:H121"/>
    <mergeCell ref="K121:L121"/>
    <mergeCell ref="B122:D122"/>
    <mergeCell ref="E122:F122"/>
    <mergeCell ref="B123:D123"/>
    <mergeCell ref="E123:F123"/>
    <mergeCell ref="B119:D119"/>
    <mergeCell ref="E119:F119"/>
    <mergeCell ref="B120:D120"/>
    <mergeCell ref="E120:F120"/>
    <mergeCell ref="B121:D121"/>
    <mergeCell ref="E121:F121"/>
    <mergeCell ref="B116:D116"/>
    <mergeCell ref="E116:F116"/>
    <mergeCell ref="B117:D117"/>
    <mergeCell ref="E117:F117"/>
    <mergeCell ref="B118:D118"/>
    <mergeCell ref="E118:F118"/>
    <mergeCell ref="B113:D113"/>
    <mergeCell ref="E113:F113"/>
    <mergeCell ref="B114:D114"/>
    <mergeCell ref="E114:F114"/>
    <mergeCell ref="B115:D115"/>
    <mergeCell ref="E115:F115"/>
    <mergeCell ref="B110:D110"/>
    <mergeCell ref="E110:F110"/>
    <mergeCell ref="B111:D111"/>
    <mergeCell ref="E111:F111"/>
    <mergeCell ref="B112:D112"/>
    <mergeCell ref="E112:F112"/>
    <mergeCell ref="B107:D107"/>
    <mergeCell ref="E107:F107"/>
    <mergeCell ref="B108:D108"/>
    <mergeCell ref="E108:F108"/>
    <mergeCell ref="B109:D109"/>
    <mergeCell ref="E109:F109"/>
    <mergeCell ref="B105:D105"/>
    <mergeCell ref="E105:F105"/>
    <mergeCell ref="B106:D106"/>
    <mergeCell ref="E106:F106"/>
    <mergeCell ref="B102:D102"/>
    <mergeCell ref="E102:F102"/>
    <mergeCell ref="B103:D103"/>
    <mergeCell ref="E103:F103"/>
    <mergeCell ref="B104:D104"/>
    <mergeCell ref="E104:F104"/>
    <mergeCell ref="B99:D99"/>
    <mergeCell ref="E99:F99"/>
    <mergeCell ref="B100:D100"/>
    <mergeCell ref="E100:F100"/>
    <mergeCell ref="B101:D101"/>
    <mergeCell ref="E101:F101"/>
    <mergeCell ref="B93:D93"/>
    <mergeCell ref="E93:F93"/>
    <mergeCell ref="B95:D95"/>
    <mergeCell ref="E95:F95"/>
    <mergeCell ref="B98:D98"/>
    <mergeCell ref="E98:F98"/>
    <mergeCell ref="B91:D91"/>
    <mergeCell ref="E91:F91"/>
    <mergeCell ref="B92:D92"/>
    <mergeCell ref="E92:F92"/>
    <mergeCell ref="B94:D94"/>
    <mergeCell ref="E94:F94"/>
    <mergeCell ref="B96:D96"/>
    <mergeCell ref="E96:F96"/>
    <mergeCell ref="B97:D97"/>
    <mergeCell ref="E97:F97"/>
    <mergeCell ref="B89:D89"/>
    <mergeCell ref="E89:F89"/>
    <mergeCell ref="G89:H89"/>
    <mergeCell ref="K89:L89"/>
    <mergeCell ref="B90:D90"/>
    <mergeCell ref="E90:F90"/>
    <mergeCell ref="B86:D86"/>
    <mergeCell ref="E86:F86"/>
    <mergeCell ref="B87:D87"/>
    <mergeCell ref="E87:F87"/>
    <mergeCell ref="B88:D88"/>
    <mergeCell ref="E88:F88"/>
    <mergeCell ref="B83:D83"/>
    <mergeCell ref="E83:F83"/>
    <mergeCell ref="B84:D84"/>
    <mergeCell ref="E84:F84"/>
    <mergeCell ref="B85:D85"/>
    <mergeCell ref="E85:F85"/>
    <mergeCell ref="B80:D80"/>
    <mergeCell ref="E80:F80"/>
    <mergeCell ref="B81:D81"/>
    <mergeCell ref="E81:F81"/>
    <mergeCell ref="B82:D82"/>
    <mergeCell ref="E82:F82"/>
    <mergeCell ref="B77:D77"/>
    <mergeCell ref="E77:F77"/>
    <mergeCell ref="B78:D78"/>
    <mergeCell ref="E78:F78"/>
    <mergeCell ref="B79:D79"/>
    <mergeCell ref="E79:F79"/>
    <mergeCell ref="G74:H74"/>
    <mergeCell ref="K74:L74"/>
    <mergeCell ref="B75:D75"/>
    <mergeCell ref="E75:F75"/>
    <mergeCell ref="B76:D76"/>
    <mergeCell ref="E76:F76"/>
    <mergeCell ref="B72:D72"/>
    <mergeCell ref="E72:F72"/>
    <mergeCell ref="B73:D73"/>
    <mergeCell ref="E73:F73"/>
    <mergeCell ref="B74:D74"/>
    <mergeCell ref="E74:F74"/>
    <mergeCell ref="B69:D69"/>
    <mergeCell ref="E69:F69"/>
    <mergeCell ref="B70:D70"/>
    <mergeCell ref="E70:F70"/>
    <mergeCell ref="B71:D71"/>
    <mergeCell ref="E71:F71"/>
    <mergeCell ref="B66:D66"/>
    <mergeCell ref="E66:F66"/>
    <mergeCell ref="B67:D67"/>
    <mergeCell ref="E67:F67"/>
    <mergeCell ref="B68:D68"/>
    <mergeCell ref="E68:F68"/>
    <mergeCell ref="B63:D63"/>
    <mergeCell ref="E63:F63"/>
    <mergeCell ref="B64:D64"/>
    <mergeCell ref="E64:F64"/>
    <mergeCell ref="B65:D65"/>
    <mergeCell ref="E65:F65"/>
    <mergeCell ref="B60:D60"/>
    <mergeCell ref="E60:F60"/>
    <mergeCell ref="B61:D61"/>
    <mergeCell ref="E61:F61"/>
    <mergeCell ref="B62:D62"/>
    <mergeCell ref="E62:F62"/>
    <mergeCell ref="B58:D58"/>
    <mergeCell ref="E58:F58"/>
    <mergeCell ref="B59:D59"/>
    <mergeCell ref="E59:F59"/>
    <mergeCell ref="B55:D55"/>
    <mergeCell ref="E55:F55"/>
    <mergeCell ref="B56:D56"/>
    <mergeCell ref="E56:F56"/>
    <mergeCell ref="B57:D57"/>
    <mergeCell ref="E57:F57"/>
    <mergeCell ref="B52:D52"/>
    <mergeCell ref="E52:F52"/>
    <mergeCell ref="B53:D53"/>
    <mergeCell ref="E53:F53"/>
    <mergeCell ref="B54:D54"/>
    <mergeCell ref="E54:F54"/>
    <mergeCell ref="B49:D49"/>
    <mergeCell ref="E49:F49"/>
    <mergeCell ref="B50:D50"/>
    <mergeCell ref="E50:F50"/>
    <mergeCell ref="B51:D51"/>
    <mergeCell ref="E51:F51"/>
    <mergeCell ref="B46:D46"/>
    <mergeCell ref="E46:F46"/>
    <mergeCell ref="B47:D47"/>
    <mergeCell ref="E47:F47"/>
    <mergeCell ref="B48:D48"/>
    <mergeCell ref="E48:F48"/>
    <mergeCell ref="B1:G1"/>
    <mergeCell ref="B44:D44"/>
    <mergeCell ref="E44:F44"/>
    <mergeCell ref="G44:H44"/>
    <mergeCell ref="K44:L44"/>
    <mergeCell ref="B45:D45"/>
    <mergeCell ref="E45:F45"/>
    <mergeCell ref="E43:F43"/>
    <mergeCell ref="G43:H43"/>
    <mergeCell ref="K43:L43"/>
    <mergeCell ref="E36:F36"/>
    <mergeCell ref="E37:F37"/>
    <mergeCell ref="K36:L36"/>
    <mergeCell ref="E13:F13"/>
    <mergeCell ref="G13:H13"/>
    <mergeCell ref="K13:L13"/>
    <mergeCell ref="K15:L15"/>
    <mergeCell ref="K16:L16"/>
    <mergeCell ref="K17:L17"/>
    <mergeCell ref="K18:L18"/>
    <mergeCell ref="B33:D33"/>
    <mergeCell ref="B34:D34"/>
    <mergeCell ref="B35:D35"/>
    <mergeCell ref="B36:D36"/>
    <mergeCell ref="A14:M14"/>
    <mergeCell ref="E11:F12"/>
    <mergeCell ref="G11:H12"/>
    <mergeCell ref="I11:I13"/>
    <mergeCell ref="J11:J12"/>
    <mergeCell ref="E15:F15"/>
    <mergeCell ref="E16:F16"/>
    <mergeCell ref="E17:F17"/>
    <mergeCell ref="E18:F18"/>
    <mergeCell ref="K11:M12"/>
    <mergeCell ref="E27:F27"/>
    <mergeCell ref="E28:F28"/>
    <mergeCell ref="E29:F29"/>
    <mergeCell ref="E30:F30"/>
    <mergeCell ref="E20:F20"/>
    <mergeCell ref="K19:L19"/>
    <mergeCell ref="G15:I15"/>
    <mergeCell ref="G16:I16"/>
    <mergeCell ref="G17:I17"/>
    <mergeCell ref="G18:I18"/>
    <mergeCell ref="G19:I19"/>
    <mergeCell ref="E19:F19"/>
    <mergeCell ref="E23:F23"/>
    <mergeCell ref="K20:L20"/>
    <mergeCell ref="K21:L21"/>
    <mergeCell ref="K22:L22"/>
    <mergeCell ref="K23:L23"/>
    <mergeCell ref="K414:L414"/>
    <mergeCell ref="G37:I37"/>
    <mergeCell ref="G22:I22"/>
    <mergeCell ref="G23:I23"/>
    <mergeCell ref="G24:I24"/>
    <mergeCell ref="G25:I25"/>
    <mergeCell ref="G26:I26"/>
    <mergeCell ref="G27:I27"/>
    <mergeCell ref="G28:I28"/>
    <mergeCell ref="G29:I29"/>
    <mergeCell ref="G30:I30"/>
    <mergeCell ref="K37:L37"/>
    <mergeCell ref="G32:I32"/>
    <mergeCell ref="G33:I33"/>
    <mergeCell ref="G34:I34"/>
    <mergeCell ref="G35:I35"/>
    <mergeCell ref="G36:I36"/>
    <mergeCell ref="G59:H59"/>
    <mergeCell ref="K59:L59"/>
    <mergeCell ref="K24:L24"/>
    <mergeCell ref="K25:L25"/>
    <mergeCell ref="K26:L26"/>
    <mergeCell ref="K27:L27"/>
    <mergeCell ref="G196:H196"/>
    <mergeCell ref="G106:H106"/>
    <mergeCell ref="K106:L106"/>
    <mergeCell ref="G151:H151"/>
    <mergeCell ref="K151:L151"/>
    <mergeCell ref="E31:F31"/>
    <mergeCell ref="G31:I31"/>
    <mergeCell ref="E21:F21"/>
    <mergeCell ref="E22:F22"/>
    <mergeCell ref="K41:M42"/>
    <mergeCell ref="E33:F33"/>
    <mergeCell ref="E34:F34"/>
    <mergeCell ref="E35:F35"/>
    <mergeCell ref="G21:I21"/>
    <mergeCell ref="K28:L28"/>
    <mergeCell ref="K29:L29"/>
    <mergeCell ref="K30:L30"/>
    <mergeCell ref="K31:L31"/>
    <mergeCell ref="K32:L32"/>
    <mergeCell ref="K33:L33"/>
    <mergeCell ref="K34:L34"/>
    <mergeCell ref="K35:L35"/>
    <mergeCell ref="E24:F24"/>
    <mergeCell ref="E25:F25"/>
    <mergeCell ref="E26:F26"/>
  </mergeCells>
  <conditionalFormatting sqref="M45:M58 M348:M375 I348:I375 M409:M412 I409:I412 I388:I406 M388:M406 M15:M37 M91:M93 I91:I93 I95 M95 M98:M104 I98:I104">
    <cfRule type="expression" dxfId="830" priority="104">
      <formula>IF(ISBLANK(H15),FALSE,TRUE)</formula>
    </cfRule>
  </conditionalFormatting>
  <conditionalFormatting sqref="I45:I58">
    <cfRule type="expression" dxfId="829" priority="103">
      <formula>IF(ISBLANK(H45),FALSE,TRUE)</formula>
    </cfRule>
  </conditionalFormatting>
  <conditionalFormatting sqref="M60:M72">
    <cfRule type="expression" dxfId="828" priority="102">
      <formula>IF(ISBLANK(L60),FALSE,TRUE)</formula>
    </cfRule>
  </conditionalFormatting>
  <conditionalFormatting sqref="I60:I72">
    <cfRule type="expression" dxfId="827" priority="101">
      <formula>IF(ISBLANK(H60),FALSE,TRUE)</formula>
    </cfRule>
  </conditionalFormatting>
  <conditionalFormatting sqref="M75:M87">
    <cfRule type="expression" dxfId="826" priority="100">
      <formula>IF(ISBLANK(L75),FALSE,TRUE)</formula>
    </cfRule>
  </conditionalFormatting>
  <conditionalFormatting sqref="I75:I87">
    <cfRule type="expression" dxfId="825" priority="99">
      <formula>IF(ISBLANK(H75),FALSE,TRUE)</formula>
    </cfRule>
  </conditionalFormatting>
  <conditionalFormatting sqref="M73">
    <cfRule type="expression" dxfId="824" priority="98">
      <formula>IF(ISBLANK(L73),FALSE,TRUE)</formula>
    </cfRule>
  </conditionalFormatting>
  <conditionalFormatting sqref="I73">
    <cfRule type="expression" dxfId="823" priority="97">
      <formula>IF(ISBLANK(H73),FALSE,TRUE)</formula>
    </cfRule>
  </conditionalFormatting>
  <conditionalFormatting sqref="M88">
    <cfRule type="expression" dxfId="822" priority="96">
      <formula>IF(ISBLANK(L88),FALSE,TRUE)</formula>
    </cfRule>
  </conditionalFormatting>
  <conditionalFormatting sqref="I88">
    <cfRule type="expression" dxfId="821" priority="95">
      <formula>IF(ISBLANK(H88),FALSE,TRUE)</formula>
    </cfRule>
  </conditionalFormatting>
  <conditionalFormatting sqref="M90">
    <cfRule type="expression" dxfId="820" priority="94">
      <formula>IF(ISBLANK(L90),FALSE,TRUE)</formula>
    </cfRule>
  </conditionalFormatting>
  <conditionalFormatting sqref="I90">
    <cfRule type="expression" dxfId="819" priority="93">
      <formula>IF(ISBLANK(H90),FALSE,TRUE)</formula>
    </cfRule>
  </conditionalFormatting>
  <conditionalFormatting sqref="I227:I239">
    <cfRule type="expression" dxfId="818" priority="92">
      <formula>IF(ISBLANK(H227),FALSE,TRUE)</formula>
    </cfRule>
  </conditionalFormatting>
  <conditionalFormatting sqref="M257:M269">
    <cfRule type="expression" dxfId="817" priority="91">
      <formula>IF(ISBLANK(L257),FALSE,TRUE)</formula>
    </cfRule>
  </conditionalFormatting>
  <conditionalFormatting sqref="M107:M119">
    <cfRule type="expression" dxfId="816" priority="90">
      <formula>IF(ISBLANK(L107),FALSE,TRUE)</formula>
    </cfRule>
  </conditionalFormatting>
  <conditionalFormatting sqref="I107:I119">
    <cfRule type="expression" dxfId="815" priority="89">
      <formula>IF(ISBLANK(H107),FALSE,TRUE)</formula>
    </cfRule>
  </conditionalFormatting>
  <conditionalFormatting sqref="I257:I269">
    <cfRule type="expression" dxfId="814" priority="88">
      <formula>IF(ISBLANK(H257),FALSE,TRUE)</formula>
    </cfRule>
  </conditionalFormatting>
  <conditionalFormatting sqref="M242:M254">
    <cfRule type="expression" dxfId="813" priority="87">
      <formula>IF(ISBLANK(L242),FALSE,TRUE)</formula>
    </cfRule>
  </conditionalFormatting>
  <conditionalFormatting sqref="M122:M134">
    <cfRule type="expression" dxfId="812" priority="86">
      <formula>IF(ISBLANK(L122),FALSE,TRUE)</formula>
    </cfRule>
  </conditionalFormatting>
  <conditionalFormatting sqref="I122:I134">
    <cfRule type="expression" dxfId="811" priority="85">
      <formula>IF(ISBLANK(H122),FALSE,TRUE)</formula>
    </cfRule>
  </conditionalFormatting>
  <conditionalFormatting sqref="I242:I254">
    <cfRule type="expression" dxfId="810" priority="84">
      <formula>IF(ISBLANK(H242),FALSE,TRUE)</formula>
    </cfRule>
  </conditionalFormatting>
  <conditionalFormatting sqref="M272:M284">
    <cfRule type="expression" dxfId="809" priority="83">
      <formula>IF(ISBLANK(L272),FALSE,TRUE)</formula>
    </cfRule>
  </conditionalFormatting>
  <conditionalFormatting sqref="M137:M149">
    <cfRule type="expression" dxfId="808" priority="82">
      <formula>IF(ISBLANK(L137),FALSE,TRUE)</formula>
    </cfRule>
  </conditionalFormatting>
  <conditionalFormatting sqref="I137:I149">
    <cfRule type="expression" dxfId="807" priority="81">
      <formula>IF(ISBLANK(H137),FALSE,TRUE)</formula>
    </cfRule>
  </conditionalFormatting>
  <conditionalFormatting sqref="I272:I284">
    <cfRule type="expression" dxfId="806" priority="80">
      <formula>IF(ISBLANK(H272),FALSE,TRUE)</formula>
    </cfRule>
  </conditionalFormatting>
  <conditionalFormatting sqref="M152:M164">
    <cfRule type="expression" dxfId="805" priority="79">
      <formula>IF(ISBLANK(L152),FALSE,TRUE)</formula>
    </cfRule>
  </conditionalFormatting>
  <conditionalFormatting sqref="I152:I164">
    <cfRule type="expression" dxfId="804" priority="78">
      <formula>IF(ISBLANK(H152),FALSE,TRUE)</formula>
    </cfRule>
  </conditionalFormatting>
  <conditionalFormatting sqref="M287:M299">
    <cfRule type="expression" dxfId="803" priority="77">
      <formula>IF(ISBLANK(L287),FALSE,TRUE)</formula>
    </cfRule>
  </conditionalFormatting>
  <conditionalFormatting sqref="M167:M179">
    <cfRule type="expression" dxfId="802" priority="76">
      <formula>IF(ISBLANK(L167),FALSE,TRUE)</formula>
    </cfRule>
  </conditionalFormatting>
  <conditionalFormatting sqref="I167:I179">
    <cfRule type="expression" dxfId="801" priority="75">
      <formula>IF(ISBLANK(H167),FALSE,TRUE)</formula>
    </cfRule>
  </conditionalFormatting>
  <conditionalFormatting sqref="I287:I299">
    <cfRule type="expression" dxfId="800" priority="74">
      <formula>IF(ISBLANK(H287),FALSE,TRUE)</formula>
    </cfRule>
  </conditionalFormatting>
  <conditionalFormatting sqref="M182:M194">
    <cfRule type="expression" dxfId="799" priority="73">
      <formula>IF(ISBLANK(L182),FALSE,TRUE)</formula>
    </cfRule>
  </conditionalFormatting>
  <conditionalFormatting sqref="I182:I194">
    <cfRule type="expression" dxfId="798" priority="72">
      <formula>IF(ISBLANK(H182),FALSE,TRUE)</formula>
    </cfRule>
  </conditionalFormatting>
  <conditionalFormatting sqref="M302:M314">
    <cfRule type="expression" dxfId="797" priority="71">
      <formula>IF(ISBLANK(L302),FALSE,TRUE)</formula>
    </cfRule>
  </conditionalFormatting>
  <conditionalFormatting sqref="M197:M209">
    <cfRule type="expression" dxfId="796" priority="70">
      <formula>IF(ISBLANK(L197),FALSE,TRUE)</formula>
    </cfRule>
  </conditionalFormatting>
  <conditionalFormatting sqref="I197:I209">
    <cfRule type="expression" dxfId="795" priority="69">
      <formula>IF(ISBLANK(H197),FALSE,TRUE)</formula>
    </cfRule>
  </conditionalFormatting>
  <conditionalFormatting sqref="I302:I314">
    <cfRule type="expression" dxfId="794" priority="68">
      <formula>IF(ISBLANK(H302),FALSE,TRUE)</formula>
    </cfRule>
  </conditionalFormatting>
  <conditionalFormatting sqref="M212:M224">
    <cfRule type="expression" dxfId="793" priority="67">
      <formula>IF(ISBLANK(L212),FALSE,TRUE)</formula>
    </cfRule>
  </conditionalFormatting>
  <conditionalFormatting sqref="I212:I224">
    <cfRule type="expression" dxfId="792" priority="66">
      <formula>IF(ISBLANK(H212),FALSE,TRUE)</formula>
    </cfRule>
  </conditionalFormatting>
  <conditionalFormatting sqref="M317:M329">
    <cfRule type="expression" dxfId="791" priority="65">
      <formula>IF(ISBLANK(L317),FALSE,TRUE)</formula>
    </cfRule>
  </conditionalFormatting>
  <conditionalFormatting sqref="M227:M239">
    <cfRule type="expression" dxfId="790" priority="64">
      <formula>IF(ISBLANK(L227),FALSE,TRUE)</formula>
    </cfRule>
  </conditionalFormatting>
  <conditionalFormatting sqref="I317:I329">
    <cfRule type="expression" dxfId="789" priority="63">
      <formula>IF(ISBLANK(H317),FALSE,TRUE)</formula>
    </cfRule>
  </conditionalFormatting>
  <conditionalFormatting sqref="M333:M345">
    <cfRule type="expression" dxfId="788" priority="62">
      <formula>IF(ISBLANK(L333),FALSE,TRUE)</formula>
    </cfRule>
  </conditionalFormatting>
  <conditionalFormatting sqref="I333:I345">
    <cfRule type="expression" dxfId="787" priority="61">
      <formula>IF(ISBLANK(H333),FALSE,TRUE)</formula>
    </cfRule>
  </conditionalFormatting>
  <conditionalFormatting sqref="M105">
    <cfRule type="expression" dxfId="786" priority="60">
      <formula>IF(ISBLANK(L105),FALSE,TRUE)</formula>
    </cfRule>
  </conditionalFormatting>
  <conditionalFormatting sqref="I105">
    <cfRule type="expression" dxfId="785" priority="59">
      <formula>IF(ISBLANK(H105),FALSE,TRUE)</formula>
    </cfRule>
  </conditionalFormatting>
  <conditionalFormatting sqref="M120">
    <cfRule type="expression" dxfId="784" priority="58">
      <formula>IF(ISBLANK(L120),FALSE,TRUE)</formula>
    </cfRule>
  </conditionalFormatting>
  <conditionalFormatting sqref="I120">
    <cfRule type="expression" dxfId="783" priority="57">
      <formula>IF(ISBLANK(H120),FALSE,TRUE)</formula>
    </cfRule>
  </conditionalFormatting>
  <conditionalFormatting sqref="M135">
    <cfRule type="expression" dxfId="782" priority="56">
      <formula>IF(ISBLANK(L135),FALSE,TRUE)</formula>
    </cfRule>
  </conditionalFormatting>
  <conditionalFormatting sqref="I135">
    <cfRule type="expression" dxfId="781" priority="55">
      <formula>IF(ISBLANK(H135),FALSE,TRUE)</formula>
    </cfRule>
  </conditionalFormatting>
  <conditionalFormatting sqref="M150">
    <cfRule type="expression" dxfId="780" priority="54">
      <formula>IF(ISBLANK(L150),FALSE,TRUE)</formula>
    </cfRule>
  </conditionalFormatting>
  <conditionalFormatting sqref="I150">
    <cfRule type="expression" dxfId="779" priority="53">
      <formula>IF(ISBLANK(H150),FALSE,TRUE)</formula>
    </cfRule>
  </conditionalFormatting>
  <conditionalFormatting sqref="M165">
    <cfRule type="expression" dxfId="778" priority="52">
      <formula>IF(ISBLANK(L165),FALSE,TRUE)</formula>
    </cfRule>
  </conditionalFormatting>
  <conditionalFormatting sqref="I165">
    <cfRule type="expression" dxfId="777" priority="51">
      <formula>IF(ISBLANK(H165),FALSE,TRUE)</formula>
    </cfRule>
  </conditionalFormatting>
  <conditionalFormatting sqref="M180">
    <cfRule type="expression" dxfId="776" priority="50">
      <formula>IF(ISBLANK(L180),FALSE,TRUE)</formula>
    </cfRule>
  </conditionalFormatting>
  <conditionalFormatting sqref="I180">
    <cfRule type="expression" dxfId="775" priority="49">
      <formula>IF(ISBLANK(H180),FALSE,TRUE)</formula>
    </cfRule>
  </conditionalFormatting>
  <conditionalFormatting sqref="M195">
    <cfRule type="expression" dxfId="774" priority="48">
      <formula>IF(ISBLANK(L195),FALSE,TRUE)</formula>
    </cfRule>
  </conditionalFormatting>
  <conditionalFormatting sqref="I195">
    <cfRule type="expression" dxfId="773" priority="47">
      <formula>IF(ISBLANK(H195),FALSE,TRUE)</formula>
    </cfRule>
  </conditionalFormatting>
  <conditionalFormatting sqref="M210">
    <cfRule type="expression" dxfId="772" priority="46">
      <formula>IF(ISBLANK(L210),FALSE,TRUE)</formula>
    </cfRule>
  </conditionalFormatting>
  <conditionalFormatting sqref="I210">
    <cfRule type="expression" dxfId="771" priority="45">
      <formula>IF(ISBLANK(H210),FALSE,TRUE)</formula>
    </cfRule>
  </conditionalFormatting>
  <conditionalFormatting sqref="M225">
    <cfRule type="expression" dxfId="770" priority="44">
      <formula>IF(ISBLANK(L225),FALSE,TRUE)</formula>
    </cfRule>
  </conditionalFormatting>
  <conditionalFormatting sqref="I225">
    <cfRule type="expression" dxfId="769" priority="43">
      <formula>IF(ISBLANK(H225),FALSE,TRUE)</formula>
    </cfRule>
  </conditionalFormatting>
  <conditionalFormatting sqref="M240">
    <cfRule type="expression" dxfId="768" priority="42">
      <formula>IF(ISBLANK(L240),FALSE,TRUE)</formula>
    </cfRule>
  </conditionalFormatting>
  <conditionalFormatting sqref="I240">
    <cfRule type="expression" dxfId="767" priority="41">
      <formula>IF(ISBLANK(H240),FALSE,TRUE)</formula>
    </cfRule>
  </conditionalFormatting>
  <conditionalFormatting sqref="M255">
    <cfRule type="expression" dxfId="766" priority="40">
      <formula>IF(ISBLANK(L255),FALSE,TRUE)</formula>
    </cfRule>
  </conditionalFormatting>
  <conditionalFormatting sqref="I255">
    <cfRule type="expression" dxfId="765" priority="39">
      <formula>IF(ISBLANK(H255),FALSE,TRUE)</formula>
    </cfRule>
  </conditionalFormatting>
  <conditionalFormatting sqref="M270">
    <cfRule type="expression" dxfId="764" priority="38">
      <formula>IF(ISBLANK(L270),FALSE,TRUE)</formula>
    </cfRule>
  </conditionalFormatting>
  <conditionalFormatting sqref="I270">
    <cfRule type="expression" dxfId="763" priority="37">
      <formula>IF(ISBLANK(H270),FALSE,TRUE)</formula>
    </cfRule>
  </conditionalFormatting>
  <conditionalFormatting sqref="M285">
    <cfRule type="expression" dxfId="762" priority="36">
      <formula>IF(ISBLANK(L285),FALSE,TRUE)</formula>
    </cfRule>
  </conditionalFormatting>
  <conditionalFormatting sqref="I285">
    <cfRule type="expression" dxfId="761" priority="35">
      <formula>IF(ISBLANK(H285),FALSE,TRUE)</formula>
    </cfRule>
  </conditionalFormatting>
  <conditionalFormatting sqref="M300">
    <cfRule type="expression" dxfId="760" priority="34">
      <formula>IF(ISBLANK(L300),FALSE,TRUE)</formula>
    </cfRule>
  </conditionalFormatting>
  <conditionalFormatting sqref="I300">
    <cfRule type="expression" dxfId="759" priority="33">
      <formula>IF(ISBLANK(H300),FALSE,TRUE)</formula>
    </cfRule>
  </conditionalFormatting>
  <conditionalFormatting sqref="M315">
    <cfRule type="expression" dxfId="758" priority="32">
      <formula>IF(ISBLANK(L315),FALSE,TRUE)</formula>
    </cfRule>
  </conditionalFormatting>
  <conditionalFormatting sqref="I315">
    <cfRule type="expression" dxfId="757" priority="31">
      <formula>IF(ISBLANK(H315),FALSE,TRUE)</formula>
    </cfRule>
  </conditionalFormatting>
  <conditionalFormatting sqref="M330">
    <cfRule type="expression" dxfId="756" priority="30">
      <formula>IF(ISBLANK(L330),FALSE,TRUE)</formula>
    </cfRule>
  </conditionalFormatting>
  <conditionalFormatting sqref="I330">
    <cfRule type="expression" dxfId="755" priority="29">
      <formula>IF(ISBLANK(H330),FALSE,TRUE)</formula>
    </cfRule>
  </conditionalFormatting>
  <conditionalFormatting sqref="I413">
    <cfRule type="expression" dxfId="754" priority="28">
      <formula>IF(ISBLANK(H413),FALSE,TRUE)</formula>
    </cfRule>
  </conditionalFormatting>
  <conditionalFormatting sqref="M346">
    <cfRule type="expression" dxfId="753" priority="27">
      <formula>IF(ISBLANK(L346),FALSE,TRUE)</formula>
    </cfRule>
  </conditionalFormatting>
  <conditionalFormatting sqref="I346">
    <cfRule type="expression" dxfId="752" priority="26">
      <formula>IF(ISBLANK(H346),FALSE,TRUE)</formula>
    </cfRule>
  </conditionalFormatting>
  <conditionalFormatting sqref="M413">
    <cfRule type="expression" dxfId="751" priority="25">
      <formula>IF(ISBLANK(L413),FALSE,TRUE)</formula>
    </cfRule>
  </conditionalFormatting>
  <conditionalFormatting sqref="M376:M387 I376:I387">
    <cfRule type="expression" dxfId="750" priority="23">
      <formula>IF(ISBLANK(H376),FALSE,TRUE)</formula>
    </cfRule>
  </conditionalFormatting>
  <conditionalFormatting sqref="M407">
    <cfRule type="expression" dxfId="749" priority="20">
      <formula>IF(ISBLANK(L407),FALSE,TRUE)</formula>
    </cfRule>
  </conditionalFormatting>
  <conditionalFormatting sqref="I407">
    <cfRule type="expression" dxfId="748" priority="19">
      <formula>IF(ISBLANK(H407),FALSE,TRUE)</formula>
    </cfRule>
  </conditionalFormatting>
  <conditionalFormatting sqref="G45:G57 K15:K37 G15:G37 G91:G93 K91:K93 K95 G95 G98:G104 K98:K104">
    <cfRule type="expression" dxfId="747" priority="18">
      <formula>H15&lt;&gt;""</formula>
    </cfRule>
  </conditionalFormatting>
  <conditionalFormatting sqref="G60:G70">
    <cfRule type="expression" dxfId="746" priority="17">
      <formula>H60&lt;&gt;""</formula>
    </cfRule>
  </conditionalFormatting>
  <conditionalFormatting sqref="G75:G87 G90 G107:G119 G122:G134 G137:G149 G152:G164 G167:G179 G182:G194 G197:G209 G212:G224 G227:G239 G242:G254 G257:G269 G272:G284 G287:G299 G302:G314 G317:G329 G333:G345 G348:G360">
    <cfRule type="expression" dxfId="745" priority="16">
      <formula>H75&lt;&gt;""</formula>
    </cfRule>
  </conditionalFormatting>
  <conditionalFormatting sqref="K45:K57 K60:K72 K75:K87 K90 K107:K119 K122:K134 K137:K149 K152:K164 K167:K179 K182:K194 K197:K209 K212:K224 K227:K239 K242:K254 K257:K269 K272:K284 K287:K299 K302:K314 K317:K329 K333:K345">
    <cfRule type="expression" dxfId="744" priority="15">
      <formula>L45&lt;&gt;""</formula>
    </cfRule>
  </conditionalFormatting>
  <conditionalFormatting sqref="E15">
    <cfRule type="expression" dxfId="743" priority="10">
      <formula>$X$11</formula>
    </cfRule>
  </conditionalFormatting>
  <conditionalFormatting sqref="J15">
    <cfRule type="expression" dxfId="742" priority="9">
      <formula>$X$11</formula>
    </cfRule>
  </conditionalFormatting>
  <conditionalFormatting sqref="M15">
    <cfRule type="expression" dxfId="741" priority="8">
      <formula>$X$11</formula>
    </cfRule>
  </conditionalFormatting>
  <conditionalFormatting sqref="M414">
    <cfRule type="expression" dxfId="740" priority="7">
      <formula>IF(ISBLANK(L414),FALSE,TRUE)</formula>
    </cfRule>
  </conditionalFormatting>
  <conditionalFormatting sqref="M94 I94">
    <cfRule type="expression" dxfId="739" priority="6">
      <formula>IF(ISBLANK(H94),FALSE,TRUE)</formula>
    </cfRule>
  </conditionalFormatting>
  <conditionalFormatting sqref="G94 K94">
    <cfRule type="expression" dxfId="738" priority="5">
      <formula>H94&lt;&gt;""</formula>
    </cfRule>
  </conditionalFormatting>
  <conditionalFormatting sqref="I96 M96">
    <cfRule type="expression" dxfId="737" priority="4">
      <formula>IF(ISBLANK(H96),FALSE,TRUE)</formula>
    </cfRule>
  </conditionalFormatting>
  <conditionalFormatting sqref="K96 G96">
    <cfRule type="expression" dxfId="736" priority="3">
      <formula>H96&lt;&gt;""</formula>
    </cfRule>
  </conditionalFormatting>
  <conditionalFormatting sqref="I97 M97">
    <cfRule type="expression" dxfId="735" priority="2">
      <formula>IF(ISBLANK(H97),FALSE,TRUE)</formula>
    </cfRule>
  </conditionalFormatting>
  <conditionalFormatting sqref="K97 G97">
    <cfRule type="expression" dxfId="734" priority="1">
      <formula>H97&lt;&gt;""</formula>
    </cfRule>
  </conditionalFormatting>
  <hyperlinks>
    <hyperlink ref="F2" location="Neu_in_Version" display="i"/>
  </hyperlinks>
  <pageMargins left="0.70866141732283472" right="0.70866141732283472" top="0.39370078740157483" bottom="0.98425196850393704" header="0.39370078740157483" footer="0.39370078740157483"/>
  <pageSetup paperSize="9" scale="82" firstPageNumber="3" fitToHeight="0" orientation="portrait" r:id="rId1"/>
  <headerFooter scaleWithDoc="0">
    <oddFooter>&amp;L&amp;8Das Amt für Hochbauten ist eine Dienstabteilung des
Hochbaudepartements der Stadt Zürich&amp;CSeite &amp;P/&amp;N&amp;6
                                                          &amp;D/&amp;F&amp;R&amp;G</oddFooter>
  </headerFooter>
  <rowBreaks count="6" manualBreakCount="6">
    <brk id="73" max="12" man="1"/>
    <brk id="135" max="12" man="1"/>
    <brk id="195" max="12" man="1"/>
    <brk id="255" max="12" man="1"/>
    <brk id="315" max="12" man="1"/>
    <brk id="346" max="12" man="1"/>
  </rowBreaks>
  <drawing r:id="rId2"/>
  <legacyDrawing r:id="rId3"/>
  <legacyDrawingHF r:id="rId4"/>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9" tint="0.39997558519241921"/>
    <outlinePr summaryBelow="0"/>
    <pageSetUpPr fitToPage="1"/>
  </sheetPr>
  <dimension ref="A1:BV167"/>
  <sheetViews>
    <sheetView showGridLines="0" showZeros="0" zoomScaleNormal="100" zoomScaleSheetLayoutView="100" workbookViewId="0">
      <pane ySplit="8" topLeftCell="A9" activePane="bottomLeft" state="frozen"/>
      <selection activeCell="G64" sqref="G64:I64"/>
      <selection pane="bottomLeft" activeCell="A15" sqref="A15"/>
    </sheetView>
  </sheetViews>
  <sheetFormatPr baseColWidth="10" defaultColWidth="11.375" defaultRowHeight="12.9" customHeight="1" x14ac:dyDescent="0.2"/>
  <cols>
    <col min="1" max="1" width="15.375" style="86" customWidth="1"/>
    <col min="2" max="2" width="13.75" style="86" customWidth="1"/>
    <col min="3" max="3" width="9.375" style="84" customWidth="1"/>
    <col min="4" max="5" width="6.625" style="84" customWidth="1"/>
    <col min="6" max="6" width="6.25" style="84" customWidth="1"/>
    <col min="7" max="7" width="8.625" style="84" customWidth="1"/>
    <col min="8" max="9" width="4.375" style="83" customWidth="1"/>
    <col min="10" max="10" width="10.75" style="83" customWidth="1"/>
    <col min="11" max="11" width="4.875" style="86" customWidth="1"/>
    <col min="12" max="13" width="4.25" style="86" customWidth="1"/>
    <col min="14" max="14" width="9.75" style="86" customWidth="1"/>
    <col min="15" max="15" width="4.25" style="86" customWidth="1"/>
    <col min="16" max="16" width="15.75" style="86" customWidth="1"/>
    <col min="17" max="19" width="8.75" style="1178" customWidth="1"/>
    <col min="20" max="20" width="8.75" style="1210" customWidth="1"/>
    <col min="21" max="33" width="8.75" style="1178" customWidth="1"/>
    <col min="34" max="36" width="8.75" style="380" customWidth="1"/>
    <col min="37" max="69" width="8.75" style="381" customWidth="1"/>
    <col min="70" max="70" width="5" style="83" customWidth="1"/>
    <col min="71" max="16384" width="11.375" style="83"/>
  </cols>
  <sheetData>
    <row r="1" spans="1:74" s="821" customFormat="1" ht="56.25" customHeight="1" x14ac:dyDescent="0.2">
      <c r="A1" s="1131"/>
      <c r="B1" s="1131"/>
      <c r="C1" s="2705"/>
      <c r="D1" s="2705"/>
      <c r="E1" s="2705"/>
      <c r="F1" s="2705"/>
      <c r="G1" s="2705"/>
      <c r="H1" s="2705"/>
      <c r="I1" s="313"/>
      <c r="J1" s="313"/>
      <c r="K1" s="313"/>
      <c r="L1" s="313"/>
      <c r="M1" s="313"/>
      <c r="N1" s="313"/>
      <c r="O1" s="313"/>
      <c r="P1" s="313"/>
      <c r="Q1" s="1199"/>
      <c r="R1" s="1200"/>
      <c r="S1" s="1201"/>
      <c r="T1" s="1201"/>
      <c r="U1" s="1201"/>
      <c r="V1" s="1201"/>
      <c r="W1" s="1201"/>
      <c r="X1" s="1201"/>
      <c r="Y1" s="1201"/>
      <c r="Z1" s="1201"/>
      <c r="AA1" s="1201"/>
      <c r="AB1" s="1201"/>
      <c r="AC1" s="1201"/>
      <c r="AD1" s="1201"/>
      <c r="AE1" s="1201"/>
      <c r="AF1" s="1202"/>
      <c r="AG1" s="1202"/>
      <c r="AH1" s="1203"/>
      <c r="AI1" s="1203"/>
      <c r="AJ1" s="1203"/>
      <c r="AK1" s="1203"/>
      <c r="AL1" s="1203"/>
      <c r="AM1" s="1203"/>
      <c r="AN1" s="1203"/>
      <c r="AO1" s="1203"/>
      <c r="AP1" s="1203"/>
      <c r="AQ1" s="1203"/>
      <c r="AR1" s="1203"/>
      <c r="AS1" s="1203"/>
      <c r="AT1" s="1203"/>
      <c r="AU1" s="1203"/>
      <c r="AV1" s="1203"/>
      <c r="AW1" s="1203"/>
      <c r="AX1" s="1203"/>
      <c r="AY1" s="1203"/>
      <c r="AZ1" s="1203"/>
      <c r="BA1" s="1203"/>
      <c r="BB1" s="1203"/>
      <c r="BC1" s="1203"/>
      <c r="BD1" s="1203"/>
      <c r="BE1" s="1203"/>
      <c r="BF1" s="1203"/>
      <c r="BG1" s="1203"/>
      <c r="BH1" s="1203"/>
      <c r="BI1" s="1203"/>
      <c r="BJ1" s="1203"/>
      <c r="BK1" s="1203"/>
      <c r="BL1" s="1203"/>
      <c r="BM1" s="1203"/>
      <c r="BN1" s="1203"/>
      <c r="BO1" s="1203"/>
      <c r="BP1" s="1203"/>
      <c r="BQ1" s="1203"/>
      <c r="BR1" s="314"/>
      <c r="BS1" s="314"/>
      <c r="BT1" s="314"/>
      <c r="BU1" s="314"/>
    </row>
    <row r="2" spans="1:74" s="821" customFormat="1" ht="13.6" customHeight="1" x14ac:dyDescent="0.25">
      <c r="A2" s="1132" t="str">
        <f>CONCATENATE("Variantenvergleich Energiesysteme - Version ",Versionsinfo!$B$4)</f>
        <v>Variantenvergleich Energiesysteme - Version 2.2</v>
      </c>
      <c r="B2" s="1132"/>
      <c r="C2" s="314"/>
      <c r="D2" s="314"/>
      <c r="E2" s="314"/>
      <c r="F2" s="1535"/>
      <c r="G2" s="1536" t="s">
        <v>684</v>
      </c>
      <c r="H2" s="313"/>
      <c r="I2" s="313"/>
      <c r="J2" s="313"/>
      <c r="K2" s="313"/>
      <c r="L2" s="313"/>
      <c r="M2" s="313"/>
      <c r="N2" s="313"/>
      <c r="O2" s="313"/>
      <c r="P2" s="1204"/>
      <c r="Q2" s="1204"/>
      <c r="R2" s="1204"/>
      <c r="S2" s="1204"/>
      <c r="T2" s="1204"/>
      <c r="U2" s="1205"/>
      <c r="V2" s="1206"/>
      <c r="W2" s="1201"/>
      <c r="X2" s="1201"/>
      <c r="Y2" s="1201"/>
      <c r="Z2" s="1201"/>
      <c r="AA2" s="1201"/>
      <c r="AB2" s="1201"/>
      <c r="AC2" s="1201"/>
      <c r="AD2" s="1201"/>
      <c r="AE2" s="1201"/>
      <c r="AF2" s="1202"/>
      <c r="AG2" s="1202"/>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4"/>
      <c r="BS2" s="1204"/>
      <c r="BT2" s="1204"/>
      <c r="BU2" s="1204"/>
      <c r="BV2" s="199"/>
    </row>
    <row r="3" spans="1:74" s="821" customFormat="1" ht="12.75" customHeight="1" x14ac:dyDescent="0.2">
      <c r="A3" s="1133" t="s">
        <v>178</v>
      </c>
      <c r="B3" s="1133"/>
      <c r="C3" s="314"/>
      <c r="D3" s="314"/>
      <c r="E3" s="314"/>
      <c r="F3" s="314"/>
      <c r="G3" s="314"/>
      <c r="H3" s="314"/>
      <c r="I3" s="314"/>
      <c r="J3" s="314"/>
      <c r="K3" s="314"/>
      <c r="L3" s="314"/>
      <c r="M3" s="314"/>
      <c r="N3" s="314"/>
      <c r="O3" s="314"/>
      <c r="P3" s="1204"/>
      <c r="Q3" s="1204"/>
      <c r="R3" s="1204"/>
      <c r="S3" s="1204"/>
      <c r="T3" s="1204"/>
      <c r="U3" s="1202"/>
      <c r="V3" s="1202"/>
      <c r="W3" s="1202"/>
      <c r="X3" s="1202"/>
      <c r="Y3" s="1202"/>
      <c r="Z3" s="1202"/>
      <c r="AA3" s="1202"/>
      <c r="AB3" s="1202"/>
      <c r="AC3" s="1202"/>
      <c r="AD3" s="1202"/>
      <c r="AE3" s="1202"/>
      <c r="AF3" s="1202"/>
      <c r="AG3" s="1202"/>
      <c r="AH3" s="1203"/>
      <c r="AI3" s="1203"/>
      <c r="AJ3" s="1203"/>
      <c r="AK3" s="1203"/>
      <c r="AL3" s="1203"/>
      <c r="AM3" s="1203"/>
      <c r="AN3" s="1203"/>
      <c r="AO3" s="1203"/>
      <c r="AP3" s="1203"/>
      <c r="AQ3" s="1203"/>
      <c r="AR3" s="1203"/>
      <c r="AS3" s="1203"/>
      <c r="AT3" s="1203"/>
      <c r="AU3" s="1203"/>
      <c r="AV3" s="1203"/>
      <c r="AW3" s="1203"/>
      <c r="AX3" s="1203"/>
      <c r="AY3" s="1203"/>
      <c r="AZ3" s="1203"/>
      <c r="BA3" s="1203"/>
      <c r="BB3" s="1203"/>
      <c r="BC3" s="1203"/>
      <c r="BD3" s="1203"/>
      <c r="BE3" s="1203"/>
      <c r="BF3" s="1203"/>
      <c r="BG3" s="1203"/>
      <c r="BH3" s="1203"/>
      <c r="BI3" s="1203"/>
      <c r="BJ3" s="1203"/>
      <c r="BK3" s="1203"/>
      <c r="BL3" s="1203"/>
      <c r="BM3" s="1203"/>
      <c r="BN3" s="1203"/>
      <c r="BO3" s="1203"/>
      <c r="BP3" s="1203"/>
      <c r="BQ3" s="1203"/>
      <c r="BR3" s="1204"/>
      <c r="BS3" s="1204"/>
      <c r="BT3" s="1204"/>
      <c r="BU3" s="1204"/>
      <c r="BV3" s="199"/>
    </row>
    <row r="4" spans="1:74" s="821" customFormat="1" ht="23.95" customHeight="1" x14ac:dyDescent="0.2">
      <c r="A4" s="314"/>
      <c r="B4" s="314"/>
      <c r="C4" s="314"/>
      <c r="D4" s="314"/>
      <c r="E4" s="314"/>
      <c r="F4" s="314"/>
      <c r="G4" s="314"/>
      <c r="H4" s="314"/>
      <c r="I4" s="314"/>
      <c r="J4" s="314"/>
      <c r="K4" s="314"/>
      <c r="L4" s="314"/>
      <c r="M4" s="314"/>
      <c r="N4" s="314"/>
      <c r="O4" s="314"/>
      <c r="P4" s="314"/>
      <c r="Q4" s="1202"/>
      <c r="R4" s="1207"/>
      <c r="S4" s="1208"/>
      <c r="T4" s="1202"/>
      <c r="U4" s="1202"/>
      <c r="V4" s="1202"/>
      <c r="W4" s="1202"/>
      <c r="X4" s="1202"/>
      <c r="Y4" s="1202"/>
      <c r="Z4" s="1202"/>
      <c r="AA4" s="1202"/>
      <c r="AB4" s="1202"/>
      <c r="AC4" s="1202"/>
      <c r="AD4" s="1202"/>
      <c r="AE4" s="1202"/>
      <c r="AF4" s="1202"/>
      <c r="AG4" s="1202"/>
      <c r="AH4" s="1203"/>
      <c r="AI4" s="1203"/>
      <c r="AJ4" s="1203"/>
      <c r="AK4" s="1203"/>
      <c r="AL4" s="1203"/>
      <c r="AM4" s="1203"/>
      <c r="AN4" s="1203"/>
      <c r="AO4" s="1203"/>
      <c r="AP4" s="1203"/>
      <c r="AQ4" s="1203"/>
      <c r="AR4" s="1203"/>
      <c r="AS4" s="1203"/>
      <c r="AT4" s="1203"/>
      <c r="AU4" s="1203"/>
      <c r="AV4" s="1203"/>
      <c r="AW4" s="1203"/>
      <c r="AX4" s="1203"/>
      <c r="AY4" s="1203"/>
      <c r="AZ4" s="1203"/>
      <c r="BA4" s="1203"/>
      <c r="BB4" s="1203"/>
      <c r="BC4" s="1203"/>
      <c r="BD4" s="1203"/>
      <c r="BE4" s="1203"/>
      <c r="BF4" s="1203"/>
      <c r="BG4" s="1203"/>
      <c r="BH4" s="1203"/>
      <c r="BI4" s="1203"/>
      <c r="BJ4" s="1203"/>
      <c r="BK4" s="1203"/>
      <c r="BL4" s="1203"/>
      <c r="BM4" s="1203"/>
      <c r="BN4" s="1203"/>
      <c r="BO4" s="1203"/>
      <c r="BP4" s="1203"/>
      <c r="BQ4" s="1203"/>
      <c r="BR4" s="314"/>
      <c r="BS4" s="314"/>
      <c r="BT4" s="314"/>
      <c r="BU4" s="314"/>
    </row>
    <row r="5" spans="1:74" s="108" customFormat="1" ht="12.9" customHeight="1" x14ac:dyDescent="0.2">
      <c r="A5" s="1308">
        <f>Projektdaten!C8</f>
        <v>0</v>
      </c>
      <c r="B5" s="1308"/>
      <c r="L5" s="164"/>
      <c r="M5" s="164"/>
      <c r="N5" s="164">
        <f>Projektdaten!I8</f>
        <v>0</v>
      </c>
      <c r="P5" s="164"/>
      <c r="Q5" s="1178"/>
      <c r="R5" s="1209"/>
      <c r="S5" s="314"/>
      <c r="T5" s="1210"/>
      <c r="U5" s="1178"/>
      <c r="V5" s="1178"/>
      <c r="W5" s="1178"/>
      <c r="X5" s="1178"/>
      <c r="Y5" s="1178"/>
      <c r="Z5" s="1178"/>
      <c r="AA5" s="1178"/>
      <c r="AB5" s="1178"/>
      <c r="AC5" s="1178"/>
      <c r="AD5" s="1178"/>
      <c r="AE5" s="1178"/>
      <c r="AF5" s="1178"/>
      <c r="AG5" s="1178"/>
      <c r="AH5" s="380"/>
      <c r="AI5" s="380"/>
      <c r="AJ5" s="380"/>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row>
    <row r="6" spans="1:74" ht="5.3" customHeight="1" x14ac:dyDescent="0.2"/>
    <row r="7" spans="1:74" s="106" customFormat="1" ht="14.95" customHeight="1" x14ac:dyDescent="0.3">
      <c r="A7" s="521" t="s">
        <v>556</v>
      </c>
      <c r="B7" s="521"/>
      <c r="C7" s="343">
        <f>EV_Var2!E6</f>
        <v>0</v>
      </c>
      <c r="D7" s="343"/>
      <c r="E7" s="343"/>
      <c r="F7" s="165"/>
      <c r="G7" s="165"/>
      <c r="H7" s="1134"/>
      <c r="I7" s="1134"/>
      <c r="J7" s="1135"/>
      <c r="K7" s="1135"/>
      <c r="L7" s="1135"/>
      <c r="M7" s="1135"/>
      <c r="N7" s="1135"/>
      <c r="P7" s="315"/>
      <c r="Q7" s="1211"/>
      <c r="R7" s="1212"/>
      <c r="S7" s="1213" t="s">
        <v>12</v>
      </c>
      <c r="T7" s="1180"/>
      <c r="U7" s="1214"/>
      <c r="V7" s="1215"/>
      <c r="W7" s="1214"/>
      <c r="X7" s="1214"/>
      <c r="Y7" s="1214"/>
      <c r="Z7" s="1214"/>
      <c r="AA7" s="1214"/>
      <c r="AB7" s="1216"/>
      <c r="AC7" s="1216"/>
      <c r="AD7" s="1216"/>
      <c r="AE7" s="1216"/>
      <c r="AF7" s="1216"/>
      <c r="AG7" s="1216"/>
      <c r="AH7" s="444"/>
      <c r="AI7" s="444"/>
      <c r="AJ7" s="444"/>
      <c r="AK7" s="445"/>
      <c r="AL7" s="445"/>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row>
    <row r="8" spans="1:74" s="104" customFormat="1" ht="5.95" customHeight="1" x14ac:dyDescent="0.3">
      <c r="A8" s="105"/>
      <c r="B8" s="105"/>
      <c r="H8" s="31" t="s">
        <v>12</v>
      </c>
      <c r="I8" s="31"/>
      <c r="J8" s="84"/>
      <c r="K8" s="84"/>
      <c r="L8" s="84"/>
      <c r="M8" s="84"/>
      <c r="N8" s="84"/>
      <c r="O8" s="84"/>
      <c r="P8" s="84"/>
      <c r="Q8" s="1178"/>
      <c r="R8" s="1176" t="s">
        <v>12</v>
      </c>
      <c r="S8" s="1217" t="s">
        <v>12</v>
      </c>
      <c r="T8" s="1180"/>
      <c r="U8" s="1177"/>
      <c r="V8" s="1177"/>
      <c r="W8" s="1177"/>
      <c r="X8" s="1177"/>
      <c r="Y8" s="1177"/>
      <c r="Z8" s="1177"/>
      <c r="AA8" s="1177"/>
      <c r="AB8" s="1178"/>
      <c r="AC8" s="1178"/>
      <c r="AD8" s="1178"/>
      <c r="AE8" s="1178"/>
      <c r="AF8" s="1178"/>
      <c r="AG8" s="1178"/>
      <c r="AH8" s="380"/>
      <c r="AI8" s="380"/>
      <c r="AJ8" s="380"/>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row>
    <row r="9" spans="1:74" ht="17.350000000000001" customHeight="1" x14ac:dyDescent="0.25">
      <c r="A9" s="1108" t="s">
        <v>729</v>
      </c>
      <c r="B9" s="1108"/>
      <c r="I9" s="317" t="s">
        <v>757</v>
      </c>
      <c r="J9" s="318">
        <f>IF(ISBLANK(Grunddaten!$V$5),Grunddaten!$U$5,Grunddaten!$V$5)</f>
        <v>2.5000000000000001E-2</v>
      </c>
      <c r="K9" s="1124" t="s">
        <v>568</v>
      </c>
      <c r="L9" s="103"/>
      <c r="M9" s="103"/>
      <c r="N9" s="103"/>
      <c r="O9" s="103"/>
      <c r="P9" s="2540" t="s">
        <v>563</v>
      </c>
      <c r="Q9" s="2540"/>
      <c r="R9" s="2540"/>
      <c r="S9" s="2540"/>
      <c r="T9" s="1180"/>
      <c r="U9" s="1177"/>
      <c r="V9" s="1177"/>
      <c r="W9" s="1177"/>
      <c r="X9" s="1177"/>
      <c r="Y9" s="1177"/>
      <c r="Z9" s="1177"/>
      <c r="AA9" s="1177"/>
    </row>
    <row r="10" spans="1:74" ht="2.25" customHeight="1" thickBot="1" x14ac:dyDescent="0.25">
      <c r="O10" s="314"/>
      <c r="P10" s="1123"/>
      <c r="Q10" s="1125"/>
      <c r="R10" s="1125"/>
      <c r="S10" s="1125"/>
      <c r="T10" s="1180"/>
      <c r="U10" s="1177"/>
      <c r="V10" s="1177"/>
      <c r="W10" s="1177"/>
      <c r="X10" s="1177"/>
      <c r="Y10" s="1177"/>
      <c r="Z10" s="1177"/>
      <c r="AA10" s="1177"/>
    </row>
    <row r="11" spans="1:74" s="382" customFormat="1" ht="11.25" customHeight="1" x14ac:dyDescent="0.2">
      <c r="A11" s="388" t="s">
        <v>318</v>
      </c>
      <c r="B11" s="2852" t="s">
        <v>578</v>
      </c>
      <c r="C11" s="2853"/>
      <c r="D11" s="2854"/>
      <c r="E11" s="2482" t="s">
        <v>651</v>
      </c>
      <c r="F11" s="2483"/>
      <c r="G11" s="2714" t="s">
        <v>653</v>
      </c>
      <c r="H11" s="2482" t="s">
        <v>667</v>
      </c>
      <c r="I11" s="2483"/>
      <c r="J11" s="2714" t="s">
        <v>730</v>
      </c>
      <c r="K11" s="2482" t="s">
        <v>731</v>
      </c>
      <c r="L11" s="2494"/>
      <c r="M11" s="2494"/>
      <c r="N11" s="2495"/>
      <c r="O11" s="314"/>
      <c r="P11" s="1126" t="s">
        <v>564</v>
      </c>
      <c r="Q11" s="2521" t="s">
        <v>571</v>
      </c>
      <c r="R11" s="2521"/>
      <c r="S11" s="2521"/>
      <c r="T11" s="1176"/>
      <c r="U11" s="1269" t="s">
        <v>581</v>
      </c>
      <c r="V11" s="1270"/>
      <c r="W11" s="1271"/>
      <c r="X11" s="1275" t="b">
        <f>(U11=B11)</f>
        <v>0</v>
      </c>
      <c r="Y11" s="1177"/>
      <c r="Z11" s="1177"/>
      <c r="AA11" s="1178"/>
      <c r="AB11" s="1178"/>
      <c r="AC11" s="1178"/>
      <c r="AD11" s="1178"/>
      <c r="AE11" s="1178"/>
      <c r="AF11" s="1178"/>
      <c r="AG11" s="380"/>
      <c r="AH11" s="380"/>
      <c r="AI11" s="380"/>
      <c r="AJ11" s="381"/>
      <c r="AK11" s="381"/>
    </row>
    <row r="12" spans="1:74" s="382" customFormat="1" ht="11.25" customHeight="1" x14ac:dyDescent="0.2">
      <c r="A12" s="389"/>
      <c r="B12" s="1383"/>
      <c r="C12" s="555"/>
      <c r="D12" s="555"/>
      <c r="E12" s="2484"/>
      <c r="F12" s="2485"/>
      <c r="G12" s="2715"/>
      <c r="H12" s="2484"/>
      <c r="I12" s="2485"/>
      <c r="J12" s="2715"/>
      <c r="K12" s="2484"/>
      <c r="L12" s="2496"/>
      <c r="M12" s="2496"/>
      <c r="N12" s="2497"/>
      <c r="O12" s="314"/>
      <c r="P12" s="1127"/>
      <c r="Q12" s="2521"/>
      <c r="R12" s="2521"/>
      <c r="S12" s="2521"/>
      <c r="T12" s="1176"/>
      <c r="U12" s="1272" t="s">
        <v>578</v>
      </c>
      <c r="V12" s="1273"/>
      <c r="W12" s="1274"/>
      <c r="X12" s="1276" t="b">
        <f>(U12=B11)</f>
        <v>1</v>
      </c>
      <c r="Y12" s="1177"/>
      <c r="Z12" s="1177"/>
      <c r="AA12" s="1178"/>
      <c r="AB12" s="1178"/>
      <c r="AC12" s="1178"/>
      <c r="AD12" s="1178"/>
      <c r="AE12" s="1178"/>
      <c r="AF12" s="1178"/>
      <c r="AG12" s="380"/>
      <c r="AH12" s="380"/>
      <c r="AI12" s="380"/>
      <c r="AJ12" s="381"/>
      <c r="AK12" s="381"/>
    </row>
    <row r="13" spans="1:74" s="382" customFormat="1" ht="11.25" customHeight="1" x14ac:dyDescent="0.2">
      <c r="A13" s="389"/>
      <c r="B13" s="1383"/>
      <c r="C13" s="799"/>
      <c r="D13" s="92"/>
      <c r="E13" s="2609" t="s">
        <v>652</v>
      </c>
      <c r="F13" s="2613"/>
      <c r="G13" s="1462" t="s">
        <v>29</v>
      </c>
      <c r="H13" s="2486" t="s">
        <v>641</v>
      </c>
      <c r="I13" s="2487"/>
      <c r="J13" s="693" t="s">
        <v>655</v>
      </c>
      <c r="K13" s="1473" t="s">
        <v>677</v>
      </c>
      <c r="L13" s="2498" t="s">
        <v>668</v>
      </c>
      <c r="M13" s="2498"/>
      <c r="N13" s="1474" t="s">
        <v>655</v>
      </c>
      <c r="O13" s="314"/>
      <c r="P13" s="1127"/>
      <c r="Q13" s="2521"/>
      <c r="R13" s="2521"/>
      <c r="S13" s="2521"/>
      <c r="T13" s="1176"/>
      <c r="U13" s="1177"/>
      <c r="V13" s="1177"/>
      <c r="W13" s="1177"/>
      <c r="X13" s="1177"/>
      <c r="Y13" s="1177"/>
      <c r="Z13" s="1177"/>
      <c r="AA13" s="1178"/>
      <c r="AB13" s="1178"/>
      <c r="AC13" s="1178"/>
      <c r="AD13" s="1178"/>
      <c r="AE13" s="1178"/>
      <c r="AF13" s="1178"/>
      <c r="AG13" s="380"/>
      <c r="AH13" s="380"/>
      <c r="AI13" s="380"/>
      <c r="AJ13" s="381"/>
      <c r="AK13" s="381"/>
    </row>
    <row r="14" spans="1:74" s="88" customFormat="1" ht="12.1" customHeight="1" x14ac:dyDescent="0.2">
      <c r="A14" s="2726" t="s">
        <v>570</v>
      </c>
      <c r="B14" s="2727"/>
      <c r="C14" s="2727"/>
      <c r="D14" s="2727"/>
      <c r="E14" s="2732">
        <f>DK_Var2!E414</f>
        <v>0</v>
      </c>
      <c r="F14" s="2733"/>
      <c r="G14" s="1471">
        <f>DK_Var2!G414</f>
        <v>0</v>
      </c>
      <c r="H14" s="2728">
        <f>DK_Var2!I414</f>
        <v>0</v>
      </c>
      <c r="I14" s="2729"/>
      <c r="J14" s="1411">
        <f>DK_Var2!J414</f>
        <v>0</v>
      </c>
      <c r="K14" s="1475">
        <f>IF(E14=0,0,N14/E14*100)</f>
        <v>0</v>
      </c>
      <c r="L14" s="2520"/>
      <c r="M14" s="2520"/>
      <c r="N14" s="1476">
        <f>DK_Var2!M414</f>
        <v>0</v>
      </c>
      <c r="O14" s="314"/>
      <c r="P14" s="2522" t="s">
        <v>569</v>
      </c>
      <c r="Q14" s="2522"/>
      <c r="R14" s="2522"/>
      <c r="S14" s="2522"/>
      <c r="T14" s="1176"/>
      <c r="U14" s="1176"/>
      <c r="V14" s="1176"/>
      <c r="W14" s="1176"/>
      <c r="X14" s="1176"/>
      <c r="Y14" s="1176"/>
      <c r="Z14" s="1176"/>
      <c r="AA14" s="1218"/>
      <c r="AB14" s="1218"/>
      <c r="AC14" s="1218"/>
      <c r="AD14" s="1218"/>
      <c r="AE14" s="1218"/>
      <c r="AF14" s="1218"/>
      <c r="AG14" s="447"/>
      <c r="AH14" s="447"/>
      <c r="AI14" s="447"/>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row>
    <row r="15" spans="1:74" s="88" customFormat="1" ht="11.25" customHeight="1" x14ac:dyDescent="0.2">
      <c r="A15" s="1803"/>
      <c r="B15" s="1804"/>
      <c r="C15" s="1805"/>
      <c r="D15" s="1805"/>
      <c r="E15" s="2734"/>
      <c r="F15" s="2735"/>
      <c r="G15" s="1468"/>
      <c r="H15" s="2730">
        <f t="shared" ref="H15:H38" si="0">IF($G15&gt;0,-PMT(($J$9),$G15,1),0)</f>
        <v>0</v>
      </c>
      <c r="I15" s="2731"/>
      <c r="J15" s="1405">
        <f t="shared" ref="J15:J38" si="1">ROUND(E15*H15,-1)</f>
        <v>0</v>
      </c>
      <c r="K15" s="1477"/>
      <c r="L15" s="2541"/>
      <c r="M15" s="2541"/>
      <c r="N15" s="1478">
        <f>IF(L15,L15,ROUND(E15/100*K15,-1))</f>
        <v>0</v>
      </c>
      <c r="O15" s="314"/>
      <c r="P15" s="1127"/>
      <c r="Q15" s="1128"/>
      <c r="R15" s="1129"/>
      <c r="S15" s="1130"/>
      <c r="T15" s="1176"/>
      <c r="U15" s="1176"/>
      <c r="V15" s="1176"/>
      <c r="W15" s="1176"/>
      <c r="X15" s="1176"/>
      <c r="Y15" s="1176"/>
      <c r="Z15" s="1176"/>
      <c r="AA15" s="1218"/>
      <c r="AB15" s="1218"/>
      <c r="AC15" s="1218"/>
      <c r="AD15" s="1218"/>
      <c r="AE15" s="1218"/>
      <c r="AF15" s="1218"/>
      <c r="AG15" s="447"/>
      <c r="AH15" s="447"/>
      <c r="AI15" s="447"/>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row>
    <row r="16" spans="1:74" s="88" customFormat="1" ht="11.25" customHeight="1" x14ac:dyDescent="0.2">
      <c r="A16" s="1803"/>
      <c r="B16" s="1806"/>
      <c r="C16" s="1807"/>
      <c r="D16" s="1807"/>
      <c r="E16" s="2561"/>
      <c r="F16" s="2562"/>
      <c r="G16" s="1469"/>
      <c r="H16" s="2712">
        <f t="shared" si="0"/>
        <v>0</v>
      </c>
      <c r="I16" s="2713"/>
      <c r="J16" s="1405">
        <f t="shared" si="1"/>
        <v>0</v>
      </c>
      <c r="K16" s="1479"/>
      <c r="L16" s="2851"/>
      <c r="M16" s="2851"/>
      <c r="N16" s="1478">
        <f t="shared" ref="N16:N38" si="2">IF(L16,L16,ROUND(E16/100*K16,-1))</f>
        <v>0</v>
      </c>
      <c r="O16" s="314"/>
      <c r="P16" s="1126"/>
      <c r="Q16" s="1128"/>
      <c r="R16" s="1129"/>
      <c r="S16" s="1130"/>
      <c r="T16" s="1176"/>
      <c r="U16" s="1176"/>
      <c r="V16" s="1176"/>
      <c r="W16" s="1176"/>
      <c r="X16" s="1176"/>
      <c r="Y16" s="1176"/>
      <c r="Z16" s="1176"/>
      <c r="AA16" s="1218"/>
      <c r="AB16" s="1218"/>
      <c r="AC16" s="1218"/>
      <c r="AD16" s="1218"/>
      <c r="AE16" s="1218"/>
      <c r="AF16" s="1218"/>
      <c r="AG16" s="447"/>
      <c r="AH16" s="447"/>
      <c r="AI16" s="447"/>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row>
    <row r="17" spans="1:68" s="88" customFormat="1" ht="11.25" customHeight="1" x14ac:dyDescent="0.2">
      <c r="A17" s="1803"/>
      <c r="B17" s="1806"/>
      <c r="C17" s="1807"/>
      <c r="D17" s="1807"/>
      <c r="E17" s="2561"/>
      <c r="F17" s="2562"/>
      <c r="G17" s="1469"/>
      <c r="H17" s="2712">
        <f t="shared" si="0"/>
        <v>0</v>
      </c>
      <c r="I17" s="2713"/>
      <c r="J17" s="1405">
        <f t="shared" si="1"/>
        <v>0</v>
      </c>
      <c r="K17" s="1480"/>
      <c r="L17" s="2850"/>
      <c r="M17" s="2850"/>
      <c r="N17" s="1478">
        <f t="shared" si="2"/>
        <v>0</v>
      </c>
      <c r="O17" s="314"/>
      <c r="P17" s="1127"/>
      <c r="Q17" s="1128"/>
      <c r="R17" s="1129"/>
      <c r="S17" s="1130"/>
      <c r="T17" s="1176"/>
      <c r="U17" s="1176"/>
      <c r="V17" s="1176"/>
      <c r="W17" s="1176"/>
      <c r="X17" s="1176"/>
      <c r="Y17" s="1176"/>
      <c r="Z17" s="1176"/>
      <c r="AA17" s="1218"/>
      <c r="AB17" s="1218"/>
      <c r="AC17" s="1218"/>
      <c r="AD17" s="1218"/>
      <c r="AE17" s="1218"/>
      <c r="AF17" s="1218"/>
      <c r="AG17" s="447"/>
      <c r="AH17" s="447"/>
      <c r="AI17" s="447"/>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row>
    <row r="18" spans="1:68" s="88" customFormat="1" ht="11.25" customHeight="1" x14ac:dyDescent="0.2">
      <c r="A18" s="1803"/>
      <c r="B18" s="1806"/>
      <c r="C18" s="1807"/>
      <c r="D18" s="1807"/>
      <c r="E18" s="2561"/>
      <c r="F18" s="2562"/>
      <c r="G18" s="1469"/>
      <c r="H18" s="2712">
        <f t="shared" si="0"/>
        <v>0</v>
      </c>
      <c r="I18" s="2713"/>
      <c r="J18" s="1405">
        <f t="shared" si="1"/>
        <v>0</v>
      </c>
      <c r="K18" s="1480"/>
      <c r="L18" s="2850"/>
      <c r="M18" s="2850"/>
      <c r="N18" s="1478">
        <f t="shared" si="2"/>
        <v>0</v>
      </c>
      <c r="O18" s="314"/>
      <c r="P18" s="1127"/>
      <c r="Q18" s="1128"/>
      <c r="R18" s="1129"/>
      <c r="S18" s="1130"/>
      <c r="T18" s="1176"/>
      <c r="U18" s="1176"/>
      <c r="V18" s="1176"/>
      <c r="W18" s="1176"/>
      <c r="X18" s="1176"/>
      <c r="Y18" s="1176"/>
      <c r="Z18" s="1176"/>
      <c r="AA18" s="1218"/>
      <c r="AB18" s="1218"/>
      <c r="AC18" s="1218"/>
      <c r="AD18" s="1218"/>
      <c r="AE18" s="1218"/>
      <c r="AF18" s="1218"/>
      <c r="AG18" s="447"/>
      <c r="AH18" s="447"/>
      <c r="AI18" s="447"/>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row>
    <row r="19" spans="1:68" s="88" customFormat="1" ht="11.25" customHeight="1" x14ac:dyDescent="0.2">
      <c r="A19" s="1803"/>
      <c r="B19" s="1806"/>
      <c r="C19" s="1807"/>
      <c r="D19" s="1807"/>
      <c r="E19" s="2561"/>
      <c r="F19" s="2562"/>
      <c r="G19" s="1469"/>
      <c r="H19" s="2712">
        <f t="shared" si="0"/>
        <v>0</v>
      </c>
      <c r="I19" s="2713"/>
      <c r="J19" s="1405">
        <f t="shared" si="1"/>
        <v>0</v>
      </c>
      <c r="K19" s="1480"/>
      <c r="L19" s="2850"/>
      <c r="M19" s="2850"/>
      <c r="N19" s="1478">
        <f t="shared" si="2"/>
        <v>0</v>
      </c>
      <c r="O19" s="314"/>
      <c r="P19" s="1127"/>
      <c r="Q19" s="1128"/>
      <c r="R19" s="1129"/>
      <c r="S19" s="1130"/>
      <c r="T19" s="1176"/>
      <c r="U19" s="1176"/>
      <c r="V19" s="1176"/>
      <c r="W19" s="1176"/>
      <c r="X19" s="1176"/>
      <c r="Y19" s="1176"/>
      <c r="Z19" s="1176"/>
      <c r="AA19" s="1218"/>
      <c r="AB19" s="1218"/>
      <c r="AC19" s="1218"/>
      <c r="AD19" s="1218"/>
      <c r="AE19" s="1218"/>
      <c r="AF19" s="1218"/>
      <c r="AG19" s="447"/>
      <c r="AH19" s="447"/>
      <c r="AI19" s="447"/>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row>
    <row r="20" spans="1:68" s="88" customFormat="1" ht="11.25" customHeight="1" x14ac:dyDescent="0.2">
      <c r="A20" s="1803"/>
      <c r="B20" s="1806"/>
      <c r="C20" s="1807"/>
      <c r="D20" s="1807"/>
      <c r="E20" s="2561"/>
      <c r="F20" s="2562"/>
      <c r="G20" s="1469"/>
      <c r="H20" s="2712">
        <f t="shared" si="0"/>
        <v>0</v>
      </c>
      <c r="I20" s="2713"/>
      <c r="J20" s="1405">
        <f t="shared" si="1"/>
        <v>0</v>
      </c>
      <c r="K20" s="1480"/>
      <c r="L20" s="2850"/>
      <c r="M20" s="2850"/>
      <c r="N20" s="1478">
        <f t="shared" si="2"/>
        <v>0</v>
      </c>
      <c r="O20" s="314"/>
      <c r="P20" s="1127"/>
      <c r="Q20" s="1128"/>
      <c r="R20" s="1129"/>
      <c r="S20" s="1130"/>
      <c r="T20" s="1176"/>
      <c r="U20" s="1176"/>
      <c r="V20" s="1176"/>
      <c r="W20" s="1176"/>
      <c r="X20" s="1176"/>
      <c r="Y20" s="1176"/>
      <c r="Z20" s="1176"/>
      <c r="AA20" s="1218"/>
      <c r="AB20" s="1218"/>
      <c r="AC20" s="1218"/>
      <c r="AD20" s="1218"/>
      <c r="AE20" s="1218"/>
      <c r="AF20" s="1218"/>
      <c r="AG20" s="447"/>
      <c r="AH20" s="447"/>
      <c r="AI20" s="447"/>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row>
    <row r="21" spans="1:68" s="88" customFormat="1" ht="11.25" customHeight="1" x14ac:dyDescent="0.2">
      <c r="A21" s="1803"/>
      <c r="B21" s="1806"/>
      <c r="C21" s="1807"/>
      <c r="D21" s="1807"/>
      <c r="E21" s="2561"/>
      <c r="F21" s="2562"/>
      <c r="G21" s="1469"/>
      <c r="H21" s="2712">
        <f t="shared" si="0"/>
        <v>0</v>
      </c>
      <c r="I21" s="2713"/>
      <c r="J21" s="1405">
        <f t="shared" si="1"/>
        <v>0</v>
      </c>
      <c r="K21" s="1480"/>
      <c r="L21" s="2850"/>
      <c r="M21" s="2850"/>
      <c r="N21" s="1478">
        <f t="shared" si="2"/>
        <v>0</v>
      </c>
      <c r="O21" s="314"/>
      <c r="P21" s="1127"/>
      <c r="Q21" s="1128"/>
      <c r="R21" s="1129"/>
      <c r="S21" s="1130"/>
      <c r="T21" s="1176"/>
      <c r="U21" s="1176"/>
      <c r="V21" s="1176"/>
      <c r="W21" s="1176"/>
      <c r="X21" s="1176"/>
      <c r="Y21" s="1176"/>
      <c r="Z21" s="1176"/>
      <c r="AA21" s="1218"/>
      <c r="AB21" s="1218"/>
      <c r="AC21" s="1218"/>
      <c r="AD21" s="1218"/>
      <c r="AE21" s="1218"/>
      <c r="AF21" s="1218"/>
      <c r="AG21" s="447"/>
      <c r="AH21" s="447"/>
      <c r="AI21" s="447"/>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row>
    <row r="22" spans="1:68" s="88" customFormat="1" ht="11.25" customHeight="1" x14ac:dyDescent="0.2">
      <c r="A22" s="1803"/>
      <c r="B22" s="1806"/>
      <c r="C22" s="1807"/>
      <c r="D22" s="1807"/>
      <c r="E22" s="2561"/>
      <c r="F22" s="2562"/>
      <c r="G22" s="1469"/>
      <c r="H22" s="2712">
        <f t="shared" si="0"/>
        <v>0</v>
      </c>
      <c r="I22" s="2713"/>
      <c r="J22" s="1405">
        <f t="shared" si="1"/>
        <v>0</v>
      </c>
      <c r="K22" s="1480"/>
      <c r="L22" s="2850"/>
      <c r="M22" s="2850"/>
      <c r="N22" s="1478">
        <f t="shared" si="2"/>
        <v>0</v>
      </c>
      <c r="O22" s="314"/>
      <c r="P22" s="1127"/>
      <c r="Q22" s="1128"/>
      <c r="R22" s="1129"/>
      <c r="S22" s="1130"/>
      <c r="T22" s="1176"/>
      <c r="U22" s="1176"/>
      <c r="V22" s="1176"/>
      <c r="W22" s="1176"/>
      <c r="X22" s="1176"/>
      <c r="Y22" s="1176"/>
      <c r="Z22" s="1176"/>
      <c r="AA22" s="1218"/>
      <c r="AB22" s="1218"/>
      <c r="AC22" s="1218"/>
      <c r="AD22" s="1218"/>
      <c r="AE22" s="1218"/>
      <c r="AF22" s="1218"/>
      <c r="AG22" s="447"/>
      <c r="AH22" s="447"/>
      <c r="AI22" s="447"/>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c r="BP22" s="382"/>
    </row>
    <row r="23" spans="1:68" s="88" customFormat="1" ht="11.25" customHeight="1" x14ac:dyDescent="0.2">
      <c r="A23" s="1808"/>
      <c r="B23" s="1809"/>
      <c r="C23" s="1809"/>
      <c r="D23" s="1809"/>
      <c r="E23" s="2561"/>
      <c r="F23" s="2562"/>
      <c r="G23" s="1469"/>
      <c r="H23" s="2712">
        <f t="shared" si="0"/>
        <v>0</v>
      </c>
      <c r="I23" s="2713"/>
      <c r="J23" s="1405">
        <f t="shared" si="1"/>
        <v>0</v>
      </c>
      <c r="K23" s="1480"/>
      <c r="L23" s="2850"/>
      <c r="M23" s="2850"/>
      <c r="N23" s="1478">
        <f t="shared" si="2"/>
        <v>0</v>
      </c>
      <c r="O23" s="314"/>
      <c r="P23" s="1127"/>
      <c r="Q23" s="1128"/>
      <c r="R23" s="1129"/>
      <c r="S23" s="1130"/>
      <c r="T23" s="1176"/>
      <c r="U23" s="1176"/>
      <c r="V23" s="1176"/>
      <c r="W23" s="1176"/>
      <c r="X23" s="1176"/>
      <c r="Y23" s="1176"/>
      <c r="Z23" s="1176"/>
      <c r="AA23" s="1218"/>
      <c r="AB23" s="1218"/>
      <c r="AC23" s="1218"/>
      <c r="AD23" s="1218"/>
      <c r="AE23" s="1218"/>
      <c r="AF23" s="1218"/>
      <c r="AG23" s="447"/>
      <c r="AH23" s="447"/>
      <c r="AI23" s="447"/>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row>
    <row r="24" spans="1:68" s="88" customFormat="1" ht="11.25" customHeight="1" x14ac:dyDescent="0.2">
      <c r="A24" s="1808"/>
      <c r="B24" s="1809"/>
      <c r="C24" s="1809"/>
      <c r="D24" s="1809"/>
      <c r="E24" s="2561"/>
      <c r="F24" s="2562"/>
      <c r="G24" s="1469"/>
      <c r="H24" s="2712">
        <f t="shared" si="0"/>
        <v>0</v>
      </c>
      <c r="I24" s="2713"/>
      <c r="J24" s="1405">
        <f t="shared" si="1"/>
        <v>0</v>
      </c>
      <c r="K24" s="1480"/>
      <c r="L24" s="2850"/>
      <c r="M24" s="2850"/>
      <c r="N24" s="1478">
        <f t="shared" si="2"/>
        <v>0</v>
      </c>
      <c r="O24" s="314"/>
      <c r="P24" s="1127"/>
      <c r="Q24" s="1128"/>
      <c r="R24" s="1129"/>
      <c r="S24" s="1130"/>
      <c r="T24" s="1176"/>
      <c r="U24" s="1176"/>
      <c r="V24" s="1176"/>
      <c r="W24" s="1176"/>
      <c r="X24" s="1176"/>
      <c r="Y24" s="1176"/>
      <c r="Z24" s="1176"/>
      <c r="AA24" s="1218"/>
      <c r="AB24" s="1218"/>
      <c r="AC24" s="1218"/>
      <c r="AD24" s="1218"/>
      <c r="AE24" s="1218"/>
      <c r="AF24" s="1218"/>
      <c r="AG24" s="447"/>
      <c r="AH24" s="447"/>
      <c r="AI24" s="447"/>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row>
    <row r="25" spans="1:68" s="88" customFormat="1" ht="11.25" customHeight="1" x14ac:dyDescent="0.2">
      <c r="A25" s="1808"/>
      <c r="B25" s="1809"/>
      <c r="C25" s="1809"/>
      <c r="D25" s="1809"/>
      <c r="E25" s="2561"/>
      <c r="F25" s="2562"/>
      <c r="G25" s="1469"/>
      <c r="H25" s="2712">
        <f t="shared" si="0"/>
        <v>0</v>
      </c>
      <c r="I25" s="2713"/>
      <c r="J25" s="1405">
        <f t="shared" si="1"/>
        <v>0</v>
      </c>
      <c r="K25" s="1480"/>
      <c r="L25" s="2850"/>
      <c r="M25" s="2850"/>
      <c r="N25" s="1478">
        <f t="shared" si="2"/>
        <v>0</v>
      </c>
      <c r="O25" s="314"/>
      <c r="P25" s="1127"/>
      <c r="Q25" s="1128"/>
      <c r="R25" s="1129"/>
      <c r="S25" s="1130"/>
      <c r="T25" s="1176"/>
      <c r="U25" s="1176"/>
      <c r="V25" s="1176"/>
      <c r="W25" s="1176"/>
      <c r="X25" s="1176"/>
      <c r="Y25" s="1176"/>
      <c r="Z25" s="1176"/>
      <c r="AA25" s="1218"/>
      <c r="AB25" s="1218"/>
      <c r="AC25" s="1218"/>
      <c r="AD25" s="1218"/>
      <c r="AE25" s="1218"/>
      <c r="AF25" s="1218"/>
      <c r="AG25" s="447"/>
      <c r="AH25" s="447"/>
      <c r="AI25" s="447"/>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row>
    <row r="26" spans="1:68" s="88" customFormat="1" ht="11.25" customHeight="1" x14ac:dyDescent="0.2">
      <c r="A26" s="1808"/>
      <c r="B26" s="1809"/>
      <c r="C26" s="1809"/>
      <c r="D26" s="1809"/>
      <c r="E26" s="2561"/>
      <c r="F26" s="2562"/>
      <c r="G26" s="1469"/>
      <c r="H26" s="2712">
        <f t="shared" si="0"/>
        <v>0</v>
      </c>
      <c r="I26" s="2713"/>
      <c r="J26" s="1405">
        <f t="shared" si="1"/>
        <v>0</v>
      </c>
      <c r="K26" s="1480"/>
      <c r="L26" s="2850"/>
      <c r="M26" s="2850"/>
      <c r="N26" s="1478">
        <f t="shared" si="2"/>
        <v>0</v>
      </c>
      <c r="O26" s="314"/>
      <c r="P26" s="2523" t="s">
        <v>566</v>
      </c>
      <c r="Q26" s="2524" t="s">
        <v>567</v>
      </c>
      <c r="R26" s="2524"/>
      <c r="S26" s="2524"/>
      <c r="T26" s="1176"/>
      <c r="U26" s="1176"/>
      <c r="V26" s="1176"/>
      <c r="W26" s="1176"/>
      <c r="X26" s="1176"/>
      <c r="Y26" s="1176"/>
      <c r="Z26" s="1176"/>
      <c r="AA26" s="1218"/>
      <c r="AB26" s="1218"/>
      <c r="AC26" s="1218"/>
      <c r="AD26" s="1218"/>
      <c r="AE26" s="1218"/>
      <c r="AF26" s="1218"/>
      <c r="AG26" s="447"/>
      <c r="AH26" s="447"/>
      <c r="AI26" s="447"/>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row>
    <row r="27" spans="1:68" s="88" customFormat="1" ht="11.25" customHeight="1" x14ac:dyDescent="0.2">
      <c r="A27" s="1808"/>
      <c r="B27" s="1809"/>
      <c r="C27" s="1809"/>
      <c r="D27" s="1809"/>
      <c r="E27" s="2561"/>
      <c r="F27" s="2562"/>
      <c r="G27" s="1469"/>
      <c r="H27" s="2712">
        <f t="shared" si="0"/>
        <v>0</v>
      </c>
      <c r="I27" s="2713"/>
      <c r="J27" s="1405">
        <f t="shared" si="1"/>
        <v>0</v>
      </c>
      <c r="K27" s="1480"/>
      <c r="L27" s="2850"/>
      <c r="M27" s="2850"/>
      <c r="N27" s="1478">
        <f t="shared" si="2"/>
        <v>0</v>
      </c>
      <c r="O27" s="314"/>
      <c r="P27" s="2523"/>
      <c r="Q27" s="2524"/>
      <c r="R27" s="2524"/>
      <c r="S27" s="2524"/>
      <c r="T27" s="1176"/>
      <c r="U27" s="1176"/>
      <c r="V27" s="1176"/>
      <c r="W27" s="1176"/>
      <c r="X27" s="1176"/>
      <c r="Y27" s="1176"/>
      <c r="Z27" s="1176"/>
      <c r="AA27" s="1218"/>
      <c r="AB27" s="1218"/>
      <c r="AC27" s="1218"/>
      <c r="AD27" s="1218"/>
      <c r="AE27" s="1218"/>
      <c r="AF27" s="1218"/>
      <c r="AG27" s="447"/>
      <c r="AH27" s="447"/>
      <c r="AI27" s="447"/>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row>
    <row r="28" spans="1:68" s="88" customFormat="1" ht="11.25" customHeight="1" x14ac:dyDescent="0.2">
      <c r="A28" s="1808"/>
      <c r="B28" s="1809"/>
      <c r="C28" s="1809"/>
      <c r="D28" s="1809"/>
      <c r="E28" s="2561"/>
      <c r="F28" s="2562"/>
      <c r="G28" s="1469"/>
      <c r="H28" s="2712">
        <f t="shared" si="0"/>
        <v>0</v>
      </c>
      <c r="I28" s="2713"/>
      <c r="J28" s="1405">
        <f t="shared" si="1"/>
        <v>0</v>
      </c>
      <c r="K28" s="1480"/>
      <c r="L28" s="2850"/>
      <c r="M28" s="2850"/>
      <c r="N28" s="1478">
        <f t="shared" si="2"/>
        <v>0</v>
      </c>
      <c r="O28" s="314"/>
      <c r="P28" s="1127"/>
      <c r="Q28" s="1128"/>
      <c r="R28" s="1129"/>
      <c r="S28" s="1130"/>
      <c r="T28" s="1176"/>
      <c r="U28" s="1176"/>
      <c r="V28" s="1176"/>
      <c r="W28" s="1176"/>
      <c r="X28" s="1176"/>
      <c r="Y28" s="1176"/>
      <c r="Z28" s="1176"/>
      <c r="AA28" s="1218"/>
      <c r="AB28" s="1218"/>
      <c r="AC28" s="1218"/>
      <c r="AD28" s="1218"/>
      <c r="AE28" s="1218"/>
      <c r="AF28" s="1218"/>
      <c r="AG28" s="447"/>
      <c r="AH28" s="447"/>
      <c r="AI28" s="447"/>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row>
    <row r="29" spans="1:68" s="88" customFormat="1" ht="11.25" customHeight="1" x14ac:dyDescent="0.2">
      <c r="A29" s="1808"/>
      <c r="B29" s="1809"/>
      <c r="C29" s="1809"/>
      <c r="D29" s="1809"/>
      <c r="E29" s="2561"/>
      <c r="F29" s="2562"/>
      <c r="G29" s="1469"/>
      <c r="H29" s="2712">
        <f t="shared" si="0"/>
        <v>0</v>
      </c>
      <c r="I29" s="2713"/>
      <c r="J29" s="1405">
        <f t="shared" si="1"/>
        <v>0</v>
      </c>
      <c r="K29" s="1480"/>
      <c r="L29" s="2850"/>
      <c r="M29" s="2850"/>
      <c r="N29" s="1478">
        <f t="shared" si="2"/>
        <v>0</v>
      </c>
      <c r="O29" s="314"/>
      <c r="P29" s="1127"/>
      <c r="Q29" s="1128"/>
      <c r="R29" s="1129"/>
      <c r="S29" s="1130"/>
      <c r="T29" s="1176"/>
      <c r="U29" s="1176"/>
      <c r="V29" s="1176"/>
      <c r="W29" s="1176"/>
      <c r="X29" s="1176"/>
      <c r="Y29" s="1176"/>
      <c r="Z29" s="1176"/>
      <c r="AA29" s="1218"/>
      <c r="AB29" s="1218"/>
      <c r="AC29" s="1218"/>
      <c r="AD29" s="1218"/>
      <c r="AE29" s="1218"/>
      <c r="AF29" s="1218"/>
      <c r="AG29" s="447"/>
      <c r="AH29" s="447"/>
      <c r="AI29" s="447"/>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row>
    <row r="30" spans="1:68" s="88" customFormat="1" ht="11.25" customHeight="1" x14ac:dyDescent="0.2">
      <c r="A30" s="1808"/>
      <c r="B30" s="1809"/>
      <c r="C30" s="1809"/>
      <c r="D30" s="1809"/>
      <c r="E30" s="2561"/>
      <c r="F30" s="2562"/>
      <c r="G30" s="1469"/>
      <c r="H30" s="2712">
        <f t="shared" si="0"/>
        <v>0</v>
      </c>
      <c r="I30" s="2713"/>
      <c r="J30" s="1405">
        <f t="shared" si="1"/>
        <v>0</v>
      </c>
      <c r="K30" s="1480"/>
      <c r="L30" s="2850"/>
      <c r="M30" s="2850"/>
      <c r="N30" s="1478">
        <f t="shared" si="2"/>
        <v>0</v>
      </c>
      <c r="O30" s="314"/>
      <c r="P30" s="1127"/>
      <c r="Q30" s="1128"/>
      <c r="R30" s="1129"/>
      <c r="S30" s="1130"/>
      <c r="T30" s="1176"/>
      <c r="U30" s="1176"/>
      <c r="V30" s="1176"/>
      <c r="W30" s="1176"/>
      <c r="X30" s="1176"/>
      <c r="Y30" s="1176"/>
      <c r="Z30" s="1176"/>
      <c r="AA30" s="1218"/>
      <c r="AB30" s="1218"/>
      <c r="AC30" s="1218"/>
      <c r="AD30" s="1218"/>
      <c r="AE30" s="1218"/>
      <c r="AF30" s="1218"/>
      <c r="AG30" s="447"/>
      <c r="AH30" s="447"/>
      <c r="AI30" s="447"/>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row>
    <row r="31" spans="1:68" s="88" customFormat="1" ht="11.25" customHeight="1" x14ac:dyDescent="0.2">
      <c r="A31" s="1808"/>
      <c r="B31" s="1809"/>
      <c r="C31" s="1809"/>
      <c r="D31" s="1809"/>
      <c r="E31" s="2561"/>
      <c r="F31" s="2562"/>
      <c r="G31" s="1469"/>
      <c r="H31" s="2712">
        <f t="shared" si="0"/>
        <v>0</v>
      </c>
      <c r="I31" s="2713"/>
      <c r="J31" s="1405">
        <f t="shared" si="1"/>
        <v>0</v>
      </c>
      <c r="K31" s="1480"/>
      <c r="L31" s="2850"/>
      <c r="M31" s="2850"/>
      <c r="N31" s="1478">
        <f t="shared" si="2"/>
        <v>0</v>
      </c>
      <c r="O31" s="314"/>
      <c r="P31" s="1127"/>
      <c r="Q31" s="1128"/>
      <c r="R31" s="1129"/>
      <c r="S31" s="1130"/>
      <c r="T31" s="1176"/>
      <c r="U31" s="1176"/>
      <c r="V31" s="1176"/>
      <c r="W31" s="1176"/>
      <c r="X31" s="1176"/>
      <c r="Y31" s="1176"/>
      <c r="Z31" s="1176"/>
      <c r="AA31" s="1218"/>
      <c r="AB31" s="1218"/>
      <c r="AC31" s="1218"/>
      <c r="AD31" s="1218"/>
      <c r="AE31" s="1218"/>
      <c r="AF31" s="1218"/>
      <c r="AG31" s="447"/>
      <c r="AH31" s="447"/>
      <c r="AI31" s="447"/>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row>
    <row r="32" spans="1:68" s="88" customFormat="1" ht="11.25" customHeight="1" x14ac:dyDescent="0.2">
      <c r="A32" s="1808"/>
      <c r="B32" s="1809"/>
      <c r="C32" s="1809"/>
      <c r="D32" s="1809"/>
      <c r="E32" s="2561"/>
      <c r="F32" s="2562"/>
      <c r="G32" s="1469"/>
      <c r="H32" s="2712">
        <f t="shared" si="0"/>
        <v>0</v>
      </c>
      <c r="I32" s="2713"/>
      <c r="J32" s="1405">
        <f t="shared" si="1"/>
        <v>0</v>
      </c>
      <c r="K32" s="1480"/>
      <c r="L32" s="2850"/>
      <c r="M32" s="2850"/>
      <c r="N32" s="1478">
        <f t="shared" si="2"/>
        <v>0</v>
      </c>
      <c r="O32" s="314"/>
      <c r="P32" s="1127"/>
      <c r="Q32" s="1128"/>
      <c r="R32" s="1129"/>
      <c r="S32" s="1130"/>
      <c r="T32" s="1176"/>
      <c r="U32" s="1176"/>
      <c r="V32" s="1176"/>
      <c r="W32" s="1176"/>
      <c r="X32" s="1176"/>
      <c r="Y32" s="1176"/>
      <c r="Z32" s="1176"/>
      <c r="AA32" s="1218"/>
      <c r="AB32" s="1218"/>
      <c r="AC32" s="1218"/>
      <c r="AD32" s="1218"/>
      <c r="AE32" s="1218"/>
      <c r="AF32" s="1218"/>
      <c r="AG32" s="447"/>
      <c r="AH32" s="447"/>
      <c r="AI32" s="447"/>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row>
    <row r="33" spans="1:69" s="88" customFormat="1" ht="11.25" customHeight="1" x14ac:dyDescent="0.2">
      <c r="A33" s="1808"/>
      <c r="B33" s="1809"/>
      <c r="C33" s="1809"/>
      <c r="D33" s="1809"/>
      <c r="E33" s="2561"/>
      <c r="F33" s="2562"/>
      <c r="G33" s="1469"/>
      <c r="H33" s="2712">
        <f t="shared" si="0"/>
        <v>0</v>
      </c>
      <c r="I33" s="2713"/>
      <c r="J33" s="1405">
        <f t="shared" si="1"/>
        <v>0</v>
      </c>
      <c r="K33" s="1480"/>
      <c r="L33" s="2850"/>
      <c r="M33" s="2850"/>
      <c r="N33" s="1478">
        <f t="shared" si="2"/>
        <v>0</v>
      </c>
      <c r="O33" s="314"/>
      <c r="P33" s="1127"/>
      <c r="Q33" s="1128"/>
      <c r="R33" s="1129"/>
      <c r="S33" s="1130"/>
      <c r="T33" s="1176"/>
      <c r="U33" s="1176"/>
      <c r="V33" s="1176"/>
      <c r="W33" s="1176"/>
      <c r="X33" s="1176"/>
      <c r="Y33" s="1176"/>
      <c r="Z33" s="1176"/>
      <c r="AA33" s="1218"/>
      <c r="AB33" s="1218"/>
      <c r="AC33" s="1218"/>
      <c r="AD33" s="1218"/>
      <c r="AE33" s="1218"/>
      <c r="AF33" s="1218"/>
      <c r="AG33" s="447"/>
      <c r="AH33" s="447"/>
      <c r="AI33" s="447"/>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row>
    <row r="34" spans="1:69" s="88" customFormat="1" ht="11.25" customHeight="1" x14ac:dyDescent="0.2">
      <c r="A34" s="1808"/>
      <c r="B34" s="1809"/>
      <c r="C34" s="1809"/>
      <c r="D34" s="1809"/>
      <c r="E34" s="2561"/>
      <c r="F34" s="2562"/>
      <c r="G34" s="1469"/>
      <c r="H34" s="2712">
        <f t="shared" si="0"/>
        <v>0</v>
      </c>
      <c r="I34" s="2713"/>
      <c r="J34" s="1405">
        <f t="shared" si="1"/>
        <v>0</v>
      </c>
      <c r="K34" s="1480"/>
      <c r="L34" s="2850"/>
      <c r="M34" s="2850"/>
      <c r="N34" s="1478">
        <f t="shared" si="2"/>
        <v>0</v>
      </c>
      <c r="O34" s="314"/>
      <c r="P34" s="1127"/>
      <c r="Q34" s="1128"/>
      <c r="R34" s="1129"/>
      <c r="S34" s="1130"/>
      <c r="T34" s="1176"/>
      <c r="U34" s="1176"/>
      <c r="V34" s="1176"/>
      <c r="W34" s="1176"/>
      <c r="X34" s="1176"/>
      <c r="Y34" s="1176"/>
      <c r="Z34" s="1176"/>
      <c r="AA34" s="1218"/>
      <c r="AB34" s="1218"/>
      <c r="AC34" s="1218"/>
      <c r="AD34" s="1218"/>
      <c r="AE34" s="1218"/>
      <c r="AF34" s="1218"/>
      <c r="AG34" s="447"/>
      <c r="AH34" s="447"/>
      <c r="AI34" s="447"/>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row>
    <row r="35" spans="1:69" s="88" customFormat="1" ht="11.25" customHeight="1" x14ac:dyDescent="0.2">
      <c r="A35" s="1808"/>
      <c r="B35" s="1809"/>
      <c r="C35" s="1809"/>
      <c r="D35" s="1809"/>
      <c r="E35" s="2561"/>
      <c r="F35" s="2562"/>
      <c r="G35" s="1469"/>
      <c r="H35" s="2712">
        <f t="shared" si="0"/>
        <v>0</v>
      </c>
      <c r="I35" s="2713"/>
      <c r="J35" s="1405">
        <f t="shared" si="1"/>
        <v>0</v>
      </c>
      <c r="K35" s="1480"/>
      <c r="L35" s="2850"/>
      <c r="M35" s="2850"/>
      <c r="N35" s="1478">
        <f t="shared" si="2"/>
        <v>0</v>
      </c>
      <c r="O35" s="314"/>
      <c r="P35" s="1127"/>
      <c r="Q35" s="1128"/>
      <c r="R35" s="1129"/>
      <c r="S35" s="1130"/>
      <c r="T35" s="1176"/>
      <c r="U35" s="1176"/>
      <c r="V35" s="1176"/>
      <c r="W35" s="1176"/>
      <c r="X35" s="1176"/>
      <c r="Y35" s="1176"/>
      <c r="Z35" s="1176"/>
      <c r="AA35" s="1218"/>
      <c r="AB35" s="1218"/>
      <c r="AC35" s="1218"/>
      <c r="AD35" s="1218"/>
      <c r="AE35" s="1218"/>
      <c r="AF35" s="1218"/>
      <c r="AG35" s="447"/>
      <c r="AH35" s="447"/>
      <c r="AI35" s="447"/>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row>
    <row r="36" spans="1:69" s="88" customFormat="1" ht="11.25" customHeight="1" x14ac:dyDescent="0.2">
      <c r="A36" s="1808"/>
      <c r="B36" s="1809"/>
      <c r="C36" s="1809"/>
      <c r="D36" s="1809"/>
      <c r="E36" s="2561"/>
      <c r="F36" s="2562"/>
      <c r="G36" s="1469"/>
      <c r="H36" s="2712">
        <f t="shared" si="0"/>
        <v>0</v>
      </c>
      <c r="I36" s="2713"/>
      <c r="J36" s="1405">
        <f t="shared" si="1"/>
        <v>0</v>
      </c>
      <c r="K36" s="1480"/>
      <c r="L36" s="2850"/>
      <c r="M36" s="2850"/>
      <c r="N36" s="1478">
        <f t="shared" si="2"/>
        <v>0</v>
      </c>
      <c r="O36" s="314"/>
      <c r="P36" s="1127"/>
      <c r="Q36" s="1128"/>
      <c r="R36" s="1129"/>
      <c r="S36" s="1130"/>
      <c r="T36" s="1176"/>
      <c r="U36" s="1176"/>
      <c r="V36" s="1176"/>
      <c r="W36" s="1176"/>
      <c r="X36" s="1176"/>
      <c r="Y36" s="1176"/>
      <c r="Z36" s="1176"/>
      <c r="AA36" s="1218"/>
      <c r="AB36" s="1218"/>
      <c r="AC36" s="1218"/>
      <c r="AD36" s="1218"/>
      <c r="AE36" s="1218"/>
      <c r="AF36" s="1218"/>
      <c r="AG36" s="447"/>
      <c r="AH36" s="447"/>
      <c r="AI36" s="447"/>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row>
    <row r="37" spans="1:69" s="88" customFormat="1" ht="11.25" customHeight="1" x14ac:dyDescent="0.2">
      <c r="A37" s="1808"/>
      <c r="B37" s="1809"/>
      <c r="C37" s="1809"/>
      <c r="D37" s="1809"/>
      <c r="E37" s="2561"/>
      <c r="F37" s="2562"/>
      <c r="G37" s="1469"/>
      <c r="H37" s="2712">
        <f t="shared" si="0"/>
        <v>0</v>
      </c>
      <c r="I37" s="2713"/>
      <c r="J37" s="1405">
        <f t="shared" si="1"/>
        <v>0</v>
      </c>
      <c r="K37" s="1480"/>
      <c r="L37" s="2850"/>
      <c r="M37" s="2850"/>
      <c r="N37" s="1478">
        <f t="shared" si="2"/>
        <v>0</v>
      </c>
      <c r="O37" s="314"/>
      <c r="P37" s="1127"/>
      <c r="Q37" s="1128"/>
      <c r="R37" s="1129"/>
      <c r="S37" s="1130"/>
      <c r="T37" s="1176"/>
      <c r="U37" s="1176"/>
      <c r="V37" s="1176"/>
      <c r="W37" s="1176"/>
      <c r="X37" s="1176"/>
      <c r="Y37" s="1176"/>
      <c r="Z37" s="1176"/>
      <c r="AA37" s="1218"/>
      <c r="AB37" s="1218"/>
      <c r="AC37" s="1218"/>
      <c r="AD37" s="1218"/>
      <c r="AE37" s="1218"/>
      <c r="AF37" s="1218"/>
      <c r="AG37" s="447"/>
      <c r="AH37" s="447"/>
      <c r="AI37" s="447"/>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row>
    <row r="38" spans="1:69" s="88" customFormat="1" ht="11.25" customHeight="1" x14ac:dyDescent="0.2">
      <c r="A38" s="1810"/>
      <c r="B38" s="1811"/>
      <c r="C38" s="1811"/>
      <c r="D38" s="1811"/>
      <c r="E38" s="2716"/>
      <c r="F38" s="2717"/>
      <c r="G38" s="1470"/>
      <c r="H38" s="2736">
        <f t="shared" si="0"/>
        <v>0</v>
      </c>
      <c r="I38" s="2737"/>
      <c r="J38" s="1408">
        <f t="shared" si="1"/>
        <v>0</v>
      </c>
      <c r="K38" s="1481"/>
      <c r="L38" s="2855"/>
      <c r="M38" s="2855"/>
      <c r="N38" s="1478">
        <f t="shared" si="2"/>
        <v>0</v>
      </c>
      <c r="O38" s="314"/>
      <c r="P38" s="1127"/>
      <c r="Q38" s="1128"/>
      <c r="R38" s="1129"/>
      <c r="S38" s="1130"/>
      <c r="T38" s="1176"/>
      <c r="U38" s="1176"/>
      <c r="V38" s="1176"/>
      <c r="W38" s="1176"/>
      <c r="X38" s="1176"/>
      <c r="Y38" s="1176"/>
      <c r="Z38" s="1176"/>
      <c r="AA38" s="1218"/>
      <c r="AB38" s="1218"/>
      <c r="AC38" s="1218"/>
      <c r="AD38" s="1218"/>
      <c r="AE38" s="1218"/>
      <c r="AF38" s="1218"/>
      <c r="AG38" s="447"/>
      <c r="AH38" s="447"/>
      <c r="AI38" s="447"/>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row>
    <row r="39" spans="1:69" s="88" customFormat="1" ht="14.1" customHeight="1" thickBot="1" x14ac:dyDescent="0.25">
      <c r="A39" s="391" t="s">
        <v>14</v>
      </c>
      <c r="B39" s="91"/>
      <c r="C39" s="90"/>
      <c r="D39" s="90"/>
      <c r="E39" s="2519">
        <f>IF($X$11,E14,ROUND(SUM(E15:E38),-2))</f>
        <v>0</v>
      </c>
      <c r="F39" s="2519"/>
      <c r="G39" s="1472">
        <f>IF($X$11,G14,IF($E$39&gt;0,SUMPRODUCT($E$15:$E$38,$G$15:$G$38)/$E$39,0))</f>
        <v>0</v>
      </c>
      <c r="H39" s="2492">
        <f>IF(E39=0,0,J39/E39)</f>
        <v>0</v>
      </c>
      <c r="I39" s="2493"/>
      <c r="J39" s="1407">
        <f>IF($X$11,J14,ROUND(SUM(J15:J38),0))</f>
        <v>0</v>
      </c>
      <c r="K39" s="1482">
        <f>IF(E39=0,0,N39/E39*100)</f>
        <v>0</v>
      </c>
      <c r="L39" s="2499"/>
      <c r="M39" s="2499"/>
      <c r="N39" s="1483">
        <f>IF($X$11,N14,ROUND(SUM(N15:N38),-1))</f>
        <v>0</v>
      </c>
      <c r="O39" s="314"/>
      <c r="P39" s="1182"/>
      <c r="Q39" s="1183"/>
      <c r="R39" s="1176"/>
      <c r="S39" s="1184"/>
      <c r="T39" s="1185"/>
      <c r="U39" s="1177"/>
      <c r="V39" s="1177"/>
      <c r="W39" s="1177"/>
      <c r="X39" s="1177"/>
      <c r="Y39" s="1177"/>
      <c r="Z39" s="1177"/>
      <c r="AA39" s="1178"/>
      <c r="AB39" s="1178"/>
      <c r="AC39" s="1178"/>
      <c r="AD39" s="1178"/>
      <c r="AE39" s="1178"/>
      <c r="AF39" s="1178"/>
      <c r="AG39" s="380"/>
      <c r="AH39" s="380"/>
      <c r="AI39" s="380"/>
      <c r="AJ39" s="381"/>
      <c r="AK39" s="381"/>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row>
    <row r="40" spans="1:69" ht="5.95" customHeight="1" x14ac:dyDescent="0.2">
      <c r="A40" s="86" t="s">
        <v>12</v>
      </c>
      <c r="C40" s="101"/>
      <c r="D40" s="101"/>
      <c r="E40" s="101"/>
      <c r="F40" s="101"/>
      <c r="G40" s="101"/>
      <c r="P40" s="1178"/>
      <c r="Q40" s="1179"/>
      <c r="R40" s="1179"/>
      <c r="S40" s="1180"/>
      <c r="T40" s="1177"/>
      <c r="U40" s="1177"/>
      <c r="V40" s="1177"/>
      <c r="W40" s="1177"/>
      <c r="X40" s="1177"/>
      <c r="Y40" s="1177"/>
      <c r="Z40" s="1177"/>
      <c r="AG40" s="380"/>
      <c r="AJ40" s="381"/>
      <c r="BQ40" s="83"/>
    </row>
    <row r="41" spans="1:69" ht="17.350000000000001" customHeight="1" x14ac:dyDescent="0.25">
      <c r="A41" s="107" t="s">
        <v>102</v>
      </c>
      <c r="B41" s="107"/>
      <c r="F41" s="102"/>
      <c r="G41" s="102"/>
      <c r="H41" s="821"/>
      <c r="I41" s="821"/>
      <c r="J41" s="821"/>
      <c r="K41" s="821"/>
      <c r="L41" s="821"/>
      <c r="M41" s="101"/>
      <c r="N41" s="101"/>
      <c r="O41" s="101"/>
      <c r="P41" s="314"/>
      <c r="Q41" s="314"/>
      <c r="R41" s="1181"/>
      <c r="S41" s="1181"/>
      <c r="T41" s="1181"/>
      <c r="V41" s="1177"/>
      <c r="W41" s="1177"/>
      <c r="AD41" s="380"/>
      <c r="AE41" s="380"/>
      <c r="AF41" s="380"/>
      <c r="AG41" s="381"/>
      <c r="AH41" s="381"/>
      <c r="AI41" s="381"/>
      <c r="AJ41" s="381"/>
      <c r="BQ41" s="83"/>
    </row>
    <row r="42" spans="1:69" ht="2.25" customHeight="1" thickBot="1" x14ac:dyDescent="0.25">
      <c r="A42" s="94"/>
      <c r="B42" s="94"/>
      <c r="C42" s="100"/>
      <c r="D42" s="100"/>
      <c r="E42" s="100"/>
      <c r="F42" s="100"/>
      <c r="G42" s="100"/>
      <c r="H42" s="821"/>
      <c r="I42" s="821"/>
      <c r="J42" s="821"/>
      <c r="K42" s="821"/>
      <c r="L42" s="821"/>
      <c r="P42" s="314"/>
      <c r="Q42" s="314"/>
      <c r="R42" s="1179"/>
      <c r="S42" s="1177"/>
      <c r="T42" s="1177"/>
      <c r="U42" s="1177"/>
      <c r="V42" s="1177"/>
      <c r="W42" s="1177"/>
      <c r="AD42" s="380"/>
      <c r="AE42" s="380"/>
      <c r="AF42" s="380"/>
      <c r="AG42" s="381"/>
      <c r="AH42" s="381"/>
      <c r="AI42" s="381"/>
      <c r="AJ42" s="381"/>
      <c r="BQ42" s="83"/>
    </row>
    <row r="43" spans="1:69" s="382" customFormat="1" ht="12.1" customHeight="1" x14ac:dyDescent="0.2">
      <c r="A43" s="388" t="s">
        <v>535</v>
      </c>
      <c r="B43" s="2720" t="s">
        <v>536</v>
      </c>
      <c r="C43" s="2721"/>
      <c r="D43" s="2722"/>
      <c r="E43" s="2517" t="s">
        <v>656</v>
      </c>
      <c r="F43" s="2518"/>
      <c r="G43" s="808" t="s">
        <v>319</v>
      </c>
      <c r="H43" s="806"/>
      <c r="I43" s="806"/>
      <c r="J43" s="806"/>
      <c r="K43" s="806"/>
      <c r="L43" s="806"/>
      <c r="M43" s="806"/>
      <c r="N43" s="807"/>
      <c r="O43" s="314"/>
      <c r="P43" s="314"/>
      <c r="Q43" s="314"/>
      <c r="R43" s="1175"/>
      <c r="S43" s="1175"/>
      <c r="T43" s="1176"/>
      <c r="U43" s="1177"/>
      <c r="V43" s="1177"/>
      <c r="W43" s="1177"/>
      <c r="X43" s="1177"/>
      <c r="Y43" s="1177"/>
      <c r="Z43" s="1177"/>
      <c r="AA43" s="1178"/>
      <c r="AB43" s="1178"/>
      <c r="AC43" s="1178"/>
      <c r="AD43" s="1178"/>
      <c r="AE43" s="1178"/>
      <c r="AF43" s="1178"/>
      <c r="AG43" s="380"/>
      <c r="AH43" s="380"/>
      <c r="AI43" s="380"/>
      <c r="AJ43" s="381"/>
      <c r="AK43" s="381"/>
    </row>
    <row r="44" spans="1:69" s="382" customFormat="1" ht="11.25" customHeight="1" x14ac:dyDescent="0.2">
      <c r="A44" s="849" t="s">
        <v>537</v>
      </c>
      <c r="B44" s="2500"/>
      <c r="C44" s="2501"/>
      <c r="D44" s="2502"/>
      <c r="E44" s="2509"/>
      <c r="F44" s="2510"/>
      <c r="G44" s="2447"/>
      <c r="H44" s="2448"/>
      <c r="I44" s="2448"/>
      <c r="J44" s="2448"/>
      <c r="K44" s="2448"/>
      <c r="L44" s="2448"/>
      <c r="M44" s="2448"/>
      <c r="N44" s="2449"/>
      <c r="O44" s="314"/>
      <c r="P44" s="314"/>
      <c r="Q44" s="314"/>
      <c r="T44" s="1176"/>
      <c r="U44" s="1177"/>
      <c r="V44" s="1177"/>
      <c r="W44" s="1177"/>
      <c r="X44" s="1177"/>
      <c r="Y44" s="1177"/>
      <c r="Z44" s="1177"/>
      <c r="AA44" s="1178"/>
      <c r="AB44" s="1178"/>
      <c r="AC44" s="1178"/>
      <c r="AD44" s="1178"/>
      <c r="AE44" s="1178"/>
      <c r="AF44" s="1178"/>
      <c r="AG44" s="380"/>
      <c r="AH44" s="380"/>
      <c r="AI44" s="380"/>
      <c r="AJ44" s="381"/>
      <c r="AK44" s="381"/>
    </row>
    <row r="45" spans="1:69" s="382" customFormat="1" ht="11.25" customHeight="1" x14ac:dyDescent="0.2">
      <c r="A45" s="850" t="s">
        <v>538</v>
      </c>
      <c r="B45" s="2856"/>
      <c r="C45" s="2857"/>
      <c r="D45" s="2858"/>
      <c r="E45" s="2511"/>
      <c r="F45" s="2512"/>
      <c r="G45" s="2450"/>
      <c r="H45" s="2451"/>
      <c r="I45" s="2451"/>
      <c r="J45" s="2451"/>
      <c r="K45" s="2451"/>
      <c r="L45" s="2451"/>
      <c r="M45" s="2451"/>
      <c r="N45" s="2452"/>
      <c r="O45" s="314"/>
      <c r="T45" s="1176"/>
      <c r="U45" s="1177"/>
      <c r="V45" s="1177"/>
      <c r="W45" s="1177"/>
      <c r="X45" s="1177"/>
      <c r="Y45" s="1177"/>
      <c r="Z45" s="1177"/>
      <c r="AA45" s="1178"/>
      <c r="AB45" s="1178"/>
      <c r="AC45" s="1178"/>
      <c r="AD45" s="1178"/>
      <c r="AE45" s="1178"/>
      <c r="AF45" s="1178"/>
      <c r="AG45" s="380"/>
      <c r="AH45" s="380"/>
      <c r="AI45" s="380"/>
      <c r="AJ45" s="381"/>
      <c r="AK45" s="381"/>
    </row>
    <row r="46" spans="1:69" s="382" customFormat="1" ht="11.25" customHeight="1" x14ac:dyDescent="0.2">
      <c r="A46" s="851" t="s">
        <v>539</v>
      </c>
      <c r="B46" s="2859"/>
      <c r="C46" s="2860"/>
      <c r="D46" s="2861"/>
      <c r="E46" s="2513"/>
      <c r="F46" s="2514"/>
      <c r="G46" s="2453"/>
      <c r="H46" s="2454"/>
      <c r="I46" s="2454"/>
      <c r="J46" s="2454"/>
      <c r="K46" s="2454"/>
      <c r="L46" s="2454"/>
      <c r="M46" s="2454"/>
      <c r="N46" s="2455"/>
      <c r="O46" s="314"/>
      <c r="T46" s="1176"/>
      <c r="U46" s="1177"/>
      <c r="V46" s="1177"/>
      <c r="W46" s="1177"/>
      <c r="X46" s="1177"/>
      <c r="Y46" s="1177"/>
      <c r="Z46" s="1177"/>
      <c r="AA46" s="1178"/>
      <c r="AB46" s="1178"/>
      <c r="AC46" s="1178"/>
      <c r="AD46" s="1178"/>
      <c r="AE46" s="1178"/>
      <c r="AF46" s="1178"/>
      <c r="AG46" s="380"/>
      <c r="AH46" s="380"/>
      <c r="AI46" s="380"/>
      <c r="AJ46" s="381"/>
      <c r="AK46" s="381"/>
    </row>
    <row r="47" spans="1:69" s="382" customFormat="1" ht="13.6" customHeight="1" thickBot="1" x14ac:dyDescent="0.25">
      <c r="A47" s="391" t="s">
        <v>14</v>
      </c>
      <c r="B47" s="805"/>
      <c r="C47" s="805"/>
      <c r="D47" s="805"/>
      <c r="E47" s="2515">
        <f>SUM(E44:F46)</f>
        <v>0</v>
      </c>
      <c r="F47" s="2516"/>
      <c r="G47" s="1173"/>
      <c r="H47" s="1173"/>
      <c r="I47" s="1173"/>
      <c r="J47" s="1173"/>
      <c r="K47" s="1173"/>
      <c r="L47" s="1173"/>
      <c r="M47" s="1173"/>
      <c r="N47" s="1174"/>
      <c r="O47" s="314"/>
      <c r="R47" s="1175"/>
      <c r="S47" s="1175"/>
      <c r="T47" s="1176"/>
      <c r="U47" s="1177"/>
      <c r="V47" s="1177"/>
      <c r="W47" s="1177"/>
      <c r="X47" s="1177"/>
      <c r="Y47" s="1177"/>
      <c r="Z47" s="1177"/>
      <c r="AA47" s="1178"/>
      <c r="AB47" s="1178"/>
      <c r="AC47" s="1178"/>
      <c r="AD47" s="1178"/>
      <c r="AE47" s="1178"/>
      <c r="AF47" s="1178"/>
      <c r="AG47" s="380"/>
      <c r="AH47" s="380"/>
      <c r="AI47" s="380"/>
      <c r="AJ47" s="381"/>
      <c r="AK47" s="381"/>
    </row>
    <row r="48" spans="1:69" ht="5.95" customHeight="1" x14ac:dyDescent="0.2">
      <c r="A48" s="86" t="s">
        <v>12</v>
      </c>
      <c r="C48" s="101"/>
      <c r="D48" s="101"/>
      <c r="E48" s="101"/>
      <c r="F48" s="101"/>
      <c r="G48" s="101"/>
      <c r="P48" s="314"/>
      <c r="Q48" s="314"/>
      <c r="R48" s="1179"/>
      <c r="S48" s="1180"/>
      <c r="T48" s="1177"/>
      <c r="U48" s="1177"/>
      <c r="V48" s="1177"/>
      <c r="W48" s="1177"/>
      <c r="X48" s="1177"/>
      <c r="Y48" s="1177"/>
      <c r="Z48" s="1177"/>
      <c r="AG48" s="380"/>
      <c r="AJ48" s="381"/>
      <c r="BQ48" s="83"/>
    </row>
    <row r="49" spans="1:69" ht="17.350000000000001" customHeight="1" x14ac:dyDescent="0.25">
      <c r="A49" s="1108" t="s">
        <v>732</v>
      </c>
      <c r="B49" s="1108"/>
      <c r="F49" s="102"/>
      <c r="G49" s="102"/>
      <c r="H49" s="314"/>
      <c r="I49" s="314"/>
      <c r="J49" s="314"/>
      <c r="K49" s="314"/>
      <c r="L49" s="314"/>
      <c r="M49" s="101"/>
      <c r="N49" s="101"/>
      <c r="O49" s="101"/>
      <c r="P49" s="314"/>
      <c r="Q49" s="314"/>
      <c r="R49" s="314"/>
      <c r="S49" s="314"/>
      <c r="T49" s="1181"/>
      <c r="V49" s="1177"/>
      <c r="W49" s="1177"/>
      <c r="AD49" s="380"/>
      <c r="AE49" s="380"/>
      <c r="AF49" s="380"/>
      <c r="AG49" s="381"/>
      <c r="AH49" s="381"/>
      <c r="AI49" s="381"/>
      <c r="AJ49" s="381"/>
      <c r="BQ49" s="83"/>
    </row>
    <row r="50" spans="1:69" ht="2.25" customHeight="1" thickBot="1" x14ac:dyDescent="0.25">
      <c r="A50" s="94"/>
      <c r="B50" s="94"/>
      <c r="C50" s="100"/>
      <c r="D50" s="100"/>
      <c r="E50" s="100"/>
      <c r="F50" s="100"/>
      <c r="G50" s="100"/>
      <c r="H50" s="314"/>
      <c r="I50" s="314"/>
      <c r="J50" s="314"/>
      <c r="K50" s="314"/>
      <c r="L50" s="314"/>
      <c r="P50" s="314"/>
      <c r="Q50" s="314"/>
      <c r="R50" s="314"/>
      <c r="S50" s="314"/>
      <c r="T50" s="1177"/>
      <c r="U50" s="1177"/>
      <c r="V50" s="1177"/>
      <c r="W50" s="1177"/>
      <c r="AD50" s="380"/>
      <c r="AE50" s="380"/>
      <c r="AF50" s="380"/>
      <c r="AG50" s="381"/>
      <c r="AH50" s="381"/>
      <c r="AI50" s="381"/>
      <c r="AJ50" s="381"/>
      <c r="BQ50" s="83"/>
    </row>
    <row r="51" spans="1:69" s="382" customFormat="1" ht="11.25" customHeight="1" x14ac:dyDescent="0.2">
      <c r="A51" s="388" t="s">
        <v>318</v>
      </c>
      <c r="B51" s="99"/>
      <c r="C51" s="1460"/>
      <c r="D51" s="1460"/>
      <c r="E51" s="2482" t="s">
        <v>651</v>
      </c>
      <c r="F51" s="2483"/>
      <c r="G51" s="2482" t="s">
        <v>653</v>
      </c>
      <c r="H51" s="2482" t="s">
        <v>667</v>
      </c>
      <c r="I51" s="2483"/>
      <c r="J51" s="2714" t="s">
        <v>730</v>
      </c>
      <c r="K51" s="2482" t="s">
        <v>731</v>
      </c>
      <c r="L51" s="2494"/>
      <c r="M51" s="2494"/>
      <c r="N51" s="2495"/>
      <c r="O51" s="314"/>
      <c r="P51" s="314"/>
      <c r="Q51" s="314"/>
      <c r="R51" s="314"/>
      <c r="S51" s="314"/>
      <c r="T51" s="1176"/>
      <c r="U51" s="1177"/>
      <c r="V51" s="1177"/>
      <c r="W51" s="1177"/>
      <c r="X51" s="1177"/>
      <c r="Y51" s="1177"/>
      <c r="Z51" s="1177"/>
      <c r="AA51" s="1178"/>
      <c r="AB51" s="1178"/>
      <c r="AC51" s="1178"/>
      <c r="AD51" s="1178"/>
      <c r="AE51" s="1178"/>
      <c r="AF51" s="1178"/>
      <c r="AG51" s="380"/>
      <c r="AH51" s="380"/>
      <c r="AI51" s="380"/>
      <c r="AJ51" s="381"/>
      <c r="AK51" s="381"/>
    </row>
    <row r="52" spans="1:69" s="382" customFormat="1" ht="11.25" customHeight="1" x14ac:dyDescent="0.2">
      <c r="A52" s="389"/>
      <c r="B52" s="1383"/>
      <c r="C52" s="555"/>
      <c r="D52" s="555"/>
      <c r="E52" s="2484"/>
      <c r="F52" s="2485"/>
      <c r="G52" s="2484"/>
      <c r="H52" s="2484"/>
      <c r="I52" s="2485"/>
      <c r="J52" s="2715"/>
      <c r="K52" s="2484"/>
      <c r="L52" s="2496"/>
      <c r="M52" s="2496"/>
      <c r="N52" s="2497"/>
      <c r="O52" s="314"/>
      <c r="P52" s="314"/>
      <c r="Q52" s="314"/>
      <c r="R52" s="314"/>
      <c r="S52" s="314"/>
      <c r="T52" s="1176"/>
      <c r="U52" s="1177"/>
      <c r="V52" s="1177"/>
      <c r="W52" s="1177"/>
      <c r="X52" s="1177"/>
      <c r="Y52" s="1177"/>
      <c r="Z52" s="1177"/>
      <c r="AA52" s="1178"/>
      <c r="AB52" s="1178"/>
      <c r="AC52" s="1178"/>
      <c r="AD52" s="1178"/>
      <c r="AE52" s="1178"/>
      <c r="AF52" s="1178"/>
      <c r="AG52" s="380"/>
      <c r="AH52" s="380"/>
      <c r="AI52" s="380"/>
      <c r="AJ52" s="381"/>
      <c r="AK52" s="381"/>
    </row>
    <row r="53" spans="1:69" s="382" customFormat="1" ht="11.25" customHeight="1" x14ac:dyDescent="0.2">
      <c r="A53" s="507"/>
      <c r="B53" s="98"/>
      <c r="C53" s="799"/>
      <c r="D53" s="799"/>
      <c r="E53" s="2528" t="s">
        <v>652</v>
      </c>
      <c r="F53" s="2711"/>
      <c r="G53" s="1462" t="s">
        <v>29</v>
      </c>
      <c r="H53" s="2486" t="s">
        <v>641</v>
      </c>
      <c r="I53" s="2487"/>
      <c r="J53" s="693" t="s">
        <v>655</v>
      </c>
      <c r="K53" s="1473" t="s">
        <v>677</v>
      </c>
      <c r="L53" s="2498" t="s">
        <v>668</v>
      </c>
      <c r="M53" s="2498"/>
      <c r="N53" s="1474" t="s">
        <v>655</v>
      </c>
      <c r="O53" s="314"/>
      <c r="P53" s="314"/>
      <c r="Q53" s="314"/>
      <c r="R53" s="314"/>
      <c r="S53" s="314"/>
      <c r="T53" s="1176"/>
      <c r="U53" s="1177"/>
      <c r="V53" s="1177"/>
      <c r="W53" s="1177"/>
      <c r="X53" s="1177"/>
      <c r="Y53" s="1177"/>
      <c r="Z53" s="1177"/>
      <c r="AA53" s="1178"/>
      <c r="AB53" s="1178"/>
      <c r="AC53" s="1178"/>
      <c r="AD53" s="1178"/>
      <c r="AE53" s="1178"/>
      <c r="AF53" s="1178"/>
      <c r="AG53" s="380"/>
      <c r="AH53" s="380"/>
      <c r="AI53" s="380"/>
      <c r="AJ53" s="381"/>
      <c r="AK53" s="381"/>
    </row>
    <row r="54" spans="1:69" s="88" customFormat="1" ht="13.6" customHeight="1" thickBot="1" x14ac:dyDescent="0.25">
      <c r="A54" s="391" t="s">
        <v>14</v>
      </c>
      <c r="B54" s="91"/>
      <c r="C54" s="90"/>
      <c r="D54" s="90"/>
      <c r="E54" s="2519">
        <f>E39-E47</f>
        <v>0</v>
      </c>
      <c r="F54" s="2519"/>
      <c r="G54" s="1472">
        <f>G39</f>
        <v>0</v>
      </c>
      <c r="H54" s="2492">
        <f>H39</f>
        <v>0</v>
      </c>
      <c r="I54" s="2493"/>
      <c r="J54" s="1407">
        <f>ROUND(E54*H54,-1)</f>
        <v>0</v>
      </c>
      <c r="K54" s="1482">
        <f>IF(E54=0,0,N54/E54*100)</f>
        <v>0</v>
      </c>
      <c r="L54" s="2499"/>
      <c r="M54" s="2499"/>
      <c r="N54" s="1483">
        <f>N39</f>
        <v>0</v>
      </c>
      <c r="O54" s="314"/>
      <c r="P54" s="1182"/>
      <c r="Q54" s="1183"/>
      <c r="R54" s="1176"/>
      <c r="S54" s="1184"/>
      <c r="T54" s="1185"/>
      <c r="U54" s="1177"/>
      <c r="V54" s="1177"/>
      <c r="W54" s="1177"/>
      <c r="X54" s="1177"/>
      <c r="Y54" s="1177"/>
      <c r="Z54" s="1177"/>
      <c r="AA54" s="1178"/>
      <c r="AB54" s="1178"/>
      <c r="AC54" s="1178"/>
      <c r="AD54" s="1178"/>
      <c r="AE54" s="1178"/>
      <c r="AF54" s="1178"/>
      <c r="AG54" s="380"/>
      <c r="AH54" s="380"/>
      <c r="AI54" s="380"/>
      <c r="AJ54" s="381"/>
      <c r="AK54" s="381"/>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row>
    <row r="55" spans="1:69" s="798" customFormat="1" ht="5.95" customHeight="1" x14ac:dyDescent="0.2">
      <c r="A55" s="1186"/>
      <c r="B55" s="1156"/>
      <c r="C55" s="2567"/>
      <c r="D55" s="2567"/>
      <c r="E55" s="2567"/>
      <c r="F55" s="2566"/>
      <c r="G55" s="2566"/>
      <c r="H55" s="1187"/>
      <c r="I55" s="1187"/>
      <c r="J55" s="1187"/>
      <c r="K55" s="1187"/>
      <c r="L55" s="1187"/>
      <c r="M55" s="1187"/>
      <c r="N55" s="1187"/>
      <c r="O55" s="1187"/>
      <c r="P55" s="1188">
        <f>IF(ISBLANK(I55),H55,I55)</f>
        <v>0</v>
      </c>
      <c r="Q55" s="1189"/>
      <c r="R55" s="1190"/>
      <c r="S55" s="1191"/>
      <c r="T55" s="1192"/>
      <c r="U55" s="1192"/>
      <c r="V55" s="1192"/>
      <c r="W55" s="1192"/>
      <c r="X55" s="1192"/>
      <c r="Y55" s="1192"/>
      <c r="Z55" s="1192"/>
      <c r="AA55" s="1193"/>
      <c r="AB55" s="1193"/>
      <c r="AC55" s="1193"/>
      <c r="AD55" s="1193"/>
      <c r="AE55" s="1193"/>
      <c r="AF55" s="1193"/>
      <c r="AG55" s="804"/>
      <c r="AH55" s="804"/>
      <c r="AI55" s="804"/>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row>
    <row r="56" spans="1:69" ht="17.350000000000001" customHeight="1" x14ac:dyDescent="0.25">
      <c r="A56" s="1108" t="s">
        <v>30</v>
      </c>
      <c r="B56" s="1108"/>
      <c r="C56" s="2563" t="str">
        <f>IF(R109=1,"(inkl. externe Kosten)","(ohne externe Kosten)")</f>
        <v>(ohne externe Kosten)</v>
      </c>
      <c r="D56" s="2563"/>
      <c r="F56" s="102"/>
      <c r="G56" s="102"/>
      <c r="K56" s="101"/>
      <c r="L56" s="101"/>
      <c r="M56" s="101"/>
      <c r="N56" s="101"/>
      <c r="O56" s="101"/>
      <c r="P56" s="1178"/>
      <c r="Q56" s="1194"/>
      <c r="R56" s="1181"/>
      <c r="S56" s="1181"/>
      <c r="T56" s="1181"/>
      <c r="V56" s="1177"/>
      <c r="W56" s="1177"/>
      <c r="AD56" s="380"/>
      <c r="AE56" s="380"/>
      <c r="AF56" s="380"/>
      <c r="AG56" s="381"/>
      <c r="AH56" s="381"/>
      <c r="AI56" s="381"/>
      <c r="AJ56" s="381"/>
      <c r="BQ56" s="83"/>
    </row>
    <row r="57" spans="1:69" ht="2.25" customHeight="1" thickBot="1" x14ac:dyDescent="0.25">
      <c r="A57" s="94"/>
      <c r="B57" s="94"/>
      <c r="C57" s="100"/>
      <c r="D57" s="100"/>
      <c r="E57" s="100"/>
      <c r="F57" s="100"/>
      <c r="G57" s="100"/>
      <c r="H57" s="94"/>
      <c r="I57" s="94"/>
      <c r="J57" s="94"/>
      <c r="K57" s="94"/>
      <c r="P57" s="1180"/>
      <c r="Q57" s="1179"/>
      <c r="R57" s="1179"/>
      <c r="S57" s="1177"/>
      <c r="T57" s="1177"/>
      <c r="U57" s="1177"/>
      <c r="V57" s="1177"/>
      <c r="W57" s="1177"/>
      <c r="AD57" s="380"/>
      <c r="AE57" s="380"/>
      <c r="AF57" s="380"/>
      <c r="AG57" s="381"/>
      <c r="AH57" s="381"/>
      <c r="AI57" s="381"/>
      <c r="AJ57" s="381"/>
      <c r="BQ57" s="83"/>
    </row>
    <row r="58" spans="1:69" s="88" customFormat="1" ht="11.25" customHeight="1" x14ac:dyDescent="0.2">
      <c r="A58" s="388" t="s">
        <v>13</v>
      </c>
      <c r="B58" s="99"/>
      <c r="C58" s="99"/>
      <c r="E58" s="2441" t="s">
        <v>631</v>
      </c>
      <c r="F58" s="2443"/>
      <c r="G58" s="2482" t="s">
        <v>31</v>
      </c>
      <c r="H58" s="2494"/>
      <c r="I58" s="2483"/>
      <c r="J58" s="2482" t="s">
        <v>297</v>
      </c>
      <c r="K58" s="2483"/>
      <c r="L58" s="2482" t="s">
        <v>658</v>
      </c>
      <c r="M58" s="2494"/>
      <c r="N58" s="2495"/>
      <c r="S58" s="1195" t="s">
        <v>471</v>
      </c>
      <c r="T58" s="1175"/>
      <c r="U58" s="1176"/>
      <c r="V58" s="1177"/>
      <c r="W58" s="1177"/>
      <c r="X58" s="1177"/>
      <c r="Y58" s="1177"/>
      <c r="Z58" s="1177"/>
      <c r="AA58" s="1178"/>
      <c r="AB58" s="1178"/>
      <c r="AC58" s="1178"/>
      <c r="AD58" s="1178"/>
      <c r="AE58" s="1178"/>
      <c r="AF58" s="1178"/>
      <c r="AG58" s="380"/>
      <c r="AH58" s="380"/>
      <c r="AI58" s="380"/>
      <c r="AJ58" s="381"/>
      <c r="AK58" s="381"/>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row>
    <row r="59" spans="1:69" s="88" customFormat="1" ht="11.25" customHeight="1" x14ac:dyDescent="0.2">
      <c r="A59" s="389"/>
      <c r="B59" s="1383"/>
      <c r="C59" s="1383"/>
      <c r="D59" s="1517"/>
      <c r="E59" s="2570"/>
      <c r="F59" s="2571"/>
      <c r="G59" s="2484"/>
      <c r="H59" s="2496"/>
      <c r="I59" s="2485"/>
      <c r="J59" s="2484"/>
      <c r="K59" s="2485"/>
      <c r="L59" s="2484"/>
      <c r="M59" s="2496"/>
      <c r="N59" s="2497"/>
      <c r="S59" s="1196">
        <f ca="1">Grunddaten!$AT$10</f>
        <v>2016</v>
      </c>
      <c r="T59" s="1197">
        <f ca="1">S59+1</f>
        <v>2017</v>
      </c>
      <c r="U59" s="1197">
        <f t="shared" ref="U59:BP59" ca="1" si="3">T59+1</f>
        <v>2018</v>
      </c>
      <c r="V59" s="1197">
        <f t="shared" ca="1" si="3"/>
        <v>2019</v>
      </c>
      <c r="W59" s="1197">
        <f t="shared" ca="1" si="3"/>
        <v>2020</v>
      </c>
      <c r="X59" s="1197">
        <f t="shared" ca="1" si="3"/>
        <v>2021</v>
      </c>
      <c r="Y59" s="1197">
        <f t="shared" ca="1" si="3"/>
        <v>2022</v>
      </c>
      <c r="Z59" s="1197">
        <f t="shared" ca="1" si="3"/>
        <v>2023</v>
      </c>
      <c r="AA59" s="1197">
        <f t="shared" ca="1" si="3"/>
        <v>2024</v>
      </c>
      <c r="AB59" s="1197">
        <f t="shared" ca="1" si="3"/>
        <v>2025</v>
      </c>
      <c r="AC59" s="1197">
        <f t="shared" ca="1" si="3"/>
        <v>2026</v>
      </c>
      <c r="AD59" s="1197">
        <f t="shared" ca="1" si="3"/>
        <v>2027</v>
      </c>
      <c r="AE59" s="1197">
        <f t="shared" ca="1" si="3"/>
        <v>2028</v>
      </c>
      <c r="AF59" s="1197">
        <f t="shared" ca="1" si="3"/>
        <v>2029</v>
      </c>
      <c r="AG59" s="1197">
        <f t="shared" ca="1" si="3"/>
        <v>2030</v>
      </c>
      <c r="AH59" s="1197">
        <f t="shared" ca="1" si="3"/>
        <v>2031</v>
      </c>
      <c r="AI59" s="1197">
        <f t="shared" ca="1" si="3"/>
        <v>2032</v>
      </c>
      <c r="AJ59" s="1197">
        <f t="shared" ca="1" si="3"/>
        <v>2033</v>
      </c>
      <c r="AK59" s="1197">
        <f t="shared" ca="1" si="3"/>
        <v>2034</v>
      </c>
      <c r="AL59" s="1197">
        <f t="shared" ca="1" si="3"/>
        <v>2035</v>
      </c>
      <c r="AM59" s="1197">
        <f t="shared" ca="1" si="3"/>
        <v>2036</v>
      </c>
      <c r="AN59" s="1197">
        <f t="shared" ca="1" si="3"/>
        <v>2037</v>
      </c>
      <c r="AO59" s="1197">
        <f t="shared" ca="1" si="3"/>
        <v>2038</v>
      </c>
      <c r="AP59" s="1197">
        <f t="shared" ca="1" si="3"/>
        <v>2039</v>
      </c>
      <c r="AQ59" s="1197">
        <f t="shared" ca="1" si="3"/>
        <v>2040</v>
      </c>
      <c r="AR59" s="1197">
        <f t="shared" ca="1" si="3"/>
        <v>2041</v>
      </c>
      <c r="AS59" s="1197">
        <f t="shared" ca="1" si="3"/>
        <v>2042</v>
      </c>
      <c r="AT59" s="1197">
        <f t="shared" ca="1" si="3"/>
        <v>2043</v>
      </c>
      <c r="AU59" s="1197">
        <f t="shared" ca="1" si="3"/>
        <v>2044</v>
      </c>
      <c r="AV59" s="1197">
        <f t="shared" ca="1" si="3"/>
        <v>2045</v>
      </c>
      <c r="AW59" s="1197">
        <f t="shared" ca="1" si="3"/>
        <v>2046</v>
      </c>
      <c r="AX59" s="1197">
        <f t="shared" ca="1" si="3"/>
        <v>2047</v>
      </c>
      <c r="AY59" s="1197">
        <f t="shared" ca="1" si="3"/>
        <v>2048</v>
      </c>
      <c r="AZ59" s="1197">
        <f t="shared" ca="1" si="3"/>
        <v>2049</v>
      </c>
      <c r="BA59" s="1197">
        <f t="shared" ca="1" si="3"/>
        <v>2050</v>
      </c>
      <c r="BB59" s="1197">
        <f t="shared" ca="1" si="3"/>
        <v>2051</v>
      </c>
      <c r="BC59" s="1197">
        <f t="shared" ca="1" si="3"/>
        <v>2052</v>
      </c>
      <c r="BD59" s="1197">
        <f t="shared" ca="1" si="3"/>
        <v>2053</v>
      </c>
      <c r="BE59" s="1197">
        <f t="shared" ca="1" si="3"/>
        <v>2054</v>
      </c>
      <c r="BF59" s="1197">
        <f t="shared" ca="1" si="3"/>
        <v>2055</v>
      </c>
      <c r="BG59" s="1197">
        <f t="shared" ca="1" si="3"/>
        <v>2056</v>
      </c>
      <c r="BH59" s="1197">
        <f t="shared" ca="1" si="3"/>
        <v>2057</v>
      </c>
      <c r="BI59" s="1197">
        <f t="shared" ca="1" si="3"/>
        <v>2058</v>
      </c>
      <c r="BJ59" s="1197">
        <f t="shared" ca="1" si="3"/>
        <v>2059</v>
      </c>
      <c r="BK59" s="1197">
        <f t="shared" ca="1" si="3"/>
        <v>2060</v>
      </c>
      <c r="BL59" s="1197">
        <f t="shared" ca="1" si="3"/>
        <v>2061</v>
      </c>
      <c r="BM59" s="1197">
        <f t="shared" ca="1" si="3"/>
        <v>2062</v>
      </c>
      <c r="BN59" s="1197">
        <f t="shared" ca="1" si="3"/>
        <v>2063</v>
      </c>
      <c r="BO59" s="1197">
        <f t="shared" ca="1" si="3"/>
        <v>2064</v>
      </c>
      <c r="BP59" s="1197">
        <f t="shared" ca="1" si="3"/>
        <v>2065</v>
      </c>
      <c r="BQ59" s="1198">
        <f ca="1">BP59+1</f>
        <v>2066</v>
      </c>
    </row>
    <row r="60" spans="1:69" s="88" customFormat="1" ht="11.25" customHeight="1" x14ac:dyDescent="0.2">
      <c r="A60" s="507"/>
      <c r="B60" s="98"/>
      <c r="C60" s="98"/>
      <c r="D60" s="696"/>
      <c r="E60" s="2444" t="s">
        <v>655</v>
      </c>
      <c r="F60" s="2446"/>
      <c r="G60" s="2444" t="s">
        <v>32</v>
      </c>
      <c r="H60" s="2445"/>
      <c r="I60" s="2446"/>
      <c r="J60" s="2444" t="s">
        <v>657</v>
      </c>
      <c r="K60" s="2446"/>
      <c r="L60" s="2486" t="s">
        <v>655</v>
      </c>
      <c r="M60" s="2488"/>
      <c r="N60" s="2489"/>
      <c r="S60" s="1526"/>
      <c r="T60" s="1181"/>
      <c r="U60" s="1181"/>
      <c r="V60" s="1181"/>
      <c r="W60" s="1181"/>
      <c r="X60" s="1181"/>
      <c r="Y60" s="1181"/>
      <c r="Z60" s="1181"/>
      <c r="AA60" s="1181"/>
      <c r="AB60" s="1181"/>
      <c r="AC60" s="1181"/>
      <c r="AD60" s="1181"/>
      <c r="AE60" s="1181"/>
      <c r="AF60" s="1181"/>
      <c r="AG60" s="1181"/>
      <c r="AH60" s="1181"/>
      <c r="AI60" s="1181"/>
      <c r="AJ60" s="1181"/>
      <c r="AK60" s="1181"/>
      <c r="AL60" s="1181"/>
      <c r="AM60" s="1181"/>
      <c r="AN60" s="1181"/>
      <c r="AO60" s="1181"/>
      <c r="AP60" s="1181"/>
      <c r="AQ60" s="1181"/>
      <c r="AR60" s="1181"/>
      <c r="AS60" s="1181"/>
      <c r="AT60" s="1181"/>
      <c r="AU60" s="1181"/>
      <c r="AV60" s="1181"/>
      <c r="AW60" s="1181"/>
      <c r="AX60" s="1181"/>
      <c r="AY60" s="1181"/>
      <c r="AZ60" s="1181"/>
      <c r="BA60" s="1181"/>
      <c r="BB60" s="1181"/>
      <c r="BC60" s="1181"/>
      <c r="BD60" s="1181"/>
      <c r="BE60" s="1181"/>
      <c r="BF60" s="1181"/>
      <c r="BG60" s="1181"/>
      <c r="BH60" s="1181"/>
      <c r="BI60" s="1181"/>
      <c r="BJ60" s="1181"/>
      <c r="BK60" s="1181"/>
      <c r="BL60" s="1181"/>
      <c r="BM60" s="1181"/>
      <c r="BN60" s="1181"/>
      <c r="BO60" s="1181"/>
      <c r="BP60" s="1181"/>
      <c r="BQ60" s="1527"/>
    </row>
    <row r="61" spans="1:69" s="88" customFormat="1" ht="11.25" customHeight="1" x14ac:dyDescent="0.2">
      <c r="A61" s="508" t="s">
        <v>33</v>
      </c>
      <c r="B61" s="1384"/>
      <c r="C61" s="2490"/>
      <c r="D61" s="2491"/>
      <c r="E61" s="2708">
        <f xml:space="preserve"> VLOOKUP(Projektdaten!G20,Grunddaten!C11:AI44,33,FALSE) * EV_Var2!I67</f>
        <v>0</v>
      </c>
      <c r="F61" s="2709"/>
      <c r="G61" s="2553" t="s">
        <v>34</v>
      </c>
      <c r="H61" s="2710"/>
      <c r="I61" s="2554"/>
      <c r="J61" s="2553" t="s">
        <v>35</v>
      </c>
      <c r="K61" s="2554"/>
      <c r="L61" s="2528" t="s">
        <v>35</v>
      </c>
      <c r="M61" s="2529"/>
      <c r="N61" s="2530"/>
      <c r="S61" s="422"/>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c r="AR61" s="423"/>
      <c r="AS61" s="423"/>
      <c r="AT61" s="423"/>
      <c r="AU61" s="423"/>
      <c r="AV61" s="423"/>
      <c r="AW61" s="423"/>
      <c r="AX61" s="423"/>
      <c r="AY61" s="423"/>
      <c r="AZ61" s="423"/>
      <c r="BA61" s="423"/>
      <c r="BB61" s="423"/>
      <c r="BC61" s="423"/>
      <c r="BD61" s="423"/>
      <c r="BE61" s="423"/>
      <c r="BF61" s="423"/>
      <c r="BG61" s="423"/>
      <c r="BH61" s="423"/>
      <c r="BI61" s="423"/>
      <c r="BJ61" s="423"/>
      <c r="BK61" s="423"/>
      <c r="BL61" s="423"/>
      <c r="BM61" s="423"/>
      <c r="BN61" s="423"/>
      <c r="BO61" s="423"/>
      <c r="BP61" s="423"/>
      <c r="BQ61" s="424"/>
    </row>
    <row r="62" spans="1:69" s="88" customFormat="1" ht="11.25" customHeight="1" x14ac:dyDescent="0.2">
      <c r="A62" s="509" t="s">
        <v>52</v>
      </c>
      <c r="B62" s="1385"/>
      <c r="C62" s="2557">
        <v>0.7</v>
      </c>
      <c r="D62" s="2558"/>
      <c r="E62" s="2473">
        <f>IF(G62,E$61*G62/SUM(G$62:G$65),0)</f>
        <v>0</v>
      </c>
      <c r="F62" s="2474"/>
      <c r="G62" s="2463">
        <f>IF(EV_Var2!$E$67&gt;0,IF(EV_Var2!$E$67&gt;=(EV_Var2!$E$33 + EV_Var2!$E$37),EV_Var2!$E$67-(EV_Var2!$E$33 + EV_Var2!$E$37),0),EV_Var2!$E$67)*C62</f>
        <v>0</v>
      </c>
      <c r="H62" s="2464"/>
      <c r="I62" s="2465"/>
      <c r="J62" s="2551">
        <f ca="1">OFFSET(Grunddaten!$AJ$11,El_Produkt,0)-(1-$R$109)*OFFSET(Grunddaten!$Q$11,El_Produkt,0)</f>
        <v>22.999464000000003</v>
      </c>
      <c r="K62" s="2552"/>
      <c r="L62" s="2525">
        <f t="shared" ref="L62:L76" ca="1" si="4">ROUND(E62+G62*J62/100,-1)</f>
        <v>0</v>
      </c>
      <c r="M62" s="2526"/>
      <c r="N62" s="2527"/>
      <c r="S62" s="1219">
        <f ca="1">IF($G62=0,0,ROUND(OFFSET(Grunddaten!AT11,El_Produkt,0)*((OFFSET(Grunddaten!$AJ$11,El_Produkt,0)-OFFSET(Grunddaten!$Q$11,El_Produkt,0))/100*$G62+$E62),-1))</f>
        <v>0</v>
      </c>
      <c r="T62" s="1220">
        <f ca="1">IF($G62=0,0,ROUND(OFFSET(Grunddaten!AU11,El_Produkt,0)*((OFFSET(Grunddaten!$AJ$11,El_Produkt,0)-OFFSET(Grunddaten!$Q$11,El_Produkt,0))/100*$G62+$E62),-1))</f>
        <v>0</v>
      </c>
      <c r="U62" s="1220">
        <f ca="1">IF($G62=0,0,ROUND(OFFSET(Grunddaten!AV11,El_Produkt,0)*((OFFSET(Grunddaten!$AJ$11,El_Produkt,0)-OFFSET(Grunddaten!$Q$11,El_Produkt,0))/100*$G62+$E62),-1))</f>
        <v>0</v>
      </c>
      <c r="V62" s="1220">
        <f ca="1">IF($G62=0,0,ROUND(OFFSET(Grunddaten!AW11,El_Produkt,0)*((OFFSET(Grunddaten!$AJ$11,El_Produkt,0)-OFFSET(Grunddaten!$Q$11,El_Produkt,0))/100*$G62+$E62),-1))</f>
        <v>0</v>
      </c>
      <c r="W62" s="1220">
        <f ca="1">IF($G62=0,0,ROUND(OFFSET(Grunddaten!AX11,El_Produkt,0)*((OFFSET(Grunddaten!$AJ$11,El_Produkt,0)-OFFSET(Grunddaten!$Q$11,El_Produkt,0))/100*$G62+$E62),-1))</f>
        <v>0</v>
      </c>
      <c r="X62" s="1220">
        <f ca="1">IF($G62=0,0,ROUND(OFFSET(Grunddaten!AY11,El_Produkt,0)*((OFFSET(Grunddaten!$AJ$11,El_Produkt,0)-OFFSET(Grunddaten!$Q$11,El_Produkt,0))/100*$G62+$E62),-1))</f>
        <v>0</v>
      </c>
      <c r="Y62" s="1220">
        <f ca="1">IF($G62=0,0,ROUND(OFFSET(Grunddaten!AZ11,El_Produkt,0)*((OFFSET(Grunddaten!$AJ$11,El_Produkt,0)-OFFSET(Grunddaten!$Q$11,El_Produkt,0))/100*$G62+$E62),-1))</f>
        <v>0</v>
      </c>
      <c r="Z62" s="1220">
        <f ca="1">IF($G62=0,0,ROUND(OFFSET(Grunddaten!BA11,El_Produkt,0)*((OFFSET(Grunddaten!$AJ$11,El_Produkt,0)-OFFSET(Grunddaten!$Q$11,El_Produkt,0))/100*$G62+$E62),-1))</f>
        <v>0</v>
      </c>
      <c r="AA62" s="1220">
        <f ca="1">IF($G62=0,0,ROUND(OFFSET(Grunddaten!BB11,El_Produkt,0)*((OFFSET(Grunddaten!$AJ$11,El_Produkt,0)-OFFSET(Grunddaten!$Q$11,El_Produkt,0))/100*$G62+$E62),-1))</f>
        <v>0</v>
      </c>
      <c r="AB62" s="474">
        <f ca="1">IF($G62=0,0,ROUND(OFFSET(Grunddaten!BC11,El_Produkt,0)*((OFFSET(Grunddaten!$AJ$11,El_Produkt,0)-OFFSET(Grunddaten!$Q$11,El_Produkt,0))/100*$G62+$E62),-1))</f>
        <v>0</v>
      </c>
      <c r="AC62" s="474">
        <f ca="1">IF($G62=0,0,ROUND(OFFSET(Grunddaten!BD11,El_Produkt,0)*((OFFSET(Grunddaten!$AJ$11,El_Produkt,0)-OFFSET(Grunddaten!$Q$11,El_Produkt,0))/100*$G62+$E62),-1))</f>
        <v>0</v>
      </c>
      <c r="AD62" s="474">
        <f ca="1">IF($G62=0,0,ROUND(OFFSET(Grunddaten!BE11,El_Produkt,0)*((OFFSET(Grunddaten!$AJ$11,El_Produkt,0)-OFFSET(Grunddaten!$Q$11,El_Produkt,0))/100*$G62+$E62),-1))</f>
        <v>0</v>
      </c>
      <c r="AE62" s="474">
        <f ca="1">IF($G62=0,0,ROUND(OFFSET(Grunddaten!BF11,El_Produkt,0)*((OFFSET(Grunddaten!$AJ$11,El_Produkt,0)-OFFSET(Grunddaten!$Q$11,El_Produkt,0))/100*$G62+$E62),-1))</f>
        <v>0</v>
      </c>
      <c r="AF62" s="474">
        <f ca="1">IF($G62=0,0,ROUND(OFFSET(Grunddaten!BG11,El_Produkt,0)*((OFFSET(Grunddaten!$AJ$11,El_Produkt,0)-OFFSET(Grunddaten!$Q$11,El_Produkt,0))/100*$G62+$E62),-1))</f>
        <v>0</v>
      </c>
      <c r="AG62" s="474">
        <f ca="1">IF($G62=0,0,ROUND(OFFSET(Grunddaten!BH11,El_Produkt,0)*((OFFSET(Grunddaten!$AJ$11,El_Produkt,0)-OFFSET(Grunddaten!$Q$11,El_Produkt,0))/100*$G62+$E62),-1))</f>
        <v>0</v>
      </c>
      <c r="AH62" s="474">
        <f ca="1">IF($G62=0,0,ROUND(OFFSET(Grunddaten!BI11,El_Produkt,0)*((OFFSET(Grunddaten!$AJ$11,El_Produkt,0)-OFFSET(Grunddaten!$Q$11,El_Produkt,0))/100*$G62+$E62),-1))</f>
        <v>0</v>
      </c>
      <c r="AI62" s="474">
        <f ca="1">IF($G62=0,0,ROUND(OFFSET(Grunddaten!BJ11,El_Produkt,0)*((OFFSET(Grunddaten!$AJ$11,El_Produkt,0)-OFFSET(Grunddaten!$Q$11,El_Produkt,0))/100*$G62+$E62),-1))</f>
        <v>0</v>
      </c>
      <c r="AJ62" s="474">
        <f ca="1">IF($G62=0,0,ROUND(OFFSET(Grunddaten!BK11,El_Produkt,0)*((OFFSET(Grunddaten!$AJ$11,El_Produkt,0)-OFFSET(Grunddaten!$Q$11,El_Produkt,0))/100*$G62+$E62),-1))</f>
        <v>0</v>
      </c>
      <c r="AK62" s="474">
        <f ca="1">IF($G62=0,0,ROUND(OFFSET(Grunddaten!BL11,El_Produkt,0)*((OFFSET(Grunddaten!$AJ$11,El_Produkt,0)-OFFSET(Grunddaten!$Q$11,El_Produkt,0))/100*$G62+$E62),-1))</f>
        <v>0</v>
      </c>
      <c r="AL62" s="474">
        <f ca="1">IF($G62=0,0,ROUND(OFFSET(Grunddaten!BM11,El_Produkt,0)*((OFFSET(Grunddaten!$AJ$11,El_Produkt,0)-OFFSET(Grunddaten!$Q$11,El_Produkt,0))/100*$G62+$E62),-1))</f>
        <v>0</v>
      </c>
      <c r="AM62" s="474">
        <f ca="1">IF($G62=0,0,ROUND(OFFSET(Grunddaten!BN11,El_Produkt,0)*((OFFSET(Grunddaten!$AJ$11,El_Produkt,0)-OFFSET(Grunddaten!$Q$11,El_Produkt,0))/100*$G62+$E62),-1))</f>
        <v>0</v>
      </c>
      <c r="AN62" s="474">
        <f ca="1">IF($G62=0,0,ROUND(OFFSET(Grunddaten!BO11,El_Produkt,0)*((OFFSET(Grunddaten!$AJ$11,El_Produkt,0)-OFFSET(Grunddaten!$Q$11,El_Produkt,0))/100*$G62+$E62),-1))</f>
        <v>0</v>
      </c>
      <c r="AO62" s="474">
        <f ca="1">IF($G62=0,0,ROUND(OFFSET(Grunddaten!BP11,El_Produkt,0)*((OFFSET(Grunddaten!$AJ$11,El_Produkt,0)-OFFSET(Grunddaten!$Q$11,El_Produkt,0))/100*$G62+$E62),-1))</f>
        <v>0</v>
      </c>
      <c r="AP62" s="474">
        <f ca="1">IF($G62=0,0,ROUND(OFFSET(Grunddaten!BQ11,El_Produkt,0)*((OFFSET(Grunddaten!$AJ$11,El_Produkt,0)-OFFSET(Grunddaten!$Q$11,El_Produkt,0))/100*$G62+$E62),-1))</f>
        <v>0</v>
      </c>
      <c r="AQ62" s="474">
        <f ca="1">IF($G62=0,0,ROUND(OFFSET(Grunddaten!BR11,El_Produkt,0)*((OFFSET(Grunddaten!$AJ$11,El_Produkt,0)-OFFSET(Grunddaten!$Q$11,El_Produkt,0))/100*$G62+$E62),-1))</f>
        <v>0</v>
      </c>
      <c r="AR62" s="474">
        <f ca="1">IF($G62=0,0,ROUND(OFFSET(Grunddaten!BS11,El_Produkt,0)*((OFFSET(Grunddaten!$AJ$11,El_Produkt,0)-OFFSET(Grunddaten!$Q$11,El_Produkt,0))/100*$G62+$E62),-1))</f>
        <v>0</v>
      </c>
      <c r="AS62" s="474">
        <f ca="1">IF($G62=0,0,ROUND(OFFSET(Grunddaten!BT11,El_Produkt,0)*((OFFSET(Grunddaten!$AJ$11,El_Produkt,0)-OFFSET(Grunddaten!$Q$11,El_Produkt,0))/100*$G62+$E62),-1))</f>
        <v>0</v>
      </c>
      <c r="AT62" s="474">
        <f ca="1">IF($G62=0,0,ROUND(OFFSET(Grunddaten!BU11,El_Produkt,0)*((OFFSET(Grunddaten!$AJ$11,El_Produkt,0)-OFFSET(Grunddaten!$Q$11,El_Produkt,0))/100*$G62+$E62),-1))</f>
        <v>0</v>
      </c>
      <c r="AU62" s="474">
        <f ca="1">IF($G62=0,0,ROUND(OFFSET(Grunddaten!BV11,El_Produkt,0)*((OFFSET(Grunddaten!$AJ$11,El_Produkt,0)-OFFSET(Grunddaten!$Q$11,El_Produkt,0))/100*$G62+$E62),-1))</f>
        <v>0</v>
      </c>
      <c r="AV62" s="474">
        <f ca="1">IF($G62=0,0,ROUND(OFFSET(Grunddaten!BW11,El_Produkt,0)*((OFFSET(Grunddaten!$AJ$11,El_Produkt,0)-OFFSET(Grunddaten!$Q$11,El_Produkt,0))/100*$G62+$E62),-1))</f>
        <v>0</v>
      </c>
      <c r="AW62" s="474">
        <f ca="1">IF($G62=0,0,ROUND(OFFSET(Grunddaten!BX11,El_Produkt,0)*((OFFSET(Grunddaten!$AJ$11,El_Produkt,0)-OFFSET(Grunddaten!$Q$11,El_Produkt,0))/100*$G62+$E62),-1))</f>
        <v>0</v>
      </c>
      <c r="AX62" s="474">
        <f ca="1">IF($G62=0,0,ROUND(OFFSET(Grunddaten!BY11,El_Produkt,0)*((OFFSET(Grunddaten!$AJ$11,El_Produkt,0)-OFFSET(Grunddaten!$Q$11,El_Produkt,0))/100*$G62+$E62),-1))</f>
        <v>0</v>
      </c>
      <c r="AY62" s="474">
        <f ca="1">IF($G62=0,0,ROUND(OFFSET(Grunddaten!BZ11,El_Produkt,0)*((OFFSET(Grunddaten!$AJ$11,El_Produkt,0)-OFFSET(Grunddaten!$Q$11,El_Produkt,0))/100*$G62+$E62),-1))</f>
        <v>0</v>
      </c>
      <c r="AZ62" s="474">
        <f ca="1">IF($G62=0,0,ROUND(OFFSET(Grunddaten!CA11,El_Produkt,0)*((OFFSET(Grunddaten!$AJ$11,El_Produkt,0)-OFFSET(Grunddaten!$Q$11,El_Produkt,0))/100*$G62+$E62),-1))</f>
        <v>0</v>
      </c>
      <c r="BA62" s="474">
        <f ca="1">IF($G62=0,0,ROUND(OFFSET(Grunddaten!CB11,El_Produkt,0)*((OFFSET(Grunddaten!$AJ$11,El_Produkt,0)-OFFSET(Grunddaten!$Q$11,El_Produkt,0))/100*$G62+$E62),-1))</f>
        <v>0</v>
      </c>
      <c r="BB62" s="474">
        <f ca="1">IF($G62=0,0,ROUND(OFFSET(Grunddaten!CC11,El_Produkt,0)*((OFFSET(Grunddaten!$AJ$11,El_Produkt,0)-OFFSET(Grunddaten!$Q$11,El_Produkt,0))/100*$G62+$E62),-1))</f>
        <v>0</v>
      </c>
      <c r="BC62" s="474">
        <f ca="1">IF($G62=0,0,ROUND(OFFSET(Grunddaten!CD11,El_Produkt,0)*((OFFSET(Grunddaten!$AJ$11,El_Produkt,0)-OFFSET(Grunddaten!$Q$11,El_Produkt,0))/100*$G62+$E62),-1))</f>
        <v>0</v>
      </c>
      <c r="BD62" s="474">
        <f ca="1">IF($G62=0,0,ROUND(OFFSET(Grunddaten!CE11,El_Produkt,0)*((OFFSET(Grunddaten!$AJ$11,El_Produkt,0)-OFFSET(Grunddaten!$Q$11,El_Produkt,0))/100*$G62+$E62),-1))</f>
        <v>0</v>
      </c>
      <c r="BE62" s="474">
        <f ca="1">IF($G62=0,0,ROUND(OFFSET(Grunddaten!CF11,El_Produkt,0)*((OFFSET(Grunddaten!$AJ$11,El_Produkt,0)-OFFSET(Grunddaten!$Q$11,El_Produkt,0))/100*$G62+$E62),-1))</f>
        <v>0</v>
      </c>
      <c r="BF62" s="474">
        <f ca="1">IF($G62=0,0,ROUND(OFFSET(Grunddaten!CG11,El_Produkt,0)*((OFFSET(Grunddaten!$AJ$11,El_Produkt,0)-OFFSET(Grunddaten!$Q$11,El_Produkt,0))/100*$G62+$E62),-1))</f>
        <v>0</v>
      </c>
      <c r="BG62" s="474">
        <f ca="1">IF($G62=0,0,ROUND(OFFSET(Grunddaten!CH11,El_Produkt,0)*((OFFSET(Grunddaten!$AJ$11,El_Produkt,0)-OFFSET(Grunddaten!$Q$11,El_Produkt,0))/100*$G62+$E62),-1))</f>
        <v>0</v>
      </c>
      <c r="BH62" s="474">
        <f ca="1">IF($G62=0,0,ROUND(OFFSET(Grunddaten!CI11,El_Produkt,0)*((OFFSET(Grunddaten!$AJ$11,El_Produkt,0)-OFFSET(Grunddaten!$Q$11,El_Produkt,0))/100*$G62+$E62),-1))</f>
        <v>0</v>
      </c>
      <c r="BI62" s="474">
        <f ca="1">IF($G62=0,0,ROUND(OFFSET(Grunddaten!CJ11,El_Produkt,0)*((OFFSET(Grunddaten!$AJ$11,El_Produkt,0)-OFFSET(Grunddaten!$Q$11,El_Produkt,0))/100*$G62+$E62),-1))</f>
        <v>0</v>
      </c>
      <c r="BJ62" s="474">
        <f ca="1">IF($G62=0,0,ROUND(OFFSET(Grunddaten!CK11,El_Produkt,0)*((OFFSET(Grunddaten!$AJ$11,El_Produkt,0)-OFFSET(Grunddaten!$Q$11,El_Produkt,0))/100*$G62+$E62),-1))</f>
        <v>0</v>
      </c>
      <c r="BK62" s="474">
        <f ca="1">IF($G62=0,0,ROUND(OFFSET(Grunddaten!CL11,El_Produkt,0)*((OFFSET(Grunddaten!$AJ$11,El_Produkt,0)-OFFSET(Grunddaten!$Q$11,El_Produkt,0))/100*$G62+$E62),-1))</f>
        <v>0</v>
      </c>
      <c r="BL62" s="474">
        <f ca="1">IF($G62=0,0,ROUND(OFFSET(Grunddaten!CM11,El_Produkt,0)*((OFFSET(Grunddaten!$AJ$11,El_Produkt,0)-OFFSET(Grunddaten!$Q$11,El_Produkt,0))/100*$G62+$E62),-1))</f>
        <v>0</v>
      </c>
      <c r="BM62" s="474">
        <f ca="1">IF($G62=0,0,ROUND(OFFSET(Grunddaten!CN11,El_Produkt,0)*((OFFSET(Grunddaten!$AJ$11,El_Produkt,0)-OFFSET(Grunddaten!$Q$11,El_Produkt,0))/100*$G62+$E62),-1))</f>
        <v>0</v>
      </c>
      <c r="BN62" s="474">
        <f ca="1">IF($G62=0,0,ROUND(OFFSET(Grunddaten!CO11,El_Produkt,0)*((OFFSET(Grunddaten!$AJ$11,El_Produkt,0)-OFFSET(Grunddaten!$Q$11,El_Produkt,0))/100*$G62+$E62),-1))</f>
        <v>0</v>
      </c>
      <c r="BO62" s="474">
        <f ca="1">IF($G62=0,0,ROUND(OFFSET(Grunddaten!CP11,El_Produkt,0)*((OFFSET(Grunddaten!$AJ$11,El_Produkt,0)-OFFSET(Grunddaten!$Q$11,El_Produkt,0))/100*$G62+$E62),-1))</f>
        <v>0</v>
      </c>
      <c r="BP62" s="474">
        <f ca="1">IF($G62=0,0,ROUND(OFFSET(Grunddaten!CQ11,El_Produkt,0)*((OFFSET(Grunddaten!$AJ$11,El_Produkt,0)-OFFSET(Grunddaten!$Q$11,El_Produkt,0))/100*$G62+$E62),-1))</f>
        <v>0</v>
      </c>
      <c r="BQ62" s="475">
        <f ca="1">IF($G62=0,0,ROUND(OFFSET(Grunddaten!CR11,El_Produkt,0)*((OFFSET(Grunddaten!$AJ$11,El_Produkt,0)-OFFSET(Grunddaten!$Q$11,El_Produkt,0))/100*$G62+$E62),-1))</f>
        <v>0</v>
      </c>
    </row>
    <row r="63" spans="1:69" s="88" customFormat="1" ht="11.25" customHeight="1" x14ac:dyDescent="0.2">
      <c r="A63" s="510" t="s">
        <v>53</v>
      </c>
      <c r="B63" s="1386"/>
      <c r="C63" s="2559">
        <f>1-C62</f>
        <v>0.30000000000000004</v>
      </c>
      <c r="D63" s="2560"/>
      <c r="E63" s="2475">
        <f>IF(G63,E$61*G63/SUM(G$62:G$65),0)</f>
        <v>0</v>
      </c>
      <c r="F63" s="2476"/>
      <c r="G63" s="2470">
        <f>IF(EV_Var2!$E$67&gt;0,IF(EV_Var2!$E$67&gt;=(EV_Var2!$E$33 + EV_Var2!$E$37),EV_Var2!$E$67-(EV_Var2!$E$33 + EV_Var2!$E$37),0),EV_Var2!$E$67)*C63</f>
        <v>0</v>
      </c>
      <c r="H63" s="2471"/>
      <c r="I63" s="2472"/>
      <c r="J63" s="2555">
        <f ca="1">OFFSET(Grunddaten!$AK$11,El_Produkt,0)-(1-$R$109)*OFFSET(Grunddaten!$Q$11,El_Produkt,0)</f>
        <v>13.916124</v>
      </c>
      <c r="K63" s="2556"/>
      <c r="L63" s="2531">
        <f t="shared" ca="1" si="4"/>
        <v>0</v>
      </c>
      <c r="M63" s="2532"/>
      <c r="N63" s="2533"/>
      <c r="S63" s="1221">
        <f ca="1">IF($G63=0,0,ROUND(OFFSET(Grunddaten!AT11,El_Produkt,0)*((OFFSET(Grunddaten!$AK$11,El_Produkt,0)-OFFSET(Grunddaten!$Q$11,El_Produkt,0))/100*$G63+$E63),-1))</f>
        <v>0</v>
      </c>
      <c r="T63" s="1222">
        <f ca="1">IF($G63=0,0,ROUND(OFFSET(Grunddaten!AU11,El_Produkt,0)*((OFFSET(Grunddaten!$AK$11,El_Produkt,0)-OFFSET(Grunddaten!$Q$11,El_Produkt,0))/100*$G63+$E63),-1))</f>
        <v>0</v>
      </c>
      <c r="U63" s="1222">
        <f ca="1">IF($G63=0,0,ROUND(OFFSET(Grunddaten!AV11,El_Produkt,0)*((OFFSET(Grunddaten!$AK$11,El_Produkt,0)-OFFSET(Grunddaten!$Q$11,El_Produkt,0))/100*$G63+$E63),-1))</f>
        <v>0</v>
      </c>
      <c r="V63" s="1222">
        <f ca="1">IF($G63=0,0,ROUND(OFFSET(Grunddaten!AW11,El_Produkt,0)*((OFFSET(Grunddaten!$AK$11,El_Produkt,0)-OFFSET(Grunddaten!$Q$11,El_Produkt,0))/100*$G63+$E63),-1))</f>
        <v>0</v>
      </c>
      <c r="W63" s="1222">
        <f ca="1">IF($G63=0,0,ROUND(OFFSET(Grunddaten!AX11,El_Produkt,0)*((OFFSET(Grunddaten!$AK$11,El_Produkt,0)-OFFSET(Grunddaten!$Q$11,El_Produkt,0))/100*$G63+$E63),-1))</f>
        <v>0</v>
      </c>
      <c r="X63" s="1222">
        <f ca="1">IF($G63=0,0,ROUND(OFFSET(Grunddaten!AY11,El_Produkt,0)*((OFFSET(Grunddaten!$AK$11,El_Produkt,0)-OFFSET(Grunddaten!$Q$11,El_Produkt,0))/100*$G63+$E63),-1))</f>
        <v>0</v>
      </c>
      <c r="Y63" s="1222">
        <f ca="1">IF($G63=0,0,ROUND(OFFSET(Grunddaten!AZ11,El_Produkt,0)*((OFFSET(Grunddaten!$AK$11,El_Produkt,0)-OFFSET(Grunddaten!$Q$11,El_Produkt,0))/100*$G63+$E63),-1))</f>
        <v>0</v>
      </c>
      <c r="Z63" s="1222">
        <f ca="1">IF($G63=0,0,ROUND(OFFSET(Grunddaten!BA11,El_Produkt,0)*((OFFSET(Grunddaten!$AK$11,El_Produkt,0)-OFFSET(Grunddaten!$Q$11,El_Produkt,0))/100*$G63+$E63),-1))</f>
        <v>0</v>
      </c>
      <c r="AA63" s="1222">
        <f ca="1">IF($G63=0,0,ROUND(OFFSET(Grunddaten!BB11,El_Produkt,0)*((OFFSET(Grunddaten!$AK$11,El_Produkt,0)-OFFSET(Grunddaten!$Q$11,El_Produkt,0))/100*$G63+$E63),-1))</f>
        <v>0</v>
      </c>
      <c r="AB63" s="477">
        <f ca="1">IF($G63=0,0,ROUND(OFFSET(Grunddaten!BC11,El_Produkt,0)*((OFFSET(Grunddaten!$AK$11,El_Produkt,0)-OFFSET(Grunddaten!$Q$11,El_Produkt,0))/100*$G63+$E63),-1))</f>
        <v>0</v>
      </c>
      <c r="AC63" s="477">
        <f ca="1">IF($G63=0,0,ROUND(OFFSET(Grunddaten!BD11,El_Produkt,0)*((OFFSET(Grunddaten!$AK$11,El_Produkt,0)-OFFSET(Grunddaten!$Q$11,El_Produkt,0))/100*$G63+$E63),-1))</f>
        <v>0</v>
      </c>
      <c r="AD63" s="477">
        <f ca="1">IF($G63=0,0,ROUND(OFFSET(Grunddaten!BE11,El_Produkt,0)*((OFFSET(Grunddaten!$AK$11,El_Produkt,0)-OFFSET(Grunddaten!$Q$11,El_Produkt,0))/100*$G63+$E63),-1))</f>
        <v>0</v>
      </c>
      <c r="AE63" s="477">
        <f ca="1">IF($G63=0,0,ROUND(OFFSET(Grunddaten!BF11,El_Produkt,0)*((OFFSET(Grunddaten!$AK$11,El_Produkt,0)-OFFSET(Grunddaten!$Q$11,El_Produkt,0))/100*$G63+$E63),-1))</f>
        <v>0</v>
      </c>
      <c r="AF63" s="477">
        <f ca="1">IF($G63=0,0,ROUND(OFFSET(Grunddaten!BG11,El_Produkt,0)*((OFFSET(Grunddaten!$AK$11,El_Produkt,0)-OFFSET(Grunddaten!$Q$11,El_Produkt,0))/100*$G63+$E63),-1))</f>
        <v>0</v>
      </c>
      <c r="AG63" s="477">
        <f ca="1">IF($G63=0,0,ROUND(OFFSET(Grunddaten!BH11,El_Produkt,0)*((OFFSET(Grunddaten!$AK$11,El_Produkt,0)-OFFSET(Grunddaten!$Q$11,El_Produkt,0))/100*$G63+$E63),-1))</f>
        <v>0</v>
      </c>
      <c r="AH63" s="477">
        <f ca="1">IF($G63=0,0,ROUND(OFFSET(Grunddaten!BI11,El_Produkt,0)*((OFFSET(Grunddaten!$AK$11,El_Produkt,0)-OFFSET(Grunddaten!$Q$11,El_Produkt,0))/100*$G63+$E63),-1))</f>
        <v>0</v>
      </c>
      <c r="AI63" s="477">
        <f ca="1">IF($G63=0,0,ROUND(OFFSET(Grunddaten!BJ11,El_Produkt,0)*((OFFSET(Grunddaten!$AK$11,El_Produkt,0)-OFFSET(Grunddaten!$Q$11,El_Produkt,0))/100*$G63+$E63),-1))</f>
        <v>0</v>
      </c>
      <c r="AJ63" s="477">
        <f ca="1">IF($G63=0,0,ROUND(OFFSET(Grunddaten!BK11,El_Produkt,0)*((OFFSET(Grunddaten!$AK$11,El_Produkt,0)-OFFSET(Grunddaten!$Q$11,El_Produkt,0))/100*$G63+$E63),-1))</f>
        <v>0</v>
      </c>
      <c r="AK63" s="477">
        <f ca="1">IF($G63=0,0,ROUND(OFFSET(Grunddaten!BL11,El_Produkt,0)*((OFFSET(Grunddaten!$AK$11,El_Produkt,0)-OFFSET(Grunddaten!$Q$11,El_Produkt,0))/100*$G63+$E63),-1))</f>
        <v>0</v>
      </c>
      <c r="AL63" s="477">
        <f ca="1">IF($G63=0,0,ROUND(OFFSET(Grunddaten!BM11,El_Produkt,0)*((OFFSET(Grunddaten!$AK$11,El_Produkt,0)-OFFSET(Grunddaten!$Q$11,El_Produkt,0))/100*$G63+$E63),-1))</f>
        <v>0</v>
      </c>
      <c r="AM63" s="477">
        <f ca="1">IF($G63=0,0,ROUND(OFFSET(Grunddaten!BN11,El_Produkt,0)*((OFFSET(Grunddaten!$AK$11,El_Produkt,0)-OFFSET(Grunddaten!$Q$11,El_Produkt,0))/100*$G63+$E63),-1))</f>
        <v>0</v>
      </c>
      <c r="AN63" s="477">
        <f ca="1">IF($G63=0,0,ROUND(OFFSET(Grunddaten!BO11,El_Produkt,0)*((OFFSET(Grunddaten!$AK$11,El_Produkt,0)-OFFSET(Grunddaten!$Q$11,El_Produkt,0))/100*$G63+$E63),-1))</f>
        <v>0</v>
      </c>
      <c r="AO63" s="477">
        <f ca="1">IF($G63=0,0,ROUND(OFFSET(Grunddaten!BP11,El_Produkt,0)*((OFFSET(Grunddaten!$AK$11,El_Produkt,0)-OFFSET(Grunddaten!$Q$11,El_Produkt,0))/100*$G63+$E63),-1))</f>
        <v>0</v>
      </c>
      <c r="AP63" s="477">
        <f ca="1">IF($G63=0,0,ROUND(OFFSET(Grunddaten!BQ11,El_Produkt,0)*((OFFSET(Grunddaten!$AK$11,El_Produkt,0)-OFFSET(Grunddaten!$Q$11,El_Produkt,0))/100*$G63+$E63),-1))</f>
        <v>0</v>
      </c>
      <c r="AQ63" s="477">
        <f ca="1">IF($G63=0,0,ROUND(OFFSET(Grunddaten!BR11,El_Produkt,0)*((OFFSET(Grunddaten!$AK$11,El_Produkt,0)-OFFSET(Grunddaten!$Q$11,El_Produkt,0))/100*$G63+$E63),-1))</f>
        <v>0</v>
      </c>
      <c r="AR63" s="477">
        <f ca="1">IF($G63=0,0,ROUND(OFFSET(Grunddaten!BS11,El_Produkt,0)*((OFFSET(Grunddaten!$AK$11,El_Produkt,0)-OFFSET(Grunddaten!$Q$11,El_Produkt,0))/100*$G63+$E63),-1))</f>
        <v>0</v>
      </c>
      <c r="AS63" s="477">
        <f ca="1">IF($G63=0,0,ROUND(OFFSET(Grunddaten!BT11,El_Produkt,0)*((OFFSET(Grunddaten!$AK$11,El_Produkt,0)-OFFSET(Grunddaten!$Q$11,El_Produkt,0))/100*$G63+$E63),-1))</f>
        <v>0</v>
      </c>
      <c r="AT63" s="477">
        <f ca="1">IF($G63=0,0,ROUND(OFFSET(Grunddaten!BU11,El_Produkt,0)*((OFFSET(Grunddaten!$AK$11,El_Produkt,0)-OFFSET(Grunddaten!$Q$11,El_Produkt,0))/100*$G63+$E63),-1))</f>
        <v>0</v>
      </c>
      <c r="AU63" s="477">
        <f ca="1">IF($G63=0,0,ROUND(OFFSET(Grunddaten!BV11,El_Produkt,0)*((OFFSET(Grunddaten!$AK$11,El_Produkt,0)-OFFSET(Grunddaten!$Q$11,El_Produkt,0))/100*$G63+$E63),-1))</f>
        <v>0</v>
      </c>
      <c r="AV63" s="477">
        <f ca="1">IF($G63=0,0,ROUND(OFFSET(Grunddaten!BW11,El_Produkt,0)*((OFFSET(Grunddaten!$AK$11,El_Produkt,0)-OFFSET(Grunddaten!$Q$11,El_Produkt,0))/100*$G63+$E63),-1))</f>
        <v>0</v>
      </c>
      <c r="AW63" s="477">
        <f ca="1">IF($G63=0,0,ROUND(OFFSET(Grunddaten!BX11,El_Produkt,0)*((OFFSET(Grunddaten!$AK$11,El_Produkt,0)-OFFSET(Grunddaten!$Q$11,El_Produkt,0))/100*$G63+$E63),-1))</f>
        <v>0</v>
      </c>
      <c r="AX63" s="477">
        <f ca="1">IF($G63=0,0,ROUND(OFFSET(Grunddaten!BY11,El_Produkt,0)*((OFFSET(Grunddaten!$AK$11,El_Produkt,0)-OFFSET(Grunddaten!$Q$11,El_Produkt,0))/100*$G63+$E63),-1))</f>
        <v>0</v>
      </c>
      <c r="AY63" s="477">
        <f ca="1">IF($G63=0,0,ROUND(OFFSET(Grunddaten!BZ11,El_Produkt,0)*((OFFSET(Grunddaten!$AK$11,El_Produkt,0)-OFFSET(Grunddaten!$Q$11,El_Produkt,0))/100*$G63+$E63),-1))</f>
        <v>0</v>
      </c>
      <c r="AZ63" s="477">
        <f ca="1">IF($G63=0,0,ROUND(OFFSET(Grunddaten!CA11,El_Produkt,0)*((OFFSET(Grunddaten!$AK$11,El_Produkt,0)-OFFSET(Grunddaten!$Q$11,El_Produkt,0))/100*$G63+$E63),-1))</f>
        <v>0</v>
      </c>
      <c r="BA63" s="477">
        <f ca="1">IF($G63=0,0,ROUND(OFFSET(Grunddaten!CB11,El_Produkt,0)*((OFFSET(Grunddaten!$AK$11,El_Produkt,0)-OFFSET(Grunddaten!$Q$11,El_Produkt,0))/100*$G63+$E63),-1))</f>
        <v>0</v>
      </c>
      <c r="BB63" s="477">
        <f ca="1">IF($G63=0,0,ROUND(OFFSET(Grunddaten!CC11,El_Produkt,0)*((OFFSET(Grunddaten!$AK$11,El_Produkt,0)-OFFSET(Grunddaten!$Q$11,El_Produkt,0))/100*$G63+$E63),-1))</f>
        <v>0</v>
      </c>
      <c r="BC63" s="477">
        <f ca="1">IF($G63=0,0,ROUND(OFFSET(Grunddaten!CD11,El_Produkt,0)*((OFFSET(Grunddaten!$AK$11,El_Produkt,0)-OFFSET(Grunddaten!$Q$11,El_Produkt,0))/100*$G63+$E63),-1))</f>
        <v>0</v>
      </c>
      <c r="BD63" s="477">
        <f ca="1">IF($G63=0,0,ROUND(OFFSET(Grunddaten!CE11,El_Produkt,0)*((OFFSET(Grunddaten!$AK$11,El_Produkt,0)-OFFSET(Grunddaten!$Q$11,El_Produkt,0))/100*$G63+$E63),-1))</f>
        <v>0</v>
      </c>
      <c r="BE63" s="477">
        <f ca="1">IF($G63=0,0,ROUND(OFFSET(Grunddaten!CF11,El_Produkt,0)*((OFFSET(Grunddaten!$AK$11,El_Produkt,0)-OFFSET(Grunddaten!$Q$11,El_Produkt,0))/100*$G63+$E63),-1))</f>
        <v>0</v>
      </c>
      <c r="BF63" s="477">
        <f ca="1">IF($G63=0,0,ROUND(OFFSET(Grunddaten!CG11,El_Produkt,0)*((OFFSET(Grunddaten!$AK$11,El_Produkt,0)-OFFSET(Grunddaten!$Q$11,El_Produkt,0))/100*$G63+$E63),-1))</f>
        <v>0</v>
      </c>
      <c r="BG63" s="477">
        <f ca="1">IF($G63=0,0,ROUND(OFFSET(Grunddaten!CH11,El_Produkt,0)*((OFFSET(Grunddaten!$AK$11,El_Produkt,0)-OFFSET(Grunddaten!$Q$11,El_Produkt,0))/100*$G63+$E63),-1))</f>
        <v>0</v>
      </c>
      <c r="BH63" s="477">
        <f ca="1">IF($G63=0,0,ROUND(OFFSET(Grunddaten!CI11,El_Produkt,0)*((OFFSET(Grunddaten!$AK$11,El_Produkt,0)-OFFSET(Grunddaten!$Q$11,El_Produkt,0))/100*$G63+$E63),-1))</f>
        <v>0</v>
      </c>
      <c r="BI63" s="477">
        <f ca="1">IF($G63=0,0,ROUND(OFFSET(Grunddaten!CJ11,El_Produkt,0)*((OFFSET(Grunddaten!$AK$11,El_Produkt,0)-OFFSET(Grunddaten!$Q$11,El_Produkt,0))/100*$G63+$E63),-1))</f>
        <v>0</v>
      </c>
      <c r="BJ63" s="477">
        <f ca="1">IF($G63=0,0,ROUND(OFFSET(Grunddaten!CK11,El_Produkt,0)*((OFFSET(Grunddaten!$AK$11,El_Produkt,0)-OFFSET(Grunddaten!$Q$11,El_Produkt,0))/100*$G63+$E63),-1))</f>
        <v>0</v>
      </c>
      <c r="BK63" s="477">
        <f ca="1">IF($G63=0,0,ROUND(OFFSET(Grunddaten!CL11,El_Produkt,0)*((OFFSET(Grunddaten!$AK$11,El_Produkt,0)-OFFSET(Grunddaten!$Q$11,El_Produkt,0))/100*$G63+$E63),-1))</f>
        <v>0</v>
      </c>
      <c r="BL63" s="477">
        <f ca="1">IF($G63=0,0,ROUND(OFFSET(Grunddaten!CM11,El_Produkt,0)*((OFFSET(Grunddaten!$AK$11,El_Produkt,0)-OFFSET(Grunddaten!$Q$11,El_Produkt,0))/100*$G63+$E63),-1))</f>
        <v>0</v>
      </c>
      <c r="BM63" s="477">
        <f ca="1">IF($G63=0,0,ROUND(OFFSET(Grunddaten!CN11,El_Produkt,0)*((OFFSET(Grunddaten!$AK$11,El_Produkt,0)-OFFSET(Grunddaten!$Q$11,El_Produkt,0))/100*$G63+$E63),-1))</f>
        <v>0</v>
      </c>
      <c r="BN63" s="477">
        <f ca="1">IF($G63=0,0,ROUND(OFFSET(Grunddaten!CO11,El_Produkt,0)*((OFFSET(Grunddaten!$AK$11,El_Produkt,0)-OFFSET(Grunddaten!$Q$11,El_Produkt,0))/100*$G63+$E63),-1))</f>
        <v>0</v>
      </c>
      <c r="BO63" s="477">
        <f ca="1">IF($G63=0,0,ROUND(OFFSET(Grunddaten!CP11,El_Produkt,0)*((OFFSET(Grunddaten!$AK$11,El_Produkt,0)-OFFSET(Grunddaten!$Q$11,El_Produkt,0))/100*$G63+$E63),-1))</f>
        <v>0</v>
      </c>
      <c r="BP63" s="477">
        <f ca="1">IF($G63=0,0,ROUND(OFFSET(Grunddaten!CQ11,El_Produkt,0)*((OFFSET(Grunddaten!$AK$11,El_Produkt,0)-OFFSET(Grunddaten!$Q$11,El_Produkt,0))/100*$G63+$E63),-1))</f>
        <v>0</v>
      </c>
      <c r="BQ63" s="478">
        <f ca="1">IF($G63=0,0,ROUND(OFFSET(Grunddaten!CR11,El_Produkt,0)*((OFFSET(Grunddaten!$AK$11,El_Produkt,0)-OFFSET(Grunddaten!$Q$11,El_Produkt,0))/100*$G63+$E63),-1))</f>
        <v>0</v>
      </c>
    </row>
    <row r="64" spans="1:69" s="88" customFormat="1" ht="11.25" customHeight="1" x14ac:dyDescent="0.2">
      <c r="A64" s="511" t="s">
        <v>453</v>
      </c>
      <c r="B64" s="1387"/>
      <c r="C64" s="2557">
        <v>0.7</v>
      </c>
      <c r="D64" s="2558"/>
      <c r="E64" s="2473">
        <f>IF(G64,E$61*G64/SUM(G$62:G$65),0)</f>
        <v>0</v>
      </c>
      <c r="F64" s="2474"/>
      <c r="G64" s="2463">
        <f>IF(EV_Var2!$E$67&gt;=0,IF(EV_Var2!$E$67&gt;=(EV_Var2!$E$33 + EV_Var2!$E$37),(EV_Var2!$E$33 + EV_Var2!$E$37),EV_Var2!$E$67),0)*C64</f>
        <v>0</v>
      </c>
      <c r="H64" s="2464"/>
      <c r="I64" s="2465"/>
      <c r="J64" s="2551">
        <f ca="1">OFFSET(Grunddaten!$AL$11,El_Produkt,0)-(1-$R$109)*OFFSET(Grunddaten!$Q$11,El_Produkt,0)</f>
        <v>22.999464000000003</v>
      </c>
      <c r="K64" s="2552"/>
      <c r="L64" s="2525">
        <f t="shared" ca="1" si="4"/>
        <v>0</v>
      </c>
      <c r="M64" s="2526"/>
      <c r="N64" s="2527"/>
      <c r="P64" s="2864" t="s">
        <v>489</v>
      </c>
      <c r="Q64" s="2862">
        <f ca="1">OFFSET(Grunddaten!AT11,MATCH(Projektdaten!$G$20,Grunddaten!$C$11:$C$44,0)-1,-1)</f>
        <v>0</v>
      </c>
      <c r="S64" s="1219">
        <f ca="1">IF($G64=0,0,ROUND(OFFSET(Grunddaten!AT11,El_Produkt,0)*((OFFSET(Grunddaten!$AL$11,El_Produkt,0)-OFFSET(Grunddaten!$Q$11,El_Produkt,0))/100*$G64+$E64),-1))</f>
        <v>0</v>
      </c>
      <c r="T64" s="1220">
        <f ca="1">IF($G64=0,0,ROUND(OFFSET(Grunddaten!AU11,El_Produkt,0)*((OFFSET(Grunddaten!$AL$11,El_Produkt,0)-OFFSET(Grunddaten!$Q$11,El_Produkt,0))/100*$G64+$E64),-1))</f>
        <v>0</v>
      </c>
      <c r="U64" s="1220">
        <f ca="1">IF($G64=0,0,ROUND(OFFSET(Grunddaten!AV11,El_Produkt,0)*((OFFSET(Grunddaten!$AL$11,El_Produkt,0)-OFFSET(Grunddaten!$Q$11,El_Produkt,0))/100*$G64+$E64),-1))</f>
        <v>0</v>
      </c>
      <c r="V64" s="1220">
        <f ca="1">IF($G64=0,0,ROUND(OFFSET(Grunddaten!AW11,El_Produkt,0)*((OFFSET(Grunddaten!$AL$11,El_Produkt,0)-OFFSET(Grunddaten!$Q$11,El_Produkt,0))/100*$G64+$E64),-1))</f>
        <v>0</v>
      </c>
      <c r="W64" s="1220">
        <f ca="1">IF($G64=0,0,ROUND(OFFSET(Grunddaten!AX11,El_Produkt,0)*((OFFSET(Grunddaten!$AL$11,El_Produkt,0)-OFFSET(Grunddaten!$Q$11,El_Produkt,0))/100*$G64+$E64),-1))</f>
        <v>0</v>
      </c>
      <c r="X64" s="1220">
        <f ca="1">IF($G64=0,0,ROUND(OFFSET(Grunddaten!AY11,El_Produkt,0)*((OFFSET(Grunddaten!$AL$11,El_Produkt,0)-OFFSET(Grunddaten!$Q$11,El_Produkt,0))/100*$G64+$E64),-1))</f>
        <v>0</v>
      </c>
      <c r="Y64" s="1220">
        <f ca="1">IF($G64=0,0,ROUND(OFFSET(Grunddaten!AZ11,El_Produkt,0)*((OFFSET(Grunddaten!$AL$11,El_Produkt,0)-OFFSET(Grunddaten!$Q$11,El_Produkt,0))/100*$G64+$E64),-1))</f>
        <v>0</v>
      </c>
      <c r="Z64" s="1220">
        <f ca="1">IF($G64=0,0,ROUND(OFFSET(Grunddaten!BA11,El_Produkt,0)*((OFFSET(Grunddaten!$AL$11,El_Produkt,0)-OFFSET(Grunddaten!$Q$11,El_Produkt,0))/100*$G64+$E64),-1))</f>
        <v>0</v>
      </c>
      <c r="AA64" s="1220">
        <f ca="1">IF($G64=0,0,ROUND(OFFSET(Grunddaten!BB11,El_Produkt,0)*((OFFSET(Grunddaten!$AL$11,El_Produkt,0)-OFFSET(Grunddaten!$Q$11,El_Produkt,0))/100*$G64+$E64),-1))</f>
        <v>0</v>
      </c>
      <c r="AB64" s="474">
        <f ca="1">IF($G64=0,0,ROUND(OFFSET(Grunddaten!BC11,El_Produkt,0)*((OFFSET(Grunddaten!$AL$11,El_Produkt,0)-OFFSET(Grunddaten!$Q$11,El_Produkt,0))/100*$G64+$E64),-1))</f>
        <v>0</v>
      </c>
      <c r="AC64" s="474">
        <f ca="1">IF($G64=0,0,ROUND(OFFSET(Grunddaten!BD11,El_Produkt,0)*((OFFSET(Grunddaten!$AL$11,El_Produkt,0)-OFFSET(Grunddaten!$Q$11,El_Produkt,0))/100*$G64+$E64),-1))</f>
        <v>0</v>
      </c>
      <c r="AD64" s="474">
        <f ca="1">IF($G64=0,0,ROUND(OFFSET(Grunddaten!BE11,El_Produkt,0)*((OFFSET(Grunddaten!$AL$11,El_Produkt,0)-OFFSET(Grunddaten!$Q$11,El_Produkt,0))/100*$G64+$E64),-1))</f>
        <v>0</v>
      </c>
      <c r="AE64" s="474">
        <f ca="1">IF($G64=0,0,ROUND(OFFSET(Grunddaten!BF11,El_Produkt,0)*((OFFSET(Grunddaten!$AL$11,El_Produkt,0)-OFFSET(Grunddaten!$Q$11,El_Produkt,0))/100*$G64+$E64),-1))</f>
        <v>0</v>
      </c>
      <c r="AF64" s="474">
        <f ca="1">IF($G64=0,0,ROUND(OFFSET(Grunddaten!BG11,El_Produkt,0)*((OFFSET(Grunddaten!$AL$11,El_Produkt,0)-OFFSET(Grunddaten!$Q$11,El_Produkt,0))/100*$G64+$E64),-1))</f>
        <v>0</v>
      </c>
      <c r="AG64" s="474">
        <f ca="1">IF($G64=0,0,ROUND(OFFSET(Grunddaten!BH11,El_Produkt,0)*((OFFSET(Grunddaten!$AL$11,El_Produkt,0)-OFFSET(Grunddaten!$Q$11,El_Produkt,0))/100*$G64+$E64),-1))</f>
        <v>0</v>
      </c>
      <c r="AH64" s="474">
        <f ca="1">IF($G64=0,0,ROUND(OFFSET(Grunddaten!BI11,El_Produkt,0)*((OFFSET(Grunddaten!$AL$11,El_Produkt,0)-OFFSET(Grunddaten!$Q$11,El_Produkt,0))/100*$G64+$E64),-1))</f>
        <v>0</v>
      </c>
      <c r="AI64" s="474">
        <f ca="1">IF($G64=0,0,ROUND(OFFSET(Grunddaten!BJ11,El_Produkt,0)*((OFFSET(Grunddaten!$AL$11,El_Produkt,0)-OFFSET(Grunddaten!$Q$11,El_Produkt,0))/100*$G64+$E64),-1))</f>
        <v>0</v>
      </c>
      <c r="AJ64" s="474">
        <f ca="1">IF($G64=0,0,ROUND(OFFSET(Grunddaten!BK11,El_Produkt,0)*((OFFSET(Grunddaten!$AL$11,El_Produkt,0)-OFFSET(Grunddaten!$Q$11,El_Produkt,0))/100*$G64+$E64),-1))</f>
        <v>0</v>
      </c>
      <c r="AK64" s="474">
        <f ca="1">IF($G64=0,0,ROUND(OFFSET(Grunddaten!BL11,El_Produkt,0)*((OFFSET(Grunddaten!$AL$11,El_Produkt,0)-OFFSET(Grunddaten!$Q$11,El_Produkt,0))/100*$G64+$E64),-1))</f>
        <v>0</v>
      </c>
      <c r="AL64" s="474">
        <f ca="1">IF($G64=0,0,ROUND(OFFSET(Grunddaten!BM11,El_Produkt,0)*((OFFSET(Grunddaten!$AL$11,El_Produkt,0)-OFFSET(Grunddaten!$Q$11,El_Produkt,0))/100*$G64+$E64),-1))</f>
        <v>0</v>
      </c>
      <c r="AM64" s="474">
        <f ca="1">IF($G64=0,0,ROUND(OFFSET(Grunddaten!BN11,El_Produkt,0)*((OFFSET(Grunddaten!$AL$11,El_Produkt,0)-OFFSET(Grunddaten!$Q$11,El_Produkt,0))/100*$G64+$E64),-1))</f>
        <v>0</v>
      </c>
      <c r="AN64" s="474">
        <f ca="1">IF($G64=0,0,ROUND(OFFSET(Grunddaten!BO11,El_Produkt,0)*((OFFSET(Grunddaten!$AL$11,El_Produkt,0)-OFFSET(Grunddaten!$Q$11,El_Produkt,0))/100*$G64+$E64),-1))</f>
        <v>0</v>
      </c>
      <c r="AO64" s="474">
        <f ca="1">IF($G64=0,0,ROUND(OFFSET(Grunddaten!BP11,El_Produkt,0)*((OFFSET(Grunddaten!$AL$11,El_Produkt,0)-OFFSET(Grunddaten!$Q$11,El_Produkt,0))/100*$G64+$E64),-1))</f>
        <v>0</v>
      </c>
      <c r="AP64" s="474">
        <f ca="1">IF($G64=0,0,ROUND(OFFSET(Grunddaten!BQ11,El_Produkt,0)*((OFFSET(Grunddaten!$AL$11,El_Produkt,0)-OFFSET(Grunddaten!$Q$11,El_Produkt,0))/100*$G64+$E64),-1))</f>
        <v>0</v>
      </c>
      <c r="AQ64" s="474">
        <f ca="1">IF($G64=0,0,ROUND(OFFSET(Grunddaten!BR11,El_Produkt,0)*((OFFSET(Grunddaten!$AL$11,El_Produkt,0)-OFFSET(Grunddaten!$Q$11,El_Produkt,0))/100*$G64+$E64),-1))</f>
        <v>0</v>
      </c>
      <c r="AR64" s="474">
        <f ca="1">IF($G64=0,0,ROUND(OFFSET(Grunddaten!BS11,El_Produkt,0)*((OFFSET(Grunddaten!$AL$11,El_Produkt,0)-OFFSET(Grunddaten!$Q$11,El_Produkt,0))/100*$G64+$E64),-1))</f>
        <v>0</v>
      </c>
      <c r="AS64" s="474">
        <f ca="1">IF($G64=0,0,ROUND(OFFSET(Grunddaten!BT11,El_Produkt,0)*((OFFSET(Grunddaten!$AL$11,El_Produkt,0)-OFFSET(Grunddaten!$Q$11,El_Produkt,0))/100*$G64+$E64),-1))</f>
        <v>0</v>
      </c>
      <c r="AT64" s="474">
        <f ca="1">IF($G64=0,0,ROUND(OFFSET(Grunddaten!BU11,El_Produkt,0)*((OFFSET(Grunddaten!$AL$11,El_Produkt,0)-OFFSET(Grunddaten!$Q$11,El_Produkt,0))/100*$G64+$E64),-1))</f>
        <v>0</v>
      </c>
      <c r="AU64" s="474">
        <f ca="1">IF($G64=0,0,ROUND(OFFSET(Grunddaten!BV11,El_Produkt,0)*((OFFSET(Grunddaten!$AL$11,El_Produkt,0)-OFFSET(Grunddaten!$Q$11,El_Produkt,0))/100*$G64+$E64),-1))</f>
        <v>0</v>
      </c>
      <c r="AV64" s="474">
        <f ca="1">IF($G64=0,0,ROUND(OFFSET(Grunddaten!BW11,El_Produkt,0)*((OFFSET(Grunddaten!$AL$11,El_Produkt,0)-OFFSET(Grunddaten!$Q$11,El_Produkt,0))/100*$G64+$E64),-1))</f>
        <v>0</v>
      </c>
      <c r="AW64" s="474">
        <f ca="1">IF($G64=0,0,ROUND(OFFSET(Grunddaten!BX11,El_Produkt,0)*((OFFSET(Grunddaten!$AL$11,El_Produkt,0)-OFFSET(Grunddaten!$Q$11,El_Produkt,0))/100*$G64+$E64),-1))</f>
        <v>0</v>
      </c>
      <c r="AX64" s="474">
        <f ca="1">IF($G64=0,0,ROUND(OFFSET(Grunddaten!BY11,El_Produkt,0)*((OFFSET(Grunddaten!$AL$11,El_Produkt,0)-OFFSET(Grunddaten!$Q$11,El_Produkt,0))/100*$G64+$E64),-1))</f>
        <v>0</v>
      </c>
      <c r="AY64" s="474">
        <f ca="1">IF($G64=0,0,ROUND(OFFSET(Grunddaten!BZ11,El_Produkt,0)*((OFFSET(Grunddaten!$AL$11,El_Produkt,0)-OFFSET(Grunddaten!$Q$11,El_Produkt,0))/100*$G64+$E64),-1))</f>
        <v>0</v>
      </c>
      <c r="AZ64" s="474">
        <f ca="1">IF($G64=0,0,ROUND(OFFSET(Grunddaten!CA11,El_Produkt,0)*((OFFSET(Grunddaten!$AL$11,El_Produkt,0)-OFFSET(Grunddaten!$Q$11,El_Produkt,0))/100*$G64+$E64),-1))</f>
        <v>0</v>
      </c>
      <c r="BA64" s="474">
        <f ca="1">IF($G64=0,0,ROUND(OFFSET(Grunddaten!CB11,El_Produkt,0)*((OFFSET(Grunddaten!$AL$11,El_Produkt,0)-OFFSET(Grunddaten!$Q$11,El_Produkt,0))/100*$G64+$E64),-1))</f>
        <v>0</v>
      </c>
      <c r="BB64" s="474">
        <f ca="1">IF($G64=0,0,ROUND(OFFSET(Grunddaten!CC11,El_Produkt,0)*((OFFSET(Grunddaten!$AL$11,El_Produkt,0)-OFFSET(Grunddaten!$Q$11,El_Produkt,0))/100*$G64+$E64),-1))</f>
        <v>0</v>
      </c>
      <c r="BC64" s="474">
        <f ca="1">IF($G64=0,0,ROUND(OFFSET(Grunddaten!CD11,El_Produkt,0)*((OFFSET(Grunddaten!$AL$11,El_Produkt,0)-OFFSET(Grunddaten!$Q$11,El_Produkt,0))/100*$G64+$E64),-1))</f>
        <v>0</v>
      </c>
      <c r="BD64" s="474">
        <f ca="1">IF($G64=0,0,ROUND(OFFSET(Grunddaten!CE11,El_Produkt,0)*((OFFSET(Grunddaten!$AL$11,El_Produkt,0)-OFFSET(Grunddaten!$Q$11,El_Produkt,0))/100*$G64+$E64),-1))</f>
        <v>0</v>
      </c>
      <c r="BE64" s="474">
        <f ca="1">IF($G64=0,0,ROUND(OFFSET(Grunddaten!CF11,El_Produkt,0)*((OFFSET(Grunddaten!$AL$11,El_Produkt,0)-OFFSET(Grunddaten!$Q$11,El_Produkt,0))/100*$G64+$E64),-1))</f>
        <v>0</v>
      </c>
      <c r="BF64" s="474">
        <f ca="1">IF($G64=0,0,ROUND(OFFSET(Grunddaten!CG11,El_Produkt,0)*((OFFSET(Grunddaten!$AL$11,El_Produkt,0)-OFFSET(Grunddaten!$Q$11,El_Produkt,0))/100*$G64+$E64),-1))</f>
        <v>0</v>
      </c>
      <c r="BG64" s="474">
        <f ca="1">IF($G64=0,0,ROUND(OFFSET(Grunddaten!CH11,El_Produkt,0)*((OFFSET(Grunddaten!$AL$11,El_Produkt,0)-OFFSET(Grunddaten!$Q$11,El_Produkt,0))/100*$G64+$E64),-1))</f>
        <v>0</v>
      </c>
      <c r="BH64" s="474">
        <f ca="1">IF($G64=0,0,ROUND(OFFSET(Grunddaten!CI11,El_Produkt,0)*((OFFSET(Grunddaten!$AL$11,El_Produkt,0)-OFFSET(Grunddaten!$Q$11,El_Produkt,0))/100*$G64+$E64),-1))</f>
        <v>0</v>
      </c>
      <c r="BI64" s="474">
        <f ca="1">IF($G64=0,0,ROUND(OFFSET(Grunddaten!CJ11,El_Produkt,0)*((OFFSET(Grunddaten!$AL$11,El_Produkt,0)-OFFSET(Grunddaten!$Q$11,El_Produkt,0))/100*$G64+$E64),-1))</f>
        <v>0</v>
      </c>
      <c r="BJ64" s="474">
        <f ca="1">IF($G64=0,0,ROUND(OFFSET(Grunddaten!CK11,El_Produkt,0)*((OFFSET(Grunddaten!$AL$11,El_Produkt,0)-OFFSET(Grunddaten!$Q$11,El_Produkt,0))/100*$G64+$E64),-1))</f>
        <v>0</v>
      </c>
      <c r="BK64" s="474">
        <f ca="1">IF($G64=0,0,ROUND(OFFSET(Grunddaten!CL11,El_Produkt,0)*((OFFSET(Grunddaten!$AL$11,El_Produkt,0)-OFFSET(Grunddaten!$Q$11,El_Produkt,0))/100*$G64+$E64),-1))</f>
        <v>0</v>
      </c>
      <c r="BL64" s="474">
        <f ca="1">IF($G64=0,0,ROUND(OFFSET(Grunddaten!CM11,El_Produkt,0)*((OFFSET(Grunddaten!$AL$11,El_Produkt,0)-OFFSET(Grunddaten!$Q$11,El_Produkt,0))/100*$G64+$E64),-1))</f>
        <v>0</v>
      </c>
      <c r="BM64" s="474">
        <f ca="1">IF($G64=0,0,ROUND(OFFSET(Grunddaten!CN11,El_Produkt,0)*((OFFSET(Grunddaten!$AL$11,El_Produkt,0)-OFFSET(Grunddaten!$Q$11,El_Produkt,0))/100*$G64+$E64),-1))</f>
        <v>0</v>
      </c>
      <c r="BN64" s="474">
        <f ca="1">IF($G64=0,0,ROUND(OFFSET(Grunddaten!CO11,El_Produkt,0)*((OFFSET(Grunddaten!$AL$11,El_Produkt,0)-OFFSET(Grunddaten!$Q$11,El_Produkt,0))/100*$G64+$E64),-1))</f>
        <v>0</v>
      </c>
      <c r="BO64" s="474">
        <f ca="1">IF($G64=0,0,ROUND(OFFSET(Grunddaten!CP11,El_Produkt,0)*((OFFSET(Grunddaten!$AL$11,El_Produkt,0)-OFFSET(Grunddaten!$Q$11,El_Produkt,0))/100*$G64+$E64),-1))</f>
        <v>0</v>
      </c>
      <c r="BP64" s="474">
        <f ca="1">IF($G64=0,0,ROUND(OFFSET(Grunddaten!CQ11,El_Produkt,0)*((OFFSET(Grunddaten!$AL$11,El_Produkt,0)-OFFSET(Grunddaten!$Q$11,El_Produkt,0))/100*$G64+$E64),-1))</f>
        <v>0</v>
      </c>
      <c r="BQ64" s="475">
        <f ca="1">IF($G64=0,0,ROUND(OFFSET(Grunddaten!CR11,El_Produkt,0)*((OFFSET(Grunddaten!$AL$11,El_Produkt,0)-OFFSET(Grunddaten!$Q$11,El_Produkt,0))/100*$G64+$E64),-1))</f>
        <v>0</v>
      </c>
    </row>
    <row r="65" spans="1:69" s="88" customFormat="1" ht="11.25" customHeight="1" x14ac:dyDescent="0.2">
      <c r="A65" s="512" t="s">
        <v>454</v>
      </c>
      <c r="B65" s="1388"/>
      <c r="C65" s="2559">
        <f>1-C64</f>
        <v>0.30000000000000004</v>
      </c>
      <c r="D65" s="2560"/>
      <c r="E65" s="2475">
        <f>IF(G65,E$61*G65/SUM(G$62:G$65),0)</f>
        <v>0</v>
      </c>
      <c r="F65" s="2476"/>
      <c r="G65" s="2470">
        <f>IF(EV_Var2!$E$67&gt;=0,IF(EV_Var2!$E$67&gt;=(EV_Var2!$E$33 + EV_Var2!$E$37),(EV_Var2!$E$33 + EV_Var2!$E$37),EV_Var2!$E$67),0)*C65</f>
        <v>0</v>
      </c>
      <c r="H65" s="2471"/>
      <c r="I65" s="2472"/>
      <c r="J65" s="2555">
        <f ca="1">OFFSET(Grunddaten!$AM$11,El_Produkt,0)-(1-$R$109)*OFFSET(Grunddaten!$Q$11,El_Produkt,0)</f>
        <v>13.916124</v>
      </c>
      <c r="K65" s="2556"/>
      <c r="L65" s="2531">
        <f t="shared" ca="1" si="4"/>
        <v>0</v>
      </c>
      <c r="M65" s="2532"/>
      <c r="N65" s="2533"/>
      <c r="P65" s="2865"/>
      <c r="Q65" s="2863"/>
      <c r="S65" s="1221">
        <f ca="1">IF($G65=0,0,ROUND(OFFSET(Grunddaten!AT11,El_Produkt,0)*((OFFSET(Grunddaten!$AM$11,El_Produkt,0)-OFFSET(Grunddaten!$Q$11,El_Produkt,0))/100*$G65+$E65),-1))</f>
        <v>0</v>
      </c>
      <c r="T65" s="1222">
        <f ca="1">IF($G65=0,0,ROUND(OFFSET(Grunddaten!AU11,El_Produkt,0)*((OFFSET(Grunddaten!$AM$11,El_Produkt,0)-OFFSET(Grunddaten!$Q$11,El_Produkt,0))/100*$G65+$E65),-1))</f>
        <v>0</v>
      </c>
      <c r="U65" s="1222">
        <f ca="1">IF($G65=0,0,ROUND(OFFSET(Grunddaten!AV11,El_Produkt,0)*((OFFSET(Grunddaten!$AM$11,El_Produkt,0)-OFFSET(Grunddaten!$Q$11,El_Produkt,0))/100*$G65+$E65),-1))</f>
        <v>0</v>
      </c>
      <c r="V65" s="1222">
        <f ca="1">IF($G65=0,0,ROUND(OFFSET(Grunddaten!AW11,El_Produkt,0)*((OFFSET(Grunddaten!$AM$11,El_Produkt,0)-OFFSET(Grunddaten!$Q$11,El_Produkt,0))/100*$G65+$E65),-1))</f>
        <v>0</v>
      </c>
      <c r="W65" s="1222">
        <f ca="1">IF($G65=0,0,ROUND(OFFSET(Grunddaten!AX11,El_Produkt,0)*((OFFSET(Grunddaten!$AM$11,El_Produkt,0)-OFFSET(Grunddaten!$Q$11,El_Produkt,0))/100*$G65+$E65),-1))</f>
        <v>0</v>
      </c>
      <c r="X65" s="1222">
        <f ca="1">IF($G65=0,0,ROUND(OFFSET(Grunddaten!AY11,El_Produkt,0)*((OFFSET(Grunddaten!$AM$11,El_Produkt,0)-OFFSET(Grunddaten!$Q$11,El_Produkt,0))/100*$G65+$E65),-1))</f>
        <v>0</v>
      </c>
      <c r="Y65" s="1222">
        <f ca="1">IF($G65=0,0,ROUND(OFFSET(Grunddaten!AZ11,El_Produkt,0)*((OFFSET(Grunddaten!$AM$11,El_Produkt,0)-OFFSET(Grunddaten!$Q$11,El_Produkt,0))/100*$G65+$E65),-1))</f>
        <v>0</v>
      </c>
      <c r="Z65" s="1222">
        <f ca="1">IF($G65=0,0,ROUND(OFFSET(Grunddaten!BA11,El_Produkt,0)*((OFFSET(Grunddaten!$AM$11,El_Produkt,0)-OFFSET(Grunddaten!$Q$11,El_Produkt,0))/100*$G65+$E65),-1))</f>
        <v>0</v>
      </c>
      <c r="AA65" s="1222">
        <f ca="1">IF($G65=0,0,ROUND(OFFSET(Grunddaten!BB11,El_Produkt,0)*((OFFSET(Grunddaten!$AM$11,El_Produkt,0)-OFFSET(Grunddaten!$Q$11,El_Produkt,0))/100*$G65+$E65),-1))</f>
        <v>0</v>
      </c>
      <c r="AB65" s="477">
        <f ca="1">IF($G65=0,0,ROUND(OFFSET(Grunddaten!BC11,El_Produkt,0)*((OFFSET(Grunddaten!$AM$11,El_Produkt,0)-OFFSET(Grunddaten!$Q$11,El_Produkt,0))/100*$G65+$E65),-1))</f>
        <v>0</v>
      </c>
      <c r="AC65" s="477">
        <f ca="1">IF($G65=0,0,ROUND(OFFSET(Grunddaten!BD11,El_Produkt,0)*((OFFSET(Grunddaten!$AM$11,El_Produkt,0)-OFFSET(Grunddaten!$Q$11,El_Produkt,0))/100*$G65+$E65),-1))</f>
        <v>0</v>
      </c>
      <c r="AD65" s="477">
        <f ca="1">IF($G65=0,0,ROUND(OFFSET(Grunddaten!BE11,El_Produkt,0)*((OFFSET(Grunddaten!$AM$11,El_Produkt,0)-OFFSET(Grunddaten!$Q$11,El_Produkt,0))/100*$G65+$E65),-1))</f>
        <v>0</v>
      </c>
      <c r="AE65" s="477">
        <f ca="1">IF($G65=0,0,ROUND(OFFSET(Grunddaten!BF11,El_Produkt,0)*((OFFSET(Grunddaten!$AM$11,El_Produkt,0)-OFFSET(Grunddaten!$Q$11,El_Produkt,0))/100*$G65+$E65),-1))</f>
        <v>0</v>
      </c>
      <c r="AF65" s="477">
        <f ca="1">IF($G65=0,0,ROUND(OFFSET(Grunddaten!BG11,El_Produkt,0)*((OFFSET(Grunddaten!$AM$11,El_Produkt,0)-OFFSET(Grunddaten!$Q$11,El_Produkt,0))/100*$G65+$E65),-1))</f>
        <v>0</v>
      </c>
      <c r="AG65" s="477">
        <f ca="1">IF($G65=0,0,ROUND(OFFSET(Grunddaten!BH11,El_Produkt,0)*((OFFSET(Grunddaten!$AM$11,El_Produkt,0)-OFFSET(Grunddaten!$Q$11,El_Produkt,0))/100*$G65+$E65),-1))</f>
        <v>0</v>
      </c>
      <c r="AH65" s="477">
        <f ca="1">IF($G65=0,0,ROUND(OFFSET(Grunddaten!BI11,El_Produkt,0)*((OFFSET(Grunddaten!$AM$11,El_Produkt,0)-OFFSET(Grunddaten!$Q$11,El_Produkt,0))/100*$G65+$E65),-1))</f>
        <v>0</v>
      </c>
      <c r="AI65" s="477">
        <f ca="1">IF($G65=0,0,ROUND(OFFSET(Grunddaten!BJ11,El_Produkt,0)*((OFFSET(Grunddaten!$AM$11,El_Produkt,0)-OFFSET(Grunddaten!$Q$11,El_Produkt,0))/100*$G65+$E65),-1))</f>
        <v>0</v>
      </c>
      <c r="AJ65" s="477">
        <f ca="1">IF($G65=0,0,ROUND(OFFSET(Grunddaten!BK11,El_Produkt,0)*((OFFSET(Grunddaten!$AM$11,El_Produkt,0)-OFFSET(Grunddaten!$Q$11,El_Produkt,0))/100*$G65+$E65),-1))</f>
        <v>0</v>
      </c>
      <c r="AK65" s="477">
        <f ca="1">IF($G65=0,0,ROUND(OFFSET(Grunddaten!BL11,El_Produkt,0)*((OFFSET(Grunddaten!$AM$11,El_Produkt,0)-OFFSET(Grunddaten!$Q$11,El_Produkt,0))/100*$G65+$E65),-1))</f>
        <v>0</v>
      </c>
      <c r="AL65" s="477">
        <f ca="1">IF($G65=0,0,ROUND(OFFSET(Grunddaten!BM11,El_Produkt,0)*((OFFSET(Grunddaten!$AM$11,El_Produkt,0)-OFFSET(Grunddaten!$Q$11,El_Produkt,0))/100*$G65+$E65),-1))</f>
        <v>0</v>
      </c>
      <c r="AM65" s="477">
        <f ca="1">IF($G65=0,0,ROUND(OFFSET(Grunddaten!BN11,El_Produkt,0)*((OFFSET(Grunddaten!$AM$11,El_Produkt,0)-OFFSET(Grunddaten!$Q$11,El_Produkt,0))/100*$G65+$E65),-1))</f>
        <v>0</v>
      </c>
      <c r="AN65" s="477">
        <f ca="1">IF($G65=0,0,ROUND(OFFSET(Grunddaten!BO11,El_Produkt,0)*((OFFSET(Grunddaten!$AM$11,El_Produkt,0)-OFFSET(Grunddaten!$Q$11,El_Produkt,0))/100*$G65+$E65),-1))</f>
        <v>0</v>
      </c>
      <c r="AO65" s="477">
        <f ca="1">IF($G65=0,0,ROUND(OFFSET(Grunddaten!BP11,El_Produkt,0)*((OFFSET(Grunddaten!$AM$11,El_Produkt,0)-OFFSET(Grunddaten!$Q$11,El_Produkt,0))/100*$G65+$E65),-1))</f>
        <v>0</v>
      </c>
      <c r="AP65" s="477">
        <f ca="1">IF($G65=0,0,ROUND(OFFSET(Grunddaten!BQ11,El_Produkt,0)*((OFFSET(Grunddaten!$AM$11,El_Produkt,0)-OFFSET(Grunddaten!$Q$11,El_Produkt,0))/100*$G65+$E65),-1))</f>
        <v>0</v>
      </c>
      <c r="AQ65" s="477">
        <f ca="1">IF($G65=0,0,ROUND(OFFSET(Grunddaten!BR11,El_Produkt,0)*((OFFSET(Grunddaten!$AM$11,El_Produkt,0)-OFFSET(Grunddaten!$Q$11,El_Produkt,0))/100*$G65+$E65),-1))</f>
        <v>0</v>
      </c>
      <c r="AR65" s="477">
        <f ca="1">IF($G65=0,0,ROUND(OFFSET(Grunddaten!BS11,El_Produkt,0)*((OFFSET(Grunddaten!$AM$11,El_Produkt,0)-OFFSET(Grunddaten!$Q$11,El_Produkt,0))/100*$G65+$E65),-1))</f>
        <v>0</v>
      </c>
      <c r="AS65" s="477">
        <f ca="1">IF($G65=0,0,ROUND(OFFSET(Grunddaten!BT11,El_Produkt,0)*((OFFSET(Grunddaten!$AM$11,El_Produkt,0)-OFFSET(Grunddaten!$Q$11,El_Produkt,0))/100*$G65+$E65),-1))</f>
        <v>0</v>
      </c>
      <c r="AT65" s="477">
        <f ca="1">IF($G65=0,0,ROUND(OFFSET(Grunddaten!BU11,El_Produkt,0)*((OFFSET(Grunddaten!$AM$11,El_Produkt,0)-OFFSET(Grunddaten!$Q$11,El_Produkt,0))/100*$G65+$E65),-1))</f>
        <v>0</v>
      </c>
      <c r="AU65" s="477">
        <f ca="1">IF($G65=0,0,ROUND(OFFSET(Grunddaten!BV11,El_Produkt,0)*((OFFSET(Grunddaten!$AM$11,El_Produkt,0)-OFFSET(Grunddaten!$Q$11,El_Produkt,0))/100*$G65+$E65),-1))</f>
        <v>0</v>
      </c>
      <c r="AV65" s="477">
        <f ca="1">IF($G65=0,0,ROUND(OFFSET(Grunddaten!BW11,El_Produkt,0)*((OFFSET(Grunddaten!$AM$11,El_Produkt,0)-OFFSET(Grunddaten!$Q$11,El_Produkt,0))/100*$G65+$E65),-1))</f>
        <v>0</v>
      </c>
      <c r="AW65" s="477">
        <f ca="1">IF($G65=0,0,ROUND(OFFSET(Grunddaten!BX11,El_Produkt,0)*((OFFSET(Grunddaten!$AM$11,El_Produkt,0)-OFFSET(Grunddaten!$Q$11,El_Produkt,0))/100*$G65+$E65),-1))</f>
        <v>0</v>
      </c>
      <c r="AX65" s="477">
        <f ca="1">IF($G65=0,0,ROUND(OFFSET(Grunddaten!BY11,El_Produkt,0)*((OFFSET(Grunddaten!$AM$11,El_Produkt,0)-OFFSET(Grunddaten!$Q$11,El_Produkt,0))/100*$G65+$E65),-1))</f>
        <v>0</v>
      </c>
      <c r="AY65" s="477">
        <f ca="1">IF($G65=0,0,ROUND(OFFSET(Grunddaten!BZ11,El_Produkt,0)*((OFFSET(Grunddaten!$AM$11,El_Produkt,0)-OFFSET(Grunddaten!$Q$11,El_Produkt,0))/100*$G65+$E65),-1))</f>
        <v>0</v>
      </c>
      <c r="AZ65" s="477">
        <f ca="1">IF($G65=0,0,ROUND(OFFSET(Grunddaten!CA11,El_Produkt,0)*((OFFSET(Grunddaten!$AM$11,El_Produkt,0)-OFFSET(Grunddaten!$Q$11,El_Produkt,0))/100*$G65+$E65),-1))</f>
        <v>0</v>
      </c>
      <c r="BA65" s="477">
        <f ca="1">IF($G65=0,0,ROUND(OFFSET(Grunddaten!CB11,El_Produkt,0)*((OFFSET(Grunddaten!$AM$11,El_Produkt,0)-OFFSET(Grunddaten!$Q$11,El_Produkt,0))/100*$G65+$E65),-1))</f>
        <v>0</v>
      </c>
      <c r="BB65" s="477">
        <f ca="1">IF($G65=0,0,ROUND(OFFSET(Grunddaten!CC11,El_Produkt,0)*((OFFSET(Grunddaten!$AM$11,El_Produkt,0)-OFFSET(Grunddaten!$Q$11,El_Produkt,0))/100*$G65+$E65),-1))</f>
        <v>0</v>
      </c>
      <c r="BC65" s="477">
        <f ca="1">IF($G65=0,0,ROUND(OFFSET(Grunddaten!CD11,El_Produkt,0)*((OFFSET(Grunddaten!$AM$11,El_Produkt,0)-OFFSET(Grunddaten!$Q$11,El_Produkt,0))/100*$G65+$E65),-1))</f>
        <v>0</v>
      </c>
      <c r="BD65" s="477">
        <f ca="1">IF($G65=0,0,ROUND(OFFSET(Grunddaten!CE11,El_Produkt,0)*((OFFSET(Grunddaten!$AM$11,El_Produkt,0)-OFFSET(Grunddaten!$Q$11,El_Produkt,0))/100*$G65+$E65),-1))</f>
        <v>0</v>
      </c>
      <c r="BE65" s="477">
        <f ca="1">IF($G65=0,0,ROUND(OFFSET(Grunddaten!CF11,El_Produkt,0)*((OFFSET(Grunddaten!$AM$11,El_Produkt,0)-OFFSET(Grunddaten!$Q$11,El_Produkt,0))/100*$G65+$E65),-1))</f>
        <v>0</v>
      </c>
      <c r="BF65" s="477">
        <f ca="1">IF($G65=0,0,ROUND(OFFSET(Grunddaten!CG11,El_Produkt,0)*((OFFSET(Grunddaten!$AM$11,El_Produkt,0)-OFFSET(Grunddaten!$Q$11,El_Produkt,0))/100*$G65+$E65),-1))</f>
        <v>0</v>
      </c>
      <c r="BG65" s="477">
        <f ca="1">IF($G65=0,0,ROUND(OFFSET(Grunddaten!CH11,El_Produkt,0)*((OFFSET(Grunddaten!$AM$11,El_Produkt,0)-OFFSET(Grunddaten!$Q$11,El_Produkt,0))/100*$G65+$E65),-1))</f>
        <v>0</v>
      </c>
      <c r="BH65" s="477">
        <f ca="1">IF($G65=0,0,ROUND(OFFSET(Grunddaten!CI11,El_Produkt,0)*((OFFSET(Grunddaten!$AM$11,El_Produkt,0)-OFFSET(Grunddaten!$Q$11,El_Produkt,0))/100*$G65+$E65),-1))</f>
        <v>0</v>
      </c>
      <c r="BI65" s="477">
        <f ca="1">IF($G65=0,0,ROUND(OFFSET(Grunddaten!CJ11,El_Produkt,0)*((OFFSET(Grunddaten!$AM$11,El_Produkt,0)-OFFSET(Grunddaten!$Q$11,El_Produkt,0))/100*$G65+$E65),-1))</f>
        <v>0</v>
      </c>
      <c r="BJ65" s="477">
        <f ca="1">IF($G65=0,0,ROUND(OFFSET(Grunddaten!CK11,El_Produkt,0)*((OFFSET(Grunddaten!$AM$11,El_Produkt,0)-OFFSET(Grunddaten!$Q$11,El_Produkt,0))/100*$G65+$E65),-1))</f>
        <v>0</v>
      </c>
      <c r="BK65" s="477">
        <f ca="1">IF($G65=0,0,ROUND(OFFSET(Grunddaten!CL11,El_Produkt,0)*((OFFSET(Grunddaten!$AM$11,El_Produkt,0)-OFFSET(Grunddaten!$Q$11,El_Produkt,0))/100*$G65+$E65),-1))</f>
        <v>0</v>
      </c>
      <c r="BL65" s="477">
        <f ca="1">IF($G65=0,0,ROUND(OFFSET(Grunddaten!CM11,El_Produkt,0)*((OFFSET(Grunddaten!$AM$11,El_Produkt,0)-OFFSET(Grunddaten!$Q$11,El_Produkt,0))/100*$G65+$E65),-1))</f>
        <v>0</v>
      </c>
      <c r="BM65" s="477">
        <f ca="1">IF($G65=0,0,ROUND(OFFSET(Grunddaten!CN11,El_Produkt,0)*((OFFSET(Grunddaten!$AM$11,El_Produkt,0)-OFFSET(Grunddaten!$Q$11,El_Produkt,0))/100*$G65+$E65),-1))</f>
        <v>0</v>
      </c>
      <c r="BN65" s="477">
        <f ca="1">IF($G65=0,0,ROUND(OFFSET(Grunddaten!CO11,El_Produkt,0)*((OFFSET(Grunddaten!$AM$11,El_Produkt,0)-OFFSET(Grunddaten!$Q$11,El_Produkt,0))/100*$G65+$E65),-1))</f>
        <v>0</v>
      </c>
      <c r="BO65" s="477">
        <f ca="1">IF($G65=0,0,ROUND(OFFSET(Grunddaten!CP11,El_Produkt,0)*((OFFSET(Grunddaten!$AM$11,El_Produkt,0)-OFFSET(Grunddaten!$Q$11,El_Produkt,0))/100*$G65+$E65),-1))</f>
        <v>0</v>
      </c>
      <c r="BP65" s="477">
        <f ca="1">IF($G65=0,0,ROUND(OFFSET(Grunddaten!CQ11,El_Produkt,0)*((OFFSET(Grunddaten!$AM$11,El_Produkt,0)-OFFSET(Grunddaten!$Q$11,El_Produkt,0))/100*$G65+$E65),-1))</f>
        <v>0</v>
      </c>
      <c r="BQ65" s="478">
        <f ca="1">IF($G65=0,0,ROUND(OFFSET(Grunddaten!CR11,El_Produkt,0)*((OFFSET(Grunddaten!$AM$11,El_Produkt,0)-OFFSET(Grunddaten!$Q$11,El_Produkt,0))/100*$G65+$E65),-1))</f>
        <v>0</v>
      </c>
    </row>
    <row r="66" spans="1:69" s="88" customFormat="1" ht="11.25" customHeight="1" x14ac:dyDescent="0.2">
      <c r="A66" s="511" t="s">
        <v>627</v>
      </c>
      <c r="B66" s="1387"/>
      <c r="C66" s="2557">
        <v>0.9</v>
      </c>
      <c r="D66" s="2558"/>
      <c r="E66" s="2473"/>
      <c r="F66" s="2474"/>
      <c r="G66" s="2463">
        <f>-Berechnungen!$E$55*C66</f>
        <v>0</v>
      </c>
      <c r="H66" s="2464"/>
      <c r="I66" s="2465"/>
      <c r="J66" s="2551">
        <f>Grunddaten!$S$29-(1-$R$109)*Grunddaten!$Q$29</f>
        <v>8.5</v>
      </c>
      <c r="K66" s="2552"/>
      <c r="L66" s="2525">
        <f t="shared" si="4"/>
        <v>0</v>
      </c>
      <c r="M66" s="2526"/>
      <c r="N66" s="2527"/>
      <c r="S66" s="1219">
        <f ca="1">ROUND(Grunddaten!AT29*((Grunddaten!$S29-Grunddaten!$Q29)/100*$G66+$E66),-1)</f>
        <v>0</v>
      </c>
      <c r="T66" s="1220">
        <f ca="1">ROUND(Grunddaten!AU29*((Grunddaten!$S29-Grunddaten!$Q29)/100*$G66+$E66),-1)</f>
        <v>0</v>
      </c>
      <c r="U66" s="1220">
        <f ca="1">ROUND(Grunddaten!AV29*((Grunddaten!$S29-Grunddaten!$Q29)/100*$G66+$E66),-1)</f>
        <v>0</v>
      </c>
      <c r="V66" s="1220">
        <f ca="1">ROUND(Grunddaten!AW29*((Grunddaten!$S29-Grunddaten!$Q29)/100*$G66+$E66),-1)</f>
        <v>0</v>
      </c>
      <c r="W66" s="1220">
        <f ca="1">ROUND(Grunddaten!AX29*((Grunddaten!$S29-Grunddaten!$Q29)/100*$G66+$E66),-1)</f>
        <v>0</v>
      </c>
      <c r="X66" s="1220">
        <f ca="1">ROUND(Grunddaten!AY29*((Grunddaten!$S29-Grunddaten!$Q29)/100*$G66+$E66),-1)</f>
        <v>0</v>
      </c>
      <c r="Y66" s="1220">
        <f ca="1">ROUND(Grunddaten!AZ29*((Grunddaten!$S29-Grunddaten!$Q29)/100*$G66+$E66),-1)</f>
        <v>0</v>
      </c>
      <c r="Z66" s="1220">
        <f ca="1">ROUND(Grunddaten!BA29*((Grunddaten!$S29-Grunddaten!$Q29)/100*$G66+$E66),-1)</f>
        <v>0</v>
      </c>
      <c r="AA66" s="1220">
        <f ca="1">ROUND(Grunddaten!BB29*((Grunddaten!$S29-Grunddaten!$Q29)/100*$G66+$E66),-1)</f>
        <v>0</v>
      </c>
      <c r="AB66" s="474">
        <f ca="1">ROUND(Grunddaten!BC29*((Grunddaten!$S29-Grunddaten!$Q29)/100*$G66+$E66),-1)</f>
        <v>0</v>
      </c>
      <c r="AC66" s="474">
        <f ca="1">ROUND(Grunddaten!BD29*((Grunddaten!$S29-Grunddaten!$Q29)/100*$G66+$E66),-1)</f>
        <v>0</v>
      </c>
      <c r="AD66" s="474">
        <f ca="1">ROUND(Grunddaten!BE29*((Grunddaten!$S29-Grunddaten!$Q29)/100*$G66+$E66),-1)</f>
        <v>0</v>
      </c>
      <c r="AE66" s="474">
        <f ca="1">ROUND(Grunddaten!BF29*((Grunddaten!$S29-Grunddaten!$Q29)/100*$G66+$E66),-1)</f>
        <v>0</v>
      </c>
      <c r="AF66" s="474">
        <f ca="1">ROUND(Grunddaten!BG29*((Grunddaten!$S29-Grunddaten!$Q29)/100*$G66+$E66),-1)</f>
        <v>0</v>
      </c>
      <c r="AG66" s="474">
        <f ca="1">ROUND(Grunddaten!BH29*((Grunddaten!$S29-Grunddaten!$Q29)/100*$G66+$E66),-1)</f>
        <v>0</v>
      </c>
      <c r="AH66" s="474">
        <f ca="1">ROUND(Grunddaten!BI29*((Grunddaten!$S29-Grunddaten!$Q29)/100*$G66+$E66),-1)</f>
        <v>0</v>
      </c>
      <c r="AI66" s="474">
        <f ca="1">ROUND(Grunddaten!BJ29*((Grunddaten!$S29-Grunddaten!$Q29)/100*$G66+$E66),-1)</f>
        <v>0</v>
      </c>
      <c r="AJ66" s="474">
        <f ca="1">ROUND(Grunddaten!BK29*((Grunddaten!$S29-Grunddaten!$Q29)/100*$G66+$E66),-1)</f>
        <v>0</v>
      </c>
      <c r="AK66" s="474">
        <f ca="1">ROUND(Grunddaten!BL29*((Grunddaten!$S29-Grunddaten!$Q29)/100*$G66+$E66),-1)</f>
        <v>0</v>
      </c>
      <c r="AL66" s="474">
        <f ca="1">ROUND(Grunddaten!BM29*((Grunddaten!$S29-Grunddaten!$Q29)/100*$G66+$E66),-1)</f>
        <v>0</v>
      </c>
      <c r="AM66" s="474">
        <f ca="1">ROUND(Grunddaten!BN29*((Grunddaten!$S29-Grunddaten!$Q29)/100*$G66+$E66),-1)</f>
        <v>0</v>
      </c>
      <c r="AN66" s="474">
        <f ca="1">ROUND(Grunddaten!BO29*((Grunddaten!$S29-Grunddaten!$Q29)/100*$G66+$E66),-1)</f>
        <v>0</v>
      </c>
      <c r="AO66" s="474">
        <f ca="1">ROUND(Grunddaten!BP29*((Grunddaten!$S29-Grunddaten!$Q29)/100*$G66+$E66),-1)</f>
        <v>0</v>
      </c>
      <c r="AP66" s="474">
        <f ca="1">ROUND(Grunddaten!BQ29*((Grunddaten!$S29-Grunddaten!$Q29)/100*$G66+$E66),-1)</f>
        <v>0</v>
      </c>
      <c r="AQ66" s="474">
        <f ca="1">ROUND(Grunddaten!BR29*((Grunddaten!$S29-Grunddaten!$Q29)/100*$G66+$E66),-1)</f>
        <v>0</v>
      </c>
      <c r="AR66" s="474">
        <f ca="1">ROUND(Grunddaten!BS29*((Grunddaten!$S29-Grunddaten!$Q29)/100*$G66+$E66),-1)</f>
        <v>0</v>
      </c>
      <c r="AS66" s="474">
        <f ca="1">ROUND(Grunddaten!BT29*((Grunddaten!$S29-Grunddaten!$Q29)/100*$G66+$E66),-1)</f>
        <v>0</v>
      </c>
      <c r="AT66" s="474">
        <f ca="1">ROUND(Grunddaten!BU29*((Grunddaten!$S29-Grunddaten!$Q29)/100*$G66+$E66),-1)</f>
        <v>0</v>
      </c>
      <c r="AU66" s="474">
        <f ca="1">ROUND(Grunddaten!BV29*((Grunddaten!$S29-Grunddaten!$Q29)/100*$G66+$E66),-1)</f>
        <v>0</v>
      </c>
      <c r="AV66" s="474">
        <f ca="1">ROUND(Grunddaten!BW29*((Grunddaten!$S29-Grunddaten!$Q29)/100*$G66+$E66),-1)</f>
        <v>0</v>
      </c>
      <c r="AW66" s="474">
        <f ca="1">ROUND(Grunddaten!BX29*((Grunddaten!$S29-Grunddaten!$Q29)/100*$G66+$E66),-1)</f>
        <v>0</v>
      </c>
      <c r="AX66" s="474">
        <f ca="1">ROUND(Grunddaten!BY29*((Grunddaten!$S29-Grunddaten!$Q29)/100*$G66+$E66),-1)</f>
        <v>0</v>
      </c>
      <c r="AY66" s="474">
        <f ca="1">ROUND(Grunddaten!BZ29*((Grunddaten!$S29-Grunddaten!$Q29)/100*$G66+$E66),-1)</f>
        <v>0</v>
      </c>
      <c r="AZ66" s="474">
        <f ca="1">ROUND(Grunddaten!CA29*((Grunddaten!$S29-Grunddaten!$Q29)/100*$G66+$E66),-1)</f>
        <v>0</v>
      </c>
      <c r="BA66" s="474">
        <f ca="1">ROUND(Grunddaten!CB29*((Grunddaten!$S29-Grunddaten!$Q29)/100*$G66+$E66),-1)</f>
        <v>0</v>
      </c>
      <c r="BB66" s="474">
        <f ca="1">ROUND(Grunddaten!CC29*((Grunddaten!$S29-Grunddaten!$Q29)/100*$G66+$E66),-1)</f>
        <v>0</v>
      </c>
      <c r="BC66" s="474">
        <f ca="1">ROUND(Grunddaten!CD29*((Grunddaten!$S29-Grunddaten!$Q29)/100*$G66+$E66),-1)</f>
        <v>0</v>
      </c>
      <c r="BD66" s="474">
        <f ca="1">ROUND(Grunddaten!CE29*((Grunddaten!$S29-Grunddaten!$Q29)/100*$G66+$E66),-1)</f>
        <v>0</v>
      </c>
      <c r="BE66" s="474">
        <f ca="1">ROUND(Grunddaten!CF29*((Grunddaten!$S29-Grunddaten!$Q29)/100*$G66+$E66),-1)</f>
        <v>0</v>
      </c>
      <c r="BF66" s="474">
        <f ca="1">ROUND(Grunddaten!CG29*((Grunddaten!$S29-Grunddaten!$Q29)/100*$G66+$E66),-1)</f>
        <v>0</v>
      </c>
      <c r="BG66" s="474">
        <f ca="1">ROUND(Grunddaten!CH29*((Grunddaten!$S29-Grunddaten!$Q29)/100*$G66+$E66),-1)</f>
        <v>0</v>
      </c>
      <c r="BH66" s="474">
        <f ca="1">ROUND(Grunddaten!CI29*((Grunddaten!$S29-Grunddaten!$Q29)/100*$G66+$E66),-1)</f>
        <v>0</v>
      </c>
      <c r="BI66" s="474">
        <f ca="1">ROUND(Grunddaten!CJ29*((Grunddaten!$S29-Grunddaten!$Q29)/100*$G66+$E66),-1)</f>
        <v>0</v>
      </c>
      <c r="BJ66" s="474">
        <f ca="1">ROUND(Grunddaten!CK29*((Grunddaten!$S29-Grunddaten!$Q29)/100*$G66+$E66),-1)</f>
        <v>0</v>
      </c>
      <c r="BK66" s="474">
        <f ca="1">ROUND(Grunddaten!CL29*((Grunddaten!$S29-Grunddaten!$Q29)/100*$G66+$E66),-1)</f>
        <v>0</v>
      </c>
      <c r="BL66" s="474">
        <f ca="1">ROUND(Grunddaten!CM29*((Grunddaten!$S29-Grunddaten!$Q29)/100*$G66+$E66),-1)</f>
        <v>0</v>
      </c>
      <c r="BM66" s="474">
        <f ca="1">ROUND(Grunddaten!CN29*((Grunddaten!$S29-Grunddaten!$Q29)/100*$G66+$E66),-1)</f>
        <v>0</v>
      </c>
      <c r="BN66" s="474">
        <f ca="1">ROUND(Grunddaten!CO29*((Grunddaten!$S29-Grunddaten!$Q29)/100*$G66+$E66),-1)</f>
        <v>0</v>
      </c>
      <c r="BO66" s="474">
        <f ca="1">ROUND(Grunddaten!CP29*((Grunddaten!$S29-Grunddaten!$Q29)/100*$G66+$E66),-1)</f>
        <v>0</v>
      </c>
      <c r="BP66" s="474">
        <f ca="1">ROUND(Grunddaten!CQ29*((Grunddaten!$S29-Grunddaten!$Q29)/100*$G66+$E66),-1)</f>
        <v>0</v>
      </c>
      <c r="BQ66" s="475">
        <f ca="1">ROUND(Grunddaten!CR29*((Grunddaten!$S29-Grunddaten!$Q29)/100*$G66+$E66),-1)</f>
        <v>0</v>
      </c>
    </row>
    <row r="67" spans="1:69" s="88" customFormat="1" ht="11.25" customHeight="1" x14ac:dyDescent="0.2">
      <c r="A67" s="512" t="s">
        <v>628</v>
      </c>
      <c r="B67" s="1388"/>
      <c r="C67" s="2559">
        <f>1-C66</f>
        <v>9.9999999999999978E-2</v>
      </c>
      <c r="D67" s="2560"/>
      <c r="E67" s="2475"/>
      <c r="F67" s="2476"/>
      <c r="G67" s="2470">
        <f>-Berechnungen!$E$55*C67</f>
        <v>0</v>
      </c>
      <c r="H67" s="2471"/>
      <c r="I67" s="2472"/>
      <c r="J67" s="2555">
        <f>Grunddaten!$S$30-(1-$R$109)*Grunddaten!$Q$29</f>
        <v>4.45</v>
      </c>
      <c r="K67" s="2556"/>
      <c r="L67" s="2531">
        <f t="shared" si="4"/>
        <v>0</v>
      </c>
      <c r="M67" s="2532"/>
      <c r="N67" s="2533"/>
      <c r="P67" s="314"/>
      <c r="Q67" s="314"/>
      <c r="S67" s="1221">
        <f ca="1">ROUND(Grunddaten!AT30*((Grunddaten!$S30-Grunddaten!$Q29)/100*$G67+$E67),-1)</f>
        <v>0</v>
      </c>
      <c r="T67" s="1222">
        <f ca="1">ROUND(Grunddaten!AU30*((Grunddaten!$S30-Grunddaten!$Q29)/100*$G67+$E67),-1)</f>
        <v>0</v>
      </c>
      <c r="U67" s="1222">
        <f ca="1">ROUND(Grunddaten!AV30*((Grunddaten!$S30-Grunddaten!$Q29)/100*$G67+$E67),-1)</f>
        <v>0</v>
      </c>
      <c r="V67" s="1222">
        <f ca="1">ROUND(Grunddaten!AW30*((Grunddaten!$S30-Grunddaten!$Q29)/100*$G67+$E67),-1)</f>
        <v>0</v>
      </c>
      <c r="W67" s="1222">
        <f ca="1">ROUND(Grunddaten!AX30*((Grunddaten!$S30-Grunddaten!$Q29)/100*$G67+$E67),-1)</f>
        <v>0</v>
      </c>
      <c r="X67" s="1222">
        <f ca="1">ROUND(Grunddaten!AY30*((Grunddaten!$S30-Grunddaten!$Q29)/100*$G67+$E67),-1)</f>
        <v>0</v>
      </c>
      <c r="Y67" s="1222">
        <f ca="1">ROUND(Grunddaten!AZ30*((Grunddaten!$S30-Grunddaten!$Q29)/100*$G67+$E67),-1)</f>
        <v>0</v>
      </c>
      <c r="Z67" s="1222">
        <f ca="1">ROUND(Grunddaten!BA30*((Grunddaten!$S30-Grunddaten!$Q29)/100*$G67+$E67),-1)</f>
        <v>0</v>
      </c>
      <c r="AA67" s="1222">
        <f ca="1">ROUND(Grunddaten!BB30*((Grunddaten!$S30-Grunddaten!$Q29)/100*$G67+$E67),-1)</f>
        <v>0</v>
      </c>
      <c r="AB67" s="477">
        <f ca="1">ROUND(Grunddaten!BC30*((Grunddaten!$S30-Grunddaten!$Q29)/100*$G67+$E67),-1)</f>
        <v>0</v>
      </c>
      <c r="AC67" s="477">
        <f ca="1">ROUND(Grunddaten!BD30*((Grunddaten!$S30-Grunddaten!$Q29)/100*$G67+$E67),-1)</f>
        <v>0</v>
      </c>
      <c r="AD67" s="477">
        <f ca="1">ROUND(Grunddaten!BE30*((Grunddaten!$S30-Grunddaten!$Q29)/100*$G67+$E67),-1)</f>
        <v>0</v>
      </c>
      <c r="AE67" s="477">
        <f ca="1">ROUND(Grunddaten!BF30*((Grunddaten!$S30-Grunddaten!$Q29)/100*$G67+$E67),-1)</f>
        <v>0</v>
      </c>
      <c r="AF67" s="477">
        <f ca="1">ROUND(Grunddaten!BG30*((Grunddaten!$S30-Grunddaten!$Q29)/100*$G67+$E67),-1)</f>
        <v>0</v>
      </c>
      <c r="AG67" s="477">
        <f ca="1">ROUND(Grunddaten!BH30*((Grunddaten!$S30-Grunddaten!$Q29)/100*$G67+$E67),-1)</f>
        <v>0</v>
      </c>
      <c r="AH67" s="477">
        <f ca="1">ROUND(Grunddaten!BI30*((Grunddaten!$S30-Grunddaten!$Q29)/100*$G67+$E67),-1)</f>
        <v>0</v>
      </c>
      <c r="AI67" s="477">
        <f ca="1">ROUND(Grunddaten!BJ30*((Grunddaten!$S30-Grunddaten!$Q29)/100*$G67+$E67),-1)</f>
        <v>0</v>
      </c>
      <c r="AJ67" s="477">
        <f ca="1">ROUND(Grunddaten!BK30*((Grunddaten!$S30-Grunddaten!$Q29)/100*$G67+$E67),-1)</f>
        <v>0</v>
      </c>
      <c r="AK67" s="477">
        <f ca="1">ROUND(Grunddaten!BL30*((Grunddaten!$S30-Grunddaten!$Q29)/100*$G67+$E67),-1)</f>
        <v>0</v>
      </c>
      <c r="AL67" s="477">
        <f ca="1">ROUND(Grunddaten!BM30*((Grunddaten!$S30-Grunddaten!$Q29)/100*$G67+$E67),-1)</f>
        <v>0</v>
      </c>
      <c r="AM67" s="477">
        <f ca="1">ROUND(Grunddaten!BN30*((Grunddaten!$S30-Grunddaten!$Q29)/100*$G67+$E67),-1)</f>
        <v>0</v>
      </c>
      <c r="AN67" s="477">
        <f ca="1">ROUND(Grunddaten!BO30*((Grunddaten!$S30-Grunddaten!$Q29)/100*$G67+$E67),-1)</f>
        <v>0</v>
      </c>
      <c r="AO67" s="477">
        <f ca="1">ROUND(Grunddaten!BP30*((Grunddaten!$S30-Grunddaten!$Q29)/100*$G67+$E67),-1)</f>
        <v>0</v>
      </c>
      <c r="AP67" s="477">
        <f ca="1">ROUND(Grunddaten!BQ30*((Grunddaten!$S30-Grunddaten!$Q29)/100*$G67+$E67),-1)</f>
        <v>0</v>
      </c>
      <c r="AQ67" s="477">
        <f ca="1">ROUND(Grunddaten!BR30*((Grunddaten!$S30-Grunddaten!$Q29)/100*$G67+$E67),-1)</f>
        <v>0</v>
      </c>
      <c r="AR67" s="477">
        <f ca="1">ROUND(Grunddaten!BS30*((Grunddaten!$S30-Grunddaten!$Q29)/100*$G67+$E67),-1)</f>
        <v>0</v>
      </c>
      <c r="AS67" s="477">
        <f ca="1">ROUND(Grunddaten!BT30*((Grunddaten!$S30-Grunddaten!$Q29)/100*$G67+$E67),-1)</f>
        <v>0</v>
      </c>
      <c r="AT67" s="477">
        <f ca="1">ROUND(Grunddaten!BU30*((Grunddaten!$S30-Grunddaten!$Q29)/100*$G67+$E67),-1)</f>
        <v>0</v>
      </c>
      <c r="AU67" s="477">
        <f ca="1">ROUND(Grunddaten!BV30*((Grunddaten!$S30-Grunddaten!$Q29)/100*$G67+$E67),-1)</f>
        <v>0</v>
      </c>
      <c r="AV67" s="477">
        <f ca="1">ROUND(Grunddaten!BW30*((Grunddaten!$S30-Grunddaten!$Q29)/100*$G67+$E67),-1)</f>
        <v>0</v>
      </c>
      <c r="AW67" s="477">
        <f ca="1">ROUND(Grunddaten!BX30*((Grunddaten!$S30-Grunddaten!$Q29)/100*$G67+$E67),-1)</f>
        <v>0</v>
      </c>
      <c r="AX67" s="477">
        <f ca="1">ROUND(Grunddaten!BY30*((Grunddaten!$S30-Grunddaten!$Q29)/100*$G67+$E67),-1)</f>
        <v>0</v>
      </c>
      <c r="AY67" s="477">
        <f ca="1">ROUND(Grunddaten!BZ30*((Grunddaten!$S30-Grunddaten!$Q29)/100*$G67+$E67),-1)</f>
        <v>0</v>
      </c>
      <c r="AZ67" s="477">
        <f ca="1">ROUND(Grunddaten!CA30*((Grunddaten!$S30-Grunddaten!$Q29)/100*$G67+$E67),-1)</f>
        <v>0</v>
      </c>
      <c r="BA67" s="477">
        <f ca="1">ROUND(Grunddaten!CB30*((Grunddaten!$S30-Grunddaten!$Q29)/100*$G67+$E67),-1)</f>
        <v>0</v>
      </c>
      <c r="BB67" s="477">
        <f ca="1">ROUND(Grunddaten!CC30*((Grunddaten!$S30-Grunddaten!$Q29)/100*$G67+$E67),-1)</f>
        <v>0</v>
      </c>
      <c r="BC67" s="477">
        <f ca="1">ROUND(Grunddaten!CD30*((Grunddaten!$S30-Grunddaten!$Q29)/100*$G67+$E67),-1)</f>
        <v>0</v>
      </c>
      <c r="BD67" s="477">
        <f ca="1">ROUND(Grunddaten!CE30*((Grunddaten!$S30-Grunddaten!$Q29)/100*$G67+$E67),-1)</f>
        <v>0</v>
      </c>
      <c r="BE67" s="477">
        <f ca="1">ROUND(Grunddaten!CF30*((Grunddaten!$S30-Grunddaten!$Q29)/100*$G67+$E67),-1)</f>
        <v>0</v>
      </c>
      <c r="BF67" s="477">
        <f ca="1">ROUND(Grunddaten!CG30*((Grunddaten!$S30-Grunddaten!$Q29)/100*$G67+$E67),-1)</f>
        <v>0</v>
      </c>
      <c r="BG67" s="477">
        <f ca="1">ROUND(Grunddaten!CH30*((Grunddaten!$S30-Grunddaten!$Q29)/100*$G67+$E67),-1)</f>
        <v>0</v>
      </c>
      <c r="BH67" s="477">
        <f ca="1">ROUND(Grunddaten!CI30*((Grunddaten!$S30-Grunddaten!$Q29)/100*$G67+$E67),-1)</f>
        <v>0</v>
      </c>
      <c r="BI67" s="477">
        <f ca="1">ROUND(Grunddaten!CJ30*((Grunddaten!$S30-Grunddaten!$Q29)/100*$G67+$E67),-1)</f>
        <v>0</v>
      </c>
      <c r="BJ67" s="477">
        <f ca="1">ROUND(Grunddaten!CK30*((Grunddaten!$S30-Grunddaten!$Q29)/100*$G67+$E67),-1)</f>
        <v>0</v>
      </c>
      <c r="BK67" s="477">
        <f ca="1">ROUND(Grunddaten!CL30*((Grunddaten!$S30-Grunddaten!$Q29)/100*$G67+$E67),-1)</f>
        <v>0</v>
      </c>
      <c r="BL67" s="477">
        <f ca="1">ROUND(Grunddaten!CM30*((Grunddaten!$S30-Grunddaten!$Q29)/100*$G67+$E67),-1)</f>
        <v>0</v>
      </c>
      <c r="BM67" s="477">
        <f ca="1">ROUND(Grunddaten!CN30*((Grunddaten!$S30-Grunddaten!$Q29)/100*$G67+$E67),-1)</f>
        <v>0</v>
      </c>
      <c r="BN67" s="477">
        <f ca="1">ROUND(Grunddaten!CO30*((Grunddaten!$S30-Grunddaten!$Q29)/100*$G67+$E67),-1)</f>
        <v>0</v>
      </c>
      <c r="BO67" s="477">
        <f ca="1">ROUND(Grunddaten!CP30*((Grunddaten!$S30-Grunddaten!$Q29)/100*$G67+$E67),-1)</f>
        <v>0</v>
      </c>
      <c r="BP67" s="477">
        <f ca="1">ROUND(Grunddaten!CQ30*((Grunddaten!$S30-Grunddaten!$Q29)/100*$G67+$E67),-1)</f>
        <v>0</v>
      </c>
      <c r="BQ67" s="478">
        <f ca="1">ROUND(Grunddaten!CR30*((Grunddaten!$S30-Grunddaten!$Q29)/100*$G67+$E67),-1)</f>
        <v>0</v>
      </c>
    </row>
    <row r="68" spans="1:69" s="88" customFormat="1" ht="11.25" customHeight="1" x14ac:dyDescent="0.2">
      <c r="A68" s="511" t="s">
        <v>629</v>
      </c>
      <c r="B68" s="1387"/>
      <c r="C68" s="2557">
        <v>0.7</v>
      </c>
      <c r="D68" s="2558"/>
      <c r="E68" s="2473"/>
      <c r="F68" s="2474"/>
      <c r="G68" s="2463">
        <f>-Berechnungen!$E$54*C68</f>
        <v>0</v>
      </c>
      <c r="H68" s="2464"/>
      <c r="I68" s="2465"/>
      <c r="J68" s="2551">
        <f>Grunddaten!$S$31-(1-$R$109)*Grunddaten!$Q$31</f>
        <v>8.5</v>
      </c>
      <c r="K68" s="2552"/>
      <c r="L68" s="2525">
        <f t="shared" ref="L68:L69" si="5">ROUND(E68+G68*J68/100,-1)</f>
        <v>0</v>
      </c>
      <c r="M68" s="2526"/>
      <c r="N68" s="2527"/>
      <c r="S68" s="1219">
        <f ca="1">ROUND(Grunddaten!AT31*((Grunddaten!$S31-Grunddaten!$Q31)/100*$G68+$E68),-1)</f>
        <v>0</v>
      </c>
      <c r="T68" s="1220">
        <f ca="1">ROUND(Grunddaten!AU31*((Grunddaten!$S31-Grunddaten!$Q31)/100*$G68+$E68),-1)</f>
        <v>0</v>
      </c>
      <c r="U68" s="1220">
        <f ca="1">ROUND(Grunddaten!AV31*((Grunddaten!$S31-Grunddaten!$Q31)/100*$G68+$E68),-1)</f>
        <v>0</v>
      </c>
      <c r="V68" s="1220">
        <f ca="1">ROUND(Grunddaten!AW31*((Grunddaten!$S31-Grunddaten!$Q31)/100*$G68+$E68),-1)</f>
        <v>0</v>
      </c>
      <c r="W68" s="1220">
        <f ca="1">ROUND(Grunddaten!AX31*((Grunddaten!$S31-Grunddaten!$Q31)/100*$G68+$E68),-1)</f>
        <v>0</v>
      </c>
      <c r="X68" s="1220">
        <f ca="1">ROUND(Grunddaten!AY31*((Grunddaten!$S31-Grunddaten!$Q31)/100*$G68+$E68),-1)</f>
        <v>0</v>
      </c>
      <c r="Y68" s="1220">
        <f ca="1">ROUND(Grunddaten!AZ31*((Grunddaten!$S31-Grunddaten!$Q31)/100*$G68+$E68),-1)</f>
        <v>0</v>
      </c>
      <c r="Z68" s="1220">
        <f ca="1">ROUND(Grunddaten!BA31*((Grunddaten!$S31-Grunddaten!$Q31)/100*$G68+$E68),-1)</f>
        <v>0</v>
      </c>
      <c r="AA68" s="1220">
        <f ca="1">ROUND(Grunddaten!BB31*((Grunddaten!$S31-Grunddaten!$Q31)/100*$G68+$E68),-1)</f>
        <v>0</v>
      </c>
      <c r="AB68" s="474">
        <f ca="1">ROUND(Grunddaten!BC31*((Grunddaten!$S31-Grunddaten!$Q31)/100*$G68+$E68),-1)</f>
        <v>0</v>
      </c>
      <c r="AC68" s="474">
        <f ca="1">ROUND(Grunddaten!BD31*((Grunddaten!$S31-Grunddaten!$Q31)/100*$G68+$E68),-1)</f>
        <v>0</v>
      </c>
      <c r="AD68" s="474">
        <f ca="1">ROUND(Grunddaten!BE31*((Grunddaten!$S31-Grunddaten!$Q31)/100*$G68+$E68),-1)</f>
        <v>0</v>
      </c>
      <c r="AE68" s="474">
        <f ca="1">ROUND(Grunddaten!BF31*((Grunddaten!$S31-Grunddaten!$Q31)/100*$G68+$E68),-1)</f>
        <v>0</v>
      </c>
      <c r="AF68" s="474">
        <f ca="1">ROUND(Grunddaten!BG31*((Grunddaten!$S31-Grunddaten!$Q31)/100*$G68+$E68),-1)</f>
        <v>0</v>
      </c>
      <c r="AG68" s="474">
        <f ca="1">ROUND(Grunddaten!BH31*((Grunddaten!$S31-Grunddaten!$Q31)/100*$G68+$E68),-1)</f>
        <v>0</v>
      </c>
      <c r="AH68" s="474">
        <f ca="1">ROUND(Grunddaten!BI31*((Grunddaten!$S31-Grunddaten!$Q31)/100*$G68+$E68),-1)</f>
        <v>0</v>
      </c>
      <c r="AI68" s="474">
        <f ca="1">ROUND(Grunddaten!BJ31*((Grunddaten!$S31-Grunddaten!$Q31)/100*$G68+$E68),-1)</f>
        <v>0</v>
      </c>
      <c r="AJ68" s="474">
        <f ca="1">ROUND(Grunddaten!BK31*((Grunddaten!$S31-Grunddaten!$Q31)/100*$G68+$E68),-1)</f>
        <v>0</v>
      </c>
      <c r="AK68" s="474">
        <f ca="1">ROUND(Grunddaten!BL31*((Grunddaten!$S31-Grunddaten!$Q31)/100*$G68+$E68),-1)</f>
        <v>0</v>
      </c>
      <c r="AL68" s="474">
        <f ca="1">ROUND(Grunddaten!BM31*((Grunddaten!$S31-Grunddaten!$Q31)/100*$G68+$E68),-1)</f>
        <v>0</v>
      </c>
      <c r="AM68" s="474">
        <f ca="1">ROUND(Grunddaten!BN31*((Grunddaten!$S31-Grunddaten!$Q31)/100*$G68+$E68),-1)</f>
        <v>0</v>
      </c>
      <c r="AN68" s="474">
        <f ca="1">ROUND(Grunddaten!BO31*((Grunddaten!$S31-Grunddaten!$Q31)/100*$G68+$E68),-1)</f>
        <v>0</v>
      </c>
      <c r="AO68" s="474">
        <f ca="1">ROUND(Grunddaten!BP31*((Grunddaten!$S31-Grunddaten!$Q31)/100*$G68+$E68),-1)</f>
        <v>0</v>
      </c>
      <c r="AP68" s="474">
        <f ca="1">ROUND(Grunddaten!BQ31*((Grunddaten!$S31-Grunddaten!$Q31)/100*$G68+$E68),-1)</f>
        <v>0</v>
      </c>
      <c r="AQ68" s="474">
        <f ca="1">ROUND(Grunddaten!BR31*((Grunddaten!$S31-Grunddaten!$Q31)/100*$G68+$E68),-1)</f>
        <v>0</v>
      </c>
      <c r="AR68" s="474">
        <f ca="1">ROUND(Grunddaten!BS31*((Grunddaten!$S31-Grunddaten!$Q31)/100*$G68+$E68),-1)</f>
        <v>0</v>
      </c>
      <c r="AS68" s="474">
        <f ca="1">ROUND(Grunddaten!BT31*((Grunddaten!$S31-Grunddaten!$Q31)/100*$G68+$E68),-1)</f>
        <v>0</v>
      </c>
      <c r="AT68" s="474">
        <f ca="1">ROUND(Grunddaten!BU31*((Grunddaten!$S31-Grunddaten!$Q31)/100*$G68+$E68),-1)</f>
        <v>0</v>
      </c>
      <c r="AU68" s="474">
        <f ca="1">ROUND(Grunddaten!BV31*((Grunddaten!$S31-Grunddaten!$Q31)/100*$G68+$E68),-1)</f>
        <v>0</v>
      </c>
      <c r="AV68" s="474">
        <f ca="1">ROUND(Grunddaten!BW31*((Grunddaten!$S31-Grunddaten!$Q31)/100*$G68+$E68),-1)</f>
        <v>0</v>
      </c>
      <c r="AW68" s="474">
        <f ca="1">ROUND(Grunddaten!BX31*((Grunddaten!$S31-Grunddaten!$Q31)/100*$G68+$E68),-1)</f>
        <v>0</v>
      </c>
      <c r="AX68" s="474">
        <f ca="1">ROUND(Grunddaten!BY31*((Grunddaten!$S31-Grunddaten!$Q31)/100*$G68+$E68),-1)</f>
        <v>0</v>
      </c>
      <c r="AY68" s="474">
        <f ca="1">ROUND(Grunddaten!BZ31*((Grunddaten!$S31-Grunddaten!$Q31)/100*$G68+$E68),-1)</f>
        <v>0</v>
      </c>
      <c r="AZ68" s="474">
        <f ca="1">ROUND(Grunddaten!CA31*((Grunddaten!$S31-Grunddaten!$Q31)/100*$G68+$E68),-1)</f>
        <v>0</v>
      </c>
      <c r="BA68" s="474">
        <f ca="1">ROUND(Grunddaten!CB31*((Grunddaten!$S31-Grunddaten!$Q31)/100*$G68+$E68),-1)</f>
        <v>0</v>
      </c>
      <c r="BB68" s="474">
        <f ca="1">ROUND(Grunddaten!CC31*((Grunddaten!$S31-Grunddaten!$Q31)/100*$G68+$E68),-1)</f>
        <v>0</v>
      </c>
      <c r="BC68" s="474">
        <f ca="1">ROUND(Grunddaten!CD31*((Grunddaten!$S31-Grunddaten!$Q31)/100*$G68+$E68),-1)</f>
        <v>0</v>
      </c>
      <c r="BD68" s="474">
        <f ca="1">ROUND(Grunddaten!CE31*((Grunddaten!$S31-Grunddaten!$Q31)/100*$G68+$E68),-1)</f>
        <v>0</v>
      </c>
      <c r="BE68" s="474">
        <f ca="1">ROUND(Grunddaten!CF31*((Grunddaten!$S31-Grunddaten!$Q31)/100*$G68+$E68),-1)</f>
        <v>0</v>
      </c>
      <c r="BF68" s="474">
        <f ca="1">ROUND(Grunddaten!CG31*((Grunddaten!$S31-Grunddaten!$Q31)/100*$G68+$E68),-1)</f>
        <v>0</v>
      </c>
      <c r="BG68" s="474">
        <f ca="1">ROUND(Grunddaten!CH31*((Grunddaten!$S31-Grunddaten!$Q31)/100*$G68+$E68),-1)</f>
        <v>0</v>
      </c>
      <c r="BH68" s="474">
        <f ca="1">ROUND(Grunddaten!CI31*((Grunddaten!$S31-Grunddaten!$Q31)/100*$G68+$E68),-1)</f>
        <v>0</v>
      </c>
      <c r="BI68" s="474">
        <f ca="1">ROUND(Grunddaten!CJ31*((Grunddaten!$S31-Grunddaten!$Q31)/100*$G68+$E68),-1)</f>
        <v>0</v>
      </c>
      <c r="BJ68" s="474">
        <f ca="1">ROUND(Grunddaten!CK31*((Grunddaten!$S31-Grunddaten!$Q31)/100*$G68+$E68),-1)</f>
        <v>0</v>
      </c>
      <c r="BK68" s="474">
        <f ca="1">ROUND(Grunddaten!CL31*((Grunddaten!$S31-Grunddaten!$Q31)/100*$G68+$E68),-1)</f>
        <v>0</v>
      </c>
      <c r="BL68" s="474">
        <f ca="1">ROUND(Grunddaten!CM31*((Grunddaten!$S31-Grunddaten!$Q31)/100*$G68+$E68),-1)</f>
        <v>0</v>
      </c>
      <c r="BM68" s="474">
        <f ca="1">ROUND(Grunddaten!CN31*((Grunddaten!$S31-Grunddaten!$Q31)/100*$G68+$E68),-1)</f>
        <v>0</v>
      </c>
      <c r="BN68" s="474">
        <f ca="1">ROUND(Grunddaten!CO31*((Grunddaten!$S31-Grunddaten!$Q31)/100*$G68+$E68),-1)</f>
        <v>0</v>
      </c>
      <c r="BO68" s="474">
        <f ca="1">ROUND(Grunddaten!CP31*((Grunddaten!$S31-Grunddaten!$Q31)/100*$G68+$E68),-1)</f>
        <v>0</v>
      </c>
      <c r="BP68" s="474">
        <f ca="1">ROUND(Grunddaten!CQ31*((Grunddaten!$S31-Grunddaten!$Q31)/100*$G68+$E68),-1)</f>
        <v>0</v>
      </c>
      <c r="BQ68" s="475">
        <f ca="1">ROUND(Grunddaten!CR31*((Grunddaten!$S31-Grunddaten!$Q31)/100*$G68+$E68),-1)</f>
        <v>0</v>
      </c>
    </row>
    <row r="69" spans="1:69" s="88" customFormat="1" ht="11.25" customHeight="1" x14ac:dyDescent="0.2">
      <c r="A69" s="512" t="s">
        <v>630</v>
      </c>
      <c r="B69" s="1388"/>
      <c r="C69" s="2559">
        <f>1-C68</f>
        <v>0.30000000000000004</v>
      </c>
      <c r="D69" s="2560"/>
      <c r="E69" s="2475"/>
      <c r="F69" s="2476"/>
      <c r="G69" s="2470">
        <f>-Berechnungen!$E$54*C69</f>
        <v>0</v>
      </c>
      <c r="H69" s="2471"/>
      <c r="I69" s="2472"/>
      <c r="J69" s="2555">
        <f>Grunddaten!$S$32-(1-$R$109)*Grunddaten!$Q$31</f>
        <v>4.45</v>
      </c>
      <c r="K69" s="2556"/>
      <c r="L69" s="2531">
        <f t="shared" si="5"/>
        <v>0</v>
      </c>
      <c r="M69" s="2532"/>
      <c r="N69" s="2533"/>
      <c r="P69" s="314"/>
      <c r="Q69" s="314"/>
      <c r="S69" s="1221">
        <f ca="1">ROUND(Grunddaten!AT32*((Grunddaten!$S32-Grunddaten!$Q31)/100*$G69+$E69),-1)</f>
        <v>0</v>
      </c>
      <c r="T69" s="1222">
        <f ca="1">ROUND(Grunddaten!AU32*((Grunddaten!$S32-Grunddaten!$Q31)/100*$G69+$E69),-1)</f>
        <v>0</v>
      </c>
      <c r="U69" s="1222">
        <f ca="1">ROUND(Grunddaten!AV32*((Grunddaten!$S32-Grunddaten!$Q31)/100*$G69+$E69),-1)</f>
        <v>0</v>
      </c>
      <c r="V69" s="1222">
        <f ca="1">ROUND(Grunddaten!AW32*((Grunddaten!$S32-Grunddaten!$Q31)/100*$G69+$E69),-1)</f>
        <v>0</v>
      </c>
      <c r="W69" s="1222">
        <f ca="1">ROUND(Grunddaten!AX32*((Grunddaten!$S32-Grunddaten!$Q31)/100*$G69+$E69),-1)</f>
        <v>0</v>
      </c>
      <c r="X69" s="1222">
        <f ca="1">ROUND(Grunddaten!AY32*((Grunddaten!$S32-Grunddaten!$Q31)/100*$G69+$E69),-1)</f>
        <v>0</v>
      </c>
      <c r="Y69" s="1222">
        <f ca="1">ROUND(Grunddaten!AZ32*((Grunddaten!$S32-Grunddaten!$Q31)/100*$G69+$E69),-1)</f>
        <v>0</v>
      </c>
      <c r="Z69" s="1222">
        <f ca="1">ROUND(Grunddaten!BA32*((Grunddaten!$S32-Grunddaten!$Q31)/100*$G69+$E69),-1)</f>
        <v>0</v>
      </c>
      <c r="AA69" s="1222">
        <f ca="1">ROUND(Grunddaten!BB32*((Grunddaten!$S32-Grunddaten!$Q31)/100*$G69+$E69),-1)</f>
        <v>0</v>
      </c>
      <c r="AB69" s="477">
        <f ca="1">ROUND(Grunddaten!BC32*((Grunddaten!$S32-Grunddaten!$Q31)/100*$G69+$E69),-1)</f>
        <v>0</v>
      </c>
      <c r="AC69" s="477">
        <f ca="1">ROUND(Grunddaten!BD32*((Grunddaten!$S32-Grunddaten!$Q31)/100*$G69+$E69),-1)</f>
        <v>0</v>
      </c>
      <c r="AD69" s="477">
        <f ca="1">ROUND(Grunddaten!BE32*((Grunddaten!$S32-Grunddaten!$Q31)/100*$G69+$E69),-1)</f>
        <v>0</v>
      </c>
      <c r="AE69" s="477">
        <f ca="1">ROUND(Grunddaten!BF32*((Grunddaten!$S32-Grunddaten!$Q31)/100*$G69+$E69),-1)</f>
        <v>0</v>
      </c>
      <c r="AF69" s="477">
        <f ca="1">ROUND(Grunddaten!BG32*((Grunddaten!$S32-Grunddaten!$Q31)/100*$G69+$E69),-1)</f>
        <v>0</v>
      </c>
      <c r="AG69" s="477">
        <f ca="1">ROUND(Grunddaten!BH32*((Grunddaten!$S32-Grunddaten!$Q31)/100*$G69+$E69),-1)</f>
        <v>0</v>
      </c>
      <c r="AH69" s="477">
        <f ca="1">ROUND(Grunddaten!BI32*((Grunddaten!$S32-Grunddaten!$Q31)/100*$G69+$E69),-1)</f>
        <v>0</v>
      </c>
      <c r="AI69" s="477">
        <f ca="1">ROUND(Grunddaten!BJ32*((Grunddaten!$S32-Grunddaten!$Q31)/100*$G69+$E69),-1)</f>
        <v>0</v>
      </c>
      <c r="AJ69" s="477">
        <f ca="1">ROUND(Grunddaten!BK32*((Grunddaten!$S32-Grunddaten!$Q31)/100*$G69+$E69),-1)</f>
        <v>0</v>
      </c>
      <c r="AK69" s="477">
        <f ca="1">ROUND(Grunddaten!BL32*((Grunddaten!$S32-Grunddaten!$Q31)/100*$G69+$E69),-1)</f>
        <v>0</v>
      </c>
      <c r="AL69" s="477">
        <f ca="1">ROUND(Grunddaten!BM32*((Grunddaten!$S32-Grunddaten!$Q31)/100*$G69+$E69),-1)</f>
        <v>0</v>
      </c>
      <c r="AM69" s="477">
        <f ca="1">ROUND(Grunddaten!BN32*((Grunddaten!$S32-Grunddaten!$Q31)/100*$G69+$E69),-1)</f>
        <v>0</v>
      </c>
      <c r="AN69" s="477">
        <f ca="1">ROUND(Grunddaten!BO32*((Grunddaten!$S32-Grunddaten!$Q31)/100*$G69+$E69),-1)</f>
        <v>0</v>
      </c>
      <c r="AO69" s="477">
        <f ca="1">ROUND(Grunddaten!BP32*((Grunddaten!$S32-Grunddaten!$Q31)/100*$G69+$E69),-1)</f>
        <v>0</v>
      </c>
      <c r="AP69" s="477">
        <f ca="1">ROUND(Grunddaten!BQ32*((Grunddaten!$S32-Grunddaten!$Q31)/100*$G69+$E69),-1)</f>
        <v>0</v>
      </c>
      <c r="AQ69" s="477">
        <f ca="1">ROUND(Grunddaten!BR32*((Grunddaten!$S32-Grunddaten!$Q31)/100*$G69+$E69),-1)</f>
        <v>0</v>
      </c>
      <c r="AR69" s="477">
        <f ca="1">ROUND(Grunddaten!BS32*((Grunddaten!$S32-Grunddaten!$Q31)/100*$G69+$E69),-1)</f>
        <v>0</v>
      </c>
      <c r="AS69" s="477">
        <f ca="1">ROUND(Grunddaten!BT32*((Grunddaten!$S32-Grunddaten!$Q31)/100*$G69+$E69),-1)</f>
        <v>0</v>
      </c>
      <c r="AT69" s="477">
        <f ca="1">ROUND(Grunddaten!BU32*((Grunddaten!$S32-Grunddaten!$Q31)/100*$G69+$E69),-1)</f>
        <v>0</v>
      </c>
      <c r="AU69" s="477">
        <f ca="1">ROUND(Grunddaten!BV32*((Grunddaten!$S32-Grunddaten!$Q31)/100*$G69+$E69),-1)</f>
        <v>0</v>
      </c>
      <c r="AV69" s="477">
        <f ca="1">ROUND(Grunddaten!BW32*((Grunddaten!$S32-Grunddaten!$Q31)/100*$G69+$E69),-1)</f>
        <v>0</v>
      </c>
      <c r="AW69" s="477">
        <f ca="1">ROUND(Grunddaten!BX32*((Grunddaten!$S32-Grunddaten!$Q31)/100*$G69+$E69),-1)</f>
        <v>0</v>
      </c>
      <c r="AX69" s="477">
        <f ca="1">ROUND(Grunddaten!BY32*((Grunddaten!$S32-Grunddaten!$Q31)/100*$G69+$E69),-1)</f>
        <v>0</v>
      </c>
      <c r="AY69" s="477">
        <f ca="1">ROUND(Grunddaten!BZ32*((Grunddaten!$S32-Grunddaten!$Q31)/100*$G69+$E69),-1)</f>
        <v>0</v>
      </c>
      <c r="AZ69" s="477">
        <f ca="1">ROUND(Grunddaten!CA32*((Grunddaten!$S32-Grunddaten!$Q31)/100*$G69+$E69),-1)</f>
        <v>0</v>
      </c>
      <c r="BA69" s="477">
        <f ca="1">ROUND(Grunddaten!CB32*((Grunddaten!$S32-Grunddaten!$Q31)/100*$G69+$E69),-1)</f>
        <v>0</v>
      </c>
      <c r="BB69" s="477">
        <f ca="1">ROUND(Grunddaten!CC32*((Grunddaten!$S32-Grunddaten!$Q31)/100*$G69+$E69),-1)</f>
        <v>0</v>
      </c>
      <c r="BC69" s="477">
        <f ca="1">ROUND(Grunddaten!CD32*((Grunddaten!$S32-Grunddaten!$Q31)/100*$G69+$E69),-1)</f>
        <v>0</v>
      </c>
      <c r="BD69" s="477">
        <f ca="1">ROUND(Grunddaten!CE32*((Grunddaten!$S32-Grunddaten!$Q31)/100*$G69+$E69),-1)</f>
        <v>0</v>
      </c>
      <c r="BE69" s="477">
        <f ca="1">ROUND(Grunddaten!CF32*((Grunddaten!$S32-Grunddaten!$Q31)/100*$G69+$E69),-1)</f>
        <v>0</v>
      </c>
      <c r="BF69" s="477">
        <f ca="1">ROUND(Grunddaten!CG32*((Grunddaten!$S32-Grunddaten!$Q31)/100*$G69+$E69),-1)</f>
        <v>0</v>
      </c>
      <c r="BG69" s="477">
        <f ca="1">ROUND(Grunddaten!CH32*((Grunddaten!$S32-Grunddaten!$Q31)/100*$G69+$E69),-1)</f>
        <v>0</v>
      </c>
      <c r="BH69" s="477">
        <f ca="1">ROUND(Grunddaten!CI32*((Grunddaten!$S32-Grunddaten!$Q31)/100*$G69+$E69),-1)</f>
        <v>0</v>
      </c>
      <c r="BI69" s="477">
        <f ca="1">ROUND(Grunddaten!CJ32*((Grunddaten!$S32-Grunddaten!$Q31)/100*$G69+$E69),-1)</f>
        <v>0</v>
      </c>
      <c r="BJ69" s="477">
        <f ca="1">ROUND(Grunddaten!CK32*((Grunddaten!$S32-Grunddaten!$Q31)/100*$G69+$E69),-1)</f>
        <v>0</v>
      </c>
      <c r="BK69" s="477">
        <f ca="1">ROUND(Grunddaten!CL32*((Grunddaten!$S32-Grunddaten!$Q31)/100*$G69+$E69),-1)</f>
        <v>0</v>
      </c>
      <c r="BL69" s="477">
        <f ca="1">ROUND(Grunddaten!CM32*((Grunddaten!$S32-Grunddaten!$Q31)/100*$G69+$E69),-1)</f>
        <v>0</v>
      </c>
      <c r="BM69" s="477">
        <f ca="1">ROUND(Grunddaten!CN32*((Grunddaten!$S32-Grunddaten!$Q31)/100*$G69+$E69),-1)</f>
        <v>0</v>
      </c>
      <c r="BN69" s="477">
        <f ca="1">ROUND(Grunddaten!CO32*((Grunddaten!$S32-Grunddaten!$Q31)/100*$G69+$E69),-1)</f>
        <v>0</v>
      </c>
      <c r="BO69" s="477">
        <f ca="1">ROUND(Grunddaten!CP32*((Grunddaten!$S32-Grunddaten!$Q31)/100*$G69+$E69),-1)</f>
        <v>0</v>
      </c>
      <c r="BP69" s="477">
        <f ca="1">ROUND(Grunddaten!CQ32*((Grunddaten!$S32-Grunddaten!$Q31)/100*$G69+$E69),-1)</f>
        <v>0</v>
      </c>
      <c r="BQ69" s="478">
        <f ca="1">ROUND(Grunddaten!CR32*((Grunddaten!$S32-Grunddaten!$Q31)/100*$G69+$E69),-1)</f>
        <v>0</v>
      </c>
    </row>
    <row r="70" spans="1:69" s="88" customFormat="1" ht="11.25" customHeight="1" x14ac:dyDescent="0.2">
      <c r="A70" s="513" t="str">
        <f>Grunddaten!C45</f>
        <v>Holzpellets</v>
      </c>
      <c r="B70" s="1377"/>
      <c r="C70" s="2468"/>
      <c r="D70" s="2469"/>
      <c r="E70" s="2459"/>
      <c r="F70" s="2460"/>
      <c r="G70" s="2456">
        <f ca="1">SUMIF(EV_Var2!$A$10:$B$73,$A70,EV_Var2!$E$10:$E$73)</f>
        <v>0</v>
      </c>
      <c r="H70" s="2457"/>
      <c r="I70" s="2458"/>
      <c r="J70" s="2479">
        <f>Grunddaten!S45-(1-$R$109)*Grunddaten!Q45</f>
        <v>6.8688000000000011</v>
      </c>
      <c r="K70" s="2480"/>
      <c r="L70" s="2645">
        <f t="shared" ca="1" si="4"/>
        <v>0</v>
      </c>
      <c r="M70" s="2646"/>
      <c r="N70" s="2647"/>
      <c r="P70" s="314"/>
      <c r="Q70" s="314"/>
      <c r="S70" s="1223">
        <f ca="1">ROUND(Grunddaten!AT45*((Grunddaten!$S45-Grunddaten!$Q45)/100*$G70+$E70),-1)</f>
        <v>0</v>
      </c>
      <c r="T70" s="1224">
        <f ca="1">ROUND(Grunddaten!AU45*((Grunddaten!$S45-Grunddaten!$Q45)/100*$G70+$E70),-1)</f>
        <v>0</v>
      </c>
      <c r="U70" s="1224">
        <f ca="1">ROUND(Grunddaten!AV45*((Grunddaten!$S45-Grunddaten!$Q45)/100*$G70+$E70),-1)</f>
        <v>0</v>
      </c>
      <c r="V70" s="1224">
        <f ca="1">ROUND(Grunddaten!AW45*((Grunddaten!$S45-Grunddaten!$Q45)/100*$G70+$E70),-1)</f>
        <v>0</v>
      </c>
      <c r="W70" s="1224">
        <f ca="1">ROUND(Grunddaten!AX45*((Grunddaten!$S45-Grunddaten!$Q45)/100*$G70+$E70),-1)</f>
        <v>0</v>
      </c>
      <c r="X70" s="1224">
        <f ca="1">ROUND(Grunddaten!AY45*((Grunddaten!$S45-Grunddaten!$Q45)/100*$G70+$E70),-1)</f>
        <v>0</v>
      </c>
      <c r="Y70" s="1224">
        <f ca="1">ROUND(Grunddaten!AZ45*((Grunddaten!$S45-Grunddaten!$Q45)/100*$G70+$E70),-1)</f>
        <v>0</v>
      </c>
      <c r="Z70" s="1224">
        <f ca="1">ROUND(Grunddaten!BA45*((Grunddaten!$S45-Grunddaten!$Q45)/100*$G70+$E70),-1)</f>
        <v>0</v>
      </c>
      <c r="AA70" s="1224">
        <f ca="1">ROUND(Grunddaten!BB45*((Grunddaten!$S45-Grunddaten!$Q45)/100*$G70+$E70),-1)</f>
        <v>0</v>
      </c>
      <c r="AB70" s="482">
        <f ca="1">ROUND(Grunddaten!BC45*((Grunddaten!$S45-Grunddaten!$Q45)/100*$G70+$E70),-1)</f>
        <v>0</v>
      </c>
      <c r="AC70" s="482">
        <f ca="1">ROUND(Grunddaten!BD45*((Grunddaten!$S45-Grunddaten!$Q45)/100*$G70+$E70),-1)</f>
        <v>0</v>
      </c>
      <c r="AD70" s="482">
        <f ca="1">ROUND(Grunddaten!BE45*((Grunddaten!$S45-Grunddaten!$Q45)/100*$G70+$E70),-1)</f>
        <v>0</v>
      </c>
      <c r="AE70" s="482">
        <f ca="1">ROUND(Grunddaten!BF45*((Grunddaten!$S45-Grunddaten!$Q45)/100*$G70+$E70),-1)</f>
        <v>0</v>
      </c>
      <c r="AF70" s="482">
        <f ca="1">ROUND(Grunddaten!BG45*((Grunddaten!$S45-Grunddaten!$Q45)/100*$G70+$E70),-1)</f>
        <v>0</v>
      </c>
      <c r="AG70" s="482">
        <f ca="1">ROUND(Grunddaten!BH45*((Grunddaten!$S45-Grunddaten!$Q45)/100*$G70+$E70),-1)</f>
        <v>0</v>
      </c>
      <c r="AH70" s="482">
        <f ca="1">ROUND(Grunddaten!BI45*((Grunddaten!$S45-Grunddaten!$Q45)/100*$G70+$E70),-1)</f>
        <v>0</v>
      </c>
      <c r="AI70" s="482">
        <f ca="1">ROUND(Grunddaten!BJ45*((Grunddaten!$S45-Grunddaten!$Q45)/100*$G70+$E70),-1)</f>
        <v>0</v>
      </c>
      <c r="AJ70" s="482">
        <f ca="1">ROUND(Grunddaten!BK45*((Grunddaten!$S45-Grunddaten!$Q45)/100*$G70+$E70),-1)</f>
        <v>0</v>
      </c>
      <c r="AK70" s="482">
        <f ca="1">ROUND(Grunddaten!BL45*((Grunddaten!$S45-Grunddaten!$Q45)/100*$G70+$E70),-1)</f>
        <v>0</v>
      </c>
      <c r="AL70" s="482">
        <f ca="1">ROUND(Grunddaten!BM45*((Grunddaten!$S45-Grunddaten!$Q45)/100*$G70+$E70),-1)</f>
        <v>0</v>
      </c>
      <c r="AM70" s="482">
        <f ca="1">ROUND(Grunddaten!BN45*((Grunddaten!$S45-Grunddaten!$Q45)/100*$G70+$E70),-1)</f>
        <v>0</v>
      </c>
      <c r="AN70" s="482">
        <f ca="1">ROUND(Grunddaten!BO45*((Grunddaten!$S45-Grunddaten!$Q45)/100*$G70+$E70),-1)</f>
        <v>0</v>
      </c>
      <c r="AO70" s="482">
        <f ca="1">ROUND(Grunddaten!BP45*((Grunddaten!$S45-Grunddaten!$Q45)/100*$G70+$E70),-1)</f>
        <v>0</v>
      </c>
      <c r="AP70" s="482">
        <f ca="1">ROUND(Grunddaten!BQ45*((Grunddaten!$S45-Grunddaten!$Q45)/100*$G70+$E70),-1)</f>
        <v>0</v>
      </c>
      <c r="AQ70" s="482">
        <f ca="1">ROUND(Grunddaten!BR45*((Grunddaten!$S45-Grunddaten!$Q45)/100*$G70+$E70),-1)</f>
        <v>0</v>
      </c>
      <c r="AR70" s="482">
        <f ca="1">ROUND(Grunddaten!BS45*((Grunddaten!$S45-Grunddaten!$Q45)/100*$G70+$E70),-1)</f>
        <v>0</v>
      </c>
      <c r="AS70" s="482">
        <f ca="1">ROUND(Grunddaten!BT45*((Grunddaten!$S45-Grunddaten!$Q45)/100*$G70+$E70),-1)</f>
        <v>0</v>
      </c>
      <c r="AT70" s="482">
        <f ca="1">ROUND(Grunddaten!BU45*((Grunddaten!$S45-Grunddaten!$Q45)/100*$G70+$E70),-1)</f>
        <v>0</v>
      </c>
      <c r="AU70" s="482">
        <f ca="1">ROUND(Grunddaten!BV45*((Grunddaten!$S45-Grunddaten!$Q45)/100*$G70+$E70),-1)</f>
        <v>0</v>
      </c>
      <c r="AV70" s="482">
        <f ca="1">ROUND(Grunddaten!BW45*((Grunddaten!$S45-Grunddaten!$Q45)/100*$G70+$E70),-1)</f>
        <v>0</v>
      </c>
      <c r="AW70" s="482">
        <f ca="1">ROUND(Grunddaten!BX45*((Grunddaten!$S45-Grunddaten!$Q45)/100*$G70+$E70),-1)</f>
        <v>0</v>
      </c>
      <c r="AX70" s="482">
        <f ca="1">ROUND(Grunddaten!BY45*((Grunddaten!$S45-Grunddaten!$Q45)/100*$G70+$E70),-1)</f>
        <v>0</v>
      </c>
      <c r="AY70" s="482">
        <f ca="1">ROUND(Grunddaten!BZ45*((Grunddaten!$S45-Grunddaten!$Q45)/100*$G70+$E70),-1)</f>
        <v>0</v>
      </c>
      <c r="AZ70" s="482">
        <f ca="1">ROUND(Grunddaten!CA45*((Grunddaten!$S45-Grunddaten!$Q45)/100*$G70+$E70),-1)</f>
        <v>0</v>
      </c>
      <c r="BA70" s="482">
        <f ca="1">ROUND(Grunddaten!CB45*((Grunddaten!$S45-Grunddaten!$Q45)/100*$G70+$E70),-1)</f>
        <v>0</v>
      </c>
      <c r="BB70" s="482">
        <f ca="1">ROUND(Grunddaten!CC45*((Grunddaten!$S45-Grunddaten!$Q45)/100*$G70+$E70),-1)</f>
        <v>0</v>
      </c>
      <c r="BC70" s="482">
        <f ca="1">ROUND(Grunddaten!CD45*((Grunddaten!$S45-Grunddaten!$Q45)/100*$G70+$E70),-1)</f>
        <v>0</v>
      </c>
      <c r="BD70" s="482">
        <f ca="1">ROUND(Grunddaten!CE45*((Grunddaten!$S45-Grunddaten!$Q45)/100*$G70+$E70),-1)</f>
        <v>0</v>
      </c>
      <c r="BE70" s="482">
        <f ca="1">ROUND(Grunddaten!CF45*((Grunddaten!$S45-Grunddaten!$Q45)/100*$G70+$E70),-1)</f>
        <v>0</v>
      </c>
      <c r="BF70" s="482">
        <f ca="1">ROUND(Grunddaten!CG45*((Grunddaten!$S45-Grunddaten!$Q45)/100*$G70+$E70),-1)</f>
        <v>0</v>
      </c>
      <c r="BG70" s="482">
        <f ca="1">ROUND(Grunddaten!CH45*((Grunddaten!$S45-Grunddaten!$Q45)/100*$G70+$E70),-1)</f>
        <v>0</v>
      </c>
      <c r="BH70" s="482">
        <f ca="1">ROUND(Grunddaten!CI45*((Grunddaten!$S45-Grunddaten!$Q45)/100*$G70+$E70),-1)</f>
        <v>0</v>
      </c>
      <c r="BI70" s="482">
        <f ca="1">ROUND(Grunddaten!CJ45*((Grunddaten!$S45-Grunddaten!$Q45)/100*$G70+$E70),-1)</f>
        <v>0</v>
      </c>
      <c r="BJ70" s="482">
        <f ca="1">ROUND(Grunddaten!CK45*((Grunddaten!$S45-Grunddaten!$Q45)/100*$G70+$E70),-1)</f>
        <v>0</v>
      </c>
      <c r="BK70" s="482">
        <f ca="1">ROUND(Grunddaten!CL45*((Grunddaten!$S45-Grunddaten!$Q45)/100*$G70+$E70),-1)</f>
        <v>0</v>
      </c>
      <c r="BL70" s="482">
        <f ca="1">ROUND(Grunddaten!CM45*((Grunddaten!$S45-Grunddaten!$Q45)/100*$G70+$E70),-1)</f>
        <v>0</v>
      </c>
      <c r="BM70" s="482">
        <f ca="1">ROUND(Grunddaten!CN45*((Grunddaten!$S45-Grunddaten!$Q45)/100*$G70+$E70),-1)</f>
        <v>0</v>
      </c>
      <c r="BN70" s="482">
        <f ca="1">ROUND(Grunddaten!CO45*((Grunddaten!$S45-Grunddaten!$Q45)/100*$G70+$E70),-1)</f>
        <v>0</v>
      </c>
      <c r="BO70" s="482">
        <f ca="1">ROUND(Grunddaten!CP45*((Grunddaten!$S45-Grunddaten!$Q45)/100*$G70+$E70),-1)</f>
        <v>0</v>
      </c>
      <c r="BP70" s="482">
        <f ca="1">ROUND(Grunddaten!CQ45*((Grunddaten!$S45-Grunddaten!$Q45)/100*$G70+$E70),-1)</f>
        <v>0</v>
      </c>
      <c r="BQ70" s="483">
        <f ca="1">ROUND(Grunddaten!CR45*((Grunddaten!$S45-Grunddaten!$Q45)/100*$G70+$E70),-1)</f>
        <v>0</v>
      </c>
    </row>
    <row r="71" spans="1:69" s="88" customFormat="1" ht="11.25" customHeight="1" x14ac:dyDescent="0.2">
      <c r="A71" s="513" t="str">
        <f>Grunddaten!C46</f>
        <v>Holzschnitzel</v>
      </c>
      <c r="B71" s="1377"/>
      <c r="C71" s="2468"/>
      <c r="D71" s="2469"/>
      <c r="E71" s="2459"/>
      <c r="F71" s="2460"/>
      <c r="G71" s="2456">
        <f ca="1">SUMIF(EV_Var2!$A$10:$B$73,$A71,EV_Var2!$E$10:$E$73)</f>
        <v>0</v>
      </c>
      <c r="H71" s="2457"/>
      <c r="I71" s="2458"/>
      <c r="J71" s="2479">
        <f>Grunddaten!S46-(1-$R$109)*Grunddaten!Q46</f>
        <v>4.5999999999999996</v>
      </c>
      <c r="K71" s="2480"/>
      <c r="L71" s="2645">
        <f t="shared" ca="1" si="4"/>
        <v>0</v>
      </c>
      <c r="M71" s="2646"/>
      <c r="N71" s="2647"/>
      <c r="P71" s="314"/>
      <c r="Q71" s="314"/>
      <c r="S71" s="1223">
        <f ca="1">ROUND(Grunddaten!AT46*((Grunddaten!$S46-Grunddaten!$Q46)/100*$G71+$E71),-1)</f>
        <v>0</v>
      </c>
      <c r="T71" s="1224">
        <f ca="1">ROUND(Grunddaten!AU46*((Grunddaten!$S46-Grunddaten!$Q46)/100*$G71+$E71),-1)</f>
        <v>0</v>
      </c>
      <c r="U71" s="1224">
        <f ca="1">ROUND(Grunddaten!AV46*((Grunddaten!$S46-Grunddaten!$Q46)/100*$G71+$E71),-1)</f>
        <v>0</v>
      </c>
      <c r="V71" s="1224">
        <f ca="1">ROUND(Grunddaten!AW46*((Grunddaten!$S46-Grunddaten!$Q46)/100*$G71+$E71),-1)</f>
        <v>0</v>
      </c>
      <c r="W71" s="1224">
        <f ca="1">ROUND(Grunddaten!AX46*((Grunddaten!$S46-Grunddaten!$Q46)/100*$G71+$E71),-1)</f>
        <v>0</v>
      </c>
      <c r="X71" s="1224">
        <f ca="1">ROUND(Grunddaten!AY46*((Grunddaten!$S46-Grunddaten!$Q46)/100*$G71+$E71),-1)</f>
        <v>0</v>
      </c>
      <c r="Y71" s="1224">
        <f ca="1">ROUND(Grunddaten!AZ46*((Grunddaten!$S46-Grunddaten!$Q46)/100*$G71+$E71),-1)</f>
        <v>0</v>
      </c>
      <c r="Z71" s="1224">
        <f ca="1">ROUND(Grunddaten!BA46*((Grunddaten!$S46-Grunddaten!$Q46)/100*$G71+$E71),-1)</f>
        <v>0</v>
      </c>
      <c r="AA71" s="1224">
        <f ca="1">ROUND(Grunddaten!BB46*((Grunddaten!$S46-Grunddaten!$Q46)/100*$G71+$E71),-1)</f>
        <v>0</v>
      </c>
      <c r="AB71" s="482">
        <f ca="1">ROUND(Grunddaten!BC46*((Grunddaten!$S46-Grunddaten!$Q46)/100*$G71+$E71),-1)</f>
        <v>0</v>
      </c>
      <c r="AC71" s="482">
        <f ca="1">ROUND(Grunddaten!BD46*((Grunddaten!$S46-Grunddaten!$Q46)/100*$G71+$E71),-1)</f>
        <v>0</v>
      </c>
      <c r="AD71" s="482">
        <f ca="1">ROUND(Grunddaten!BE46*((Grunddaten!$S46-Grunddaten!$Q46)/100*$G71+$E71),-1)</f>
        <v>0</v>
      </c>
      <c r="AE71" s="482">
        <f ca="1">ROUND(Grunddaten!BF46*((Grunddaten!$S46-Grunddaten!$Q46)/100*$G71+$E71),-1)</f>
        <v>0</v>
      </c>
      <c r="AF71" s="482">
        <f ca="1">ROUND(Grunddaten!BG46*((Grunddaten!$S46-Grunddaten!$Q46)/100*$G71+$E71),-1)</f>
        <v>0</v>
      </c>
      <c r="AG71" s="482">
        <f ca="1">ROUND(Grunddaten!BH46*((Grunddaten!$S46-Grunddaten!$Q46)/100*$G71+$E71),-1)</f>
        <v>0</v>
      </c>
      <c r="AH71" s="482">
        <f ca="1">ROUND(Grunddaten!BI46*((Grunddaten!$S46-Grunddaten!$Q46)/100*$G71+$E71),-1)</f>
        <v>0</v>
      </c>
      <c r="AI71" s="482">
        <f ca="1">ROUND(Grunddaten!BJ46*((Grunddaten!$S46-Grunddaten!$Q46)/100*$G71+$E71),-1)</f>
        <v>0</v>
      </c>
      <c r="AJ71" s="482">
        <f ca="1">ROUND(Grunddaten!BK46*((Grunddaten!$S46-Grunddaten!$Q46)/100*$G71+$E71),-1)</f>
        <v>0</v>
      </c>
      <c r="AK71" s="482">
        <f ca="1">ROUND(Grunddaten!BL46*((Grunddaten!$S46-Grunddaten!$Q46)/100*$G71+$E71),-1)</f>
        <v>0</v>
      </c>
      <c r="AL71" s="482">
        <f ca="1">ROUND(Grunddaten!BM46*((Grunddaten!$S46-Grunddaten!$Q46)/100*$G71+$E71),-1)</f>
        <v>0</v>
      </c>
      <c r="AM71" s="482">
        <f ca="1">ROUND(Grunddaten!BN46*((Grunddaten!$S46-Grunddaten!$Q46)/100*$G71+$E71),-1)</f>
        <v>0</v>
      </c>
      <c r="AN71" s="482">
        <f ca="1">ROUND(Grunddaten!BO46*((Grunddaten!$S46-Grunddaten!$Q46)/100*$G71+$E71),-1)</f>
        <v>0</v>
      </c>
      <c r="AO71" s="482">
        <f ca="1">ROUND(Grunddaten!BP46*((Grunddaten!$S46-Grunddaten!$Q46)/100*$G71+$E71),-1)</f>
        <v>0</v>
      </c>
      <c r="AP71" s="482">
        <f ca="1">ROUND(Grunddaten!BQ46*((Grunddaten!$S46-Grunddaten!$Q46)/100*$G71+$E71),-1)</f>
        <v>0</v>
      </c>
      <c r="AQ71" s="482">
        <f ca="1">ROUND(Grunddaten!BR46*((Grunddaten!$S46-Grunddaten!$Q46)/100*$G71+$E71),-1)</f>
        <v>0</v>
      </c>
      <c r="AR71" s="482">
        <f ca="1">ROUND(Grunddaten!BS46*((Grunddaten!$S46-Grunddaten!$Q46)/100*$G71+$E71),-1)</f>
        <v>0</v>
      </c>
      <c r="AS71" s="482">
        <f ca="1">ROUND(Grunddaten!BT46*((Grunddaten!$S46-Grunddaten!$Q46)/100*$G71+$E71),-1)</f>
        <v>0</v>
      </c>
      <c r="AT71" s="482">
        <f ca="1">ROUND(Grunddaten!BU46*((Grunddaten!$S46-Grunddaten!$Q46)/100*$G71+$E71),-1)</f>
        <v>0</v>
      </c>
      <c r="AU71" s="482">
        <f ca="1">ROUND(Grunddaten!BV46*((Grunddaten!$S46-Grunddaten!$Q46)/100*$G71+$E71),-1)</f>
        <v>0</v>
      </c>
      <c r="AV71" s="482">
        <f ca="1">ROUND(Grunddaten!BW46*((Grunddaten!$S46-Grunddaten!$Q46)/100*$G71+$E71),-1)</f>
        <v>0</v>
      </c>
      <c r="AW71" s="482">
        <f ca="1">ROUND(Grunddaten!BX46*((Grunddaten!$S46-Grunddaten!$Q46)/100*$G71+$E71),-1)</f>
        <v>0</v>
      </c>
      <c r="AX71" s="482">
        <f ca="1">ROUND(Grunddaten!BY46*((Grunddaten!$S46-Grunddaten!$Q46)/100*$G71+$E71),-1)</f>
        <v>0</v>
      </c>
      <c r="AY71" s="482">
        <f ca="1">ROUND(Grunddaten!BZ46*((Grunddaten!$S46-Grunddaten!$Q46)/100*$G71+$E71),-1)</f>
        <v>0</v>
      </c>
      <c r="AZ71" s="482">
        <f ca="1">ROUND(Grunddaten!CA46*((Grunddaten!$S46-Grunddaten!$Q46)/100*$G71+$E71),-1)</f>
        <v>0</v>
      </c>
      <c r="BA71" s="482">
        <f ca="1">ROUND(Grunddaten!CB46*((Grunddaten!$S46-Grunddaten!$Q46)/100*$G71+$E71),-1)</f>
        <v>0</v>
      </c>
      <c r="BB71" s="482">
        <f ca="1">ROUND(Grunddaten!CC46*((Grunddaten!$S46-Grunddaten!$Q46)/100*$G71+$E71),-1)</f>
        <v>0</v>
      </c>
      <c r="BC71" s="482">
        <f ca="1">ROUND(Grunddaten!CD46*((Grunddaten!$S46-Grunddaten!$Q46)/100*$G71+$E71),-1)</f>
        <v>0</v>
      </c>
      <c r="BD71" s="482">
        <f ca="1">ROUND(Grunddaten!CE46*((Grunddaten!$S46-Grunddaten!$Q46)/100*$G71+$E71),-1)</f>
        <v>0</v>
      </c>
      <c r="BE71" s="482">
        <f ca="1">ROUND(Grunddaten!CF46*((Grunddaten!$S46-Grunddaten!$Q46)/100*$G71+$E71),-1)</f>
        <v>0</v>
      </c>
      <c r="BF71" s="482">
        <f ca="1">ROUND(Grunddaten!CG46*((Grunddaten!$S46-Grunddaten!$Q46)/100*$G71+$E71),-1)</f>
        <v>0</v>
      </c>
      <c r="BG71" s="482">
        <f ca="1">ROUND(Grunddaten!CH46*((Grunddaten!$S46-Grunddaten!$Q46)/100*$G71+$E71),-1)</f>
        <v>0</v>
      </c>
      <c r="BH71" s="482">
        <f ca="1">ROUND(Grunddaten!CI46*((Grunddaten!$S46-Grunddaten!$Q46)/100*$G71+$E71),-1)</f>
        <v>0</v>
      </c>
      <c r="BI71" s="482">
        <f ca="1">ROUND(Grunddaten!CJ46*((Grunddaten!$S46-Grunddaten!$Q46)/100*$G71+$E71),-1)</f>
        <v>0</v>
      </c>
      <c r="BJ71" s="482">
        <f ca="1">ROUND(Grunddaten!CK46*((Grunddaten!$S46-Grunddaten!$Q46)/100*$G71+$E71),-1)</f>
        <v>0</v>
      </c>
      <c r="BK71" s="482">
        <f ca="1">ROUND(Grunddaten!CL46*((Grunddaten!$S46-Grunddaten!$Q46)/100*$G71+$E71),-1)</f>
        <v>0</v>
      </c>
      <c r="BL71" s="482">
        <f ca="1">ROUND(Grunddaten!CM46*((Grunddaten!$S46-Grunddaten!$Q46)/100*$G71+$E71),-1)</f>
        <v>0</v>
      </c>
      <c r="BM71" s="482">
        <f ca="1">ROUND(Grunddaten!CN46*((Grunddaten!$S46-Grunddaten!$Q46)/100*$G71+$E71),-1)</f>
        <v>0</v>
      </c>
      <c r="BN71" s="482">
        <f ca="1">ROUND(Grunddaten!CO46*((Grunddaten!$S46-Grunddaten!$Q46)/100*$G71+$E71),-1)</f>
        <v>0</v>
      </c>
      <c r="BO71" s="482">
        <f ca="1">ROUND(Grunddaten!CP46*((Grunddaten!$S46-Grunddaten!$Q46)/100*$G71+$E71),-1)</f>
        <v>0</v>
      </c>
      <c r="BP71" s="482">
        <f ca="1">ROUND(Grunddaten!CQ46*((Grunddaten!$S46-Grunddaten!$Q46)/100*$G71+$E71),-1)</f>
        <v>0</v>
      </c>
      <c r="BQ71" s="483">
        <f ca="1">ROUND(Grunddaten!CR46*((Grunddaten!$S46-Grunddaten!$Q46)/100*$G71+$E71),-1)</f>
        <v>0</v>
      </c>
    </row>
    <row r="72" spans="1:69" s="88" customFormat="1" ht="11.25" customHeight="1" x14ac:dyDescent="0.2">
      <c r="A72" s="513" t="str">
        <f>Berechnungen!A30</f>
        <v>Biogas</v>
      </c>
      <c r="B72" s="1377"/>
      <c r="C72" s="2468"/>
      <c r="D72" s="2469"/>
      <c r="E72" s="2459">
        <f xml:space="preserve"> (IF(EV_Var2!$A$19=$A72,EV_Var2!$H$19,0) + IF(EV_Var2!$A$23=$A72,EV_Var2!$H$23,0) + IF(EV_Var2!$A$28=$A72,(EV_Var2!$H$27-EV_Var2!$AF$23),0) + IF(EV_Var2!$A$59=$A72,EV_Var2!$H$59,0)) * VLOOKUP(Projektdaten!G24,Grunddaten!C47:AI48,33,FALSE)</f>
        <v>0</v>
      </c>
      <c r="F72" s="2460"/>
      <c r="G72" s="2456">
        <f ca="1">SUMIF(EV_Var2!$A$10:$B$73,$A72,EV_Var2!$E$10:$E$73)</f>
        <v>0</v>
      </c>
      <c r="H72" s="2457"/>
      <c r="I72" s="2458"/>
      <c r="J72" s="2461">
        <f>VLOOKUP(Projektdaten!G24,Grunddaten!C47:AI48,17,FALSE) - (1-$R$109)*VLOOKUP(Projektdaten!G24,Grunddaten!C47:AI48,15,FALSE)</f>
        <v>14.256000000000002</v>
      </c>
      <c r="K72" s="2462"/>
      <c r="L72" s="2645">
        <f t="shared" ca="1" si="4"/>
        <v>0</v>
      </c>
      <c r="M72" s="2646"/>
      <c r="N72" s="2647"/>
      <c r="P72" s="314"/>
      <c r="Q72" s="314"/>
      <c r="S72" s="1223">
        <f ca="1">ROUND(Grunddaten!AT47*((Grunddaten!$S47-Grunddaten!$Q47)/100*$G72+$E72),-1)</f>
        <v>0</v>
      </c>
      <c r="T72" s="1224">
        <f ca="1">ROUND(Grunddaten!AU47*((Grunddaten!$S47-Grunddaten!$Q47)/100*$G72+$E72),-1)</f>
        <v>0</v>
      </c>
      <c r="U72" s="1224">
        <f ca="1">ROUND(Grunddaten!AV47*((Grunddaten!$S47-Grunddaten!$Q47)/100*$G72+$E72),-1)</f>
        <v>0</v>
      </c>
      <c r="V72" s="1224">
        <f ca="1">ROUND(Grunddaten!AW47*((Grunddaten!$S47-Grunddaten!$Q47)/100*$G72+$E72),-1)</f>
        <v>0</v>
      </c>
      <c r="W72" s="1224">
        <f ca="1">ROUND(Grunddaten!AX47*((Grunddaten!$S47-Grunddaten!$Q47)/100*$G72+$E72),-1)</f>
        <v>0</v>
      </c>
      <c r="X72" s="1224">
        <f ca="1">ROUND(Grunddaten!AY47*((Grunddaten!$S47-Grunddaten!$Q47)/100*$G72+$E72),-1)</f>
        <v>0</v>
      </c>
      <c r="Y72" s="1224">
        <f ca="1">ROUND(Grunddaten!AZ47*((Grunddaten!$S47-Grunddaten!$Q47)/100*$G72+$E72),-1)</f>
        <v>0</v>
      </c>
      <c r="Z72" s="1224">
        <f ca="1">ROUND(Grunddaten!BA47*((Grunddaten!$S47-Grunddaten!$Q47)/100*$G72+$E72),-1)</f>
        <v>0</v>
      </c>
      <c r="AA72" s="1224">
        <f ca="1">ROUND(Grunddaten!BB47*((Grunddaten!$S47-Grunddaten!$Q47)/100*$G72+$E72),-1)</f>
        <v>0</v>
      </c>
      <c r="AB72" s="1224">
        <f ca="1">ROUND(Grunddaten!BC47*((Grunddaten!$S47-Grunddaten!$Q47)/100*$G72+$E72),-1)</f>
        <v>0</v>
      </c>
      <c r="AC72" s="1224">
        <f ca="1">ROUND(Grunddaten!BD47*((Grunddaten!$S47-Grunddaten!$Q47)/100*$G72+$E72),-1)</f>
        <v>0</v>
      </c>
      <c r="AD72" s="1224">
        <f ca="1">ROUND(Grunddaten!BE47*((Grunddaten!$S47-Grunddaten!$Q47)/100*$G72+$E72),-1)</f>
        <v>0</v>
      </c>
      <c r="AE72" s="1224">
        <f ca="1">ROUND(Grunddaten!BF47*((Grunddaten!$S47-Grunddaten!$Q47)/100*$G72+$E72),-1)</f>
        <v>0</v>
      </c>
      <c r="AF72" s="1224">
        <f ca="1">ROUND(Grunddaten!BG47*((Grunddaten!$S47-Grunddaten!$Q47)/100*$G72+$E72),-1)</f>
        <v>0</v>
      </c>
      <c r="AG72" s="1224">
        <f ca="1">ROUND(Grunddaten!BH47*((Grunddaten!$S47-Grunddaten!$Q47)/100*$G72+$E72),-1)</f>
        <v>0</v>
      </c>
      <c r="AH72" s="1224">
        <f ca="1">ROUND(Grunddaten!BI47*((Grunddaten!$S47-Grunddaten!$Q47)/100*$G72+$E72),-1)</f>
        <v>0</v>
      </c>
      <c r="AI72" s="1224">
        <f ca="1">ROUND(Grunddaten!BJ47*((Grunddaten!$S47-Grunddaten!$Q47)/100*$G72+$E72),-1)</f>
        <v>0</v>
      </c>
      <c r="AJ72" s="1224">
        <f ca="1">ROUND(Grunddaten!BK47*((Grunddaten!$S47-Grunddaten!$Q47)/100*$G72+$E72),-1)</f>
        <v>0</v>
      </c>
      <c r="AK72" s="1224">
        <f ca="1">ROUND(Grunddaten!BL47*((Grunddaten!$S47-Grunddaten!$Q47)/100*$G72+$E72),-1)</f>
        <v>0</v>
      </c>
      <c r="AL72" s="1224">
        <f ca="1">ROUND(Grunddaten!BM47*((Grunddaten!$S47-Grunddaten!$Q47)/100*$G72+$E72),-1)</f>
        <v>0</v>
      </c>
      <c r="AM72" s="1224">
        <f ca="1">ROUND(Grunddaten!BN47*((Grunddaten!$S47-Grunddaten!$Q47)/100*$G72+$E72),-1)</f>
        <v>0</v>
      </c>
      <c r="AN72" s="1224">
        <f ca="1">ROUND(Grunddaten!BO47*((Grunddaten!$S47-Grunddaten!$Q47)/100*$G72+$E72),-1)</f>
        <v>0</v>
      </c>
      <c r="AO72" s="1224">
        <f ca="1">ROUND(Grunddaten!BP47*((Grunddaten!$S47-Grunddaten!$Q47)/100*$G72+$E72),-1)</f>
        <v>0</v>
      </c>
      <c r="AP72" s="1224">
        <f ca="1">ROUND(Grunddaten!BQ47*((Grunddaten!$S47-Grunddaten!$Q47)/100*$G72+$E72),-1)</f>
        <v>0</v>
      </c>
      <c r="AQ72" s="1224">
        <f ca="1">ROUND(Grunddaten!BR47*((Grunddaten!$S47-Grunddaten!$Q47)/100*$G72+$E72),-1)</f>
        <v>0</v>
      </c>
      <c r="AR72" s="1224">
        <f ca="1">ROUND(Grunddaten!BS47*((Grunddaten!$S47-Grunddaten!$Q47)/100*$G72+$E72),-1)</f>
        <v>0</v>
      </c>
      <c r="AS72" s="1224">
        <f ca="1">ROUND(Grunddaten!BT47*((Grunddaten!$S47-Grunddaten!$Q47)/100*$G72+$E72),-1)</f>
        <v>0</v>
      </c>
      <c r="AT72" s="1224">
        <f ca="1">ROUND(Grunddaten!BU47*((Grunddaten!$S47-Grunddaten!$Q47)/100*$G72+$E72),-1)</f>
        <v>0</v>
      </c>
      <c r="AU72" s="1224">
        <f ca="1">ROUND(Grunddaten!BV47*((Grunddaten!$S47-Grunddaten!$Q47)/100*$G72+$E72),-1)</f>
        <v>0</v>
      </c>
      <c r="AV72" s="1224">
        <f ca="1">ROUND(Grunddaten!BW47*((Grunddaten!$S47-Grunddaten!$Q47)/100*$G72+$E72),-1)</f>
        <v>0</v>
      </c>
      <c r="AW72" s="1224">
        <f ca="1">ROUND(Grunddaten!BX47*((Grunddaten!$S47-Grunddaten!$Q47)/100*$G72+$E72),-1)</f>
        <v>0</v>
      </c>
      <c r="AX72" s="1224">
        <f ca="1">ROUND(Grunddaten!BY47*((Grunddaten!$S47-Grunddaten!$Q47)/100*$G72+$E72),-1)</f>
        <v>0</v>
      </c>
      <c r="AY72" s="1224">
        <f ca="1">ROUND(Grunddaten!BZ47*((Grunddaten!$S47-Grunddaten!$Q47)/100*$G72+$E72),-1)</f>
        <v>0</v>
      </c>
      <c r="AZ72" s="1224">
        <f ca="1">ROUND(Grunddaten!CA47*((Grunddaten!$S47-Grunddaten!$Q47)/100*$G72+$E72),-1)</f>
        <v>0</v>
      </c>
      <c r="BA72" s="1224">
        <f ca="1">ROUND(Grunddaten!CB47*((Grunddaten!$S47-Grunddaten!$Q47)/100*$G72+$E72),-1)</f>
        <v>0</v>
      </c>
      <c r="BB72" s="1224">
        <f ca="1">ROUND(Grunddaten!CC47*((Grunddaten!$S47-Grunddaten!$Q47)/100*$G72+$E72),-1)</f>
        <v>0</v>
      </c>
      <c r="BC72" s="1224">
        <f ca="1">ROUND(Grunddaten!CD47*((Grunddaten!$S47-Grunddaten!$Q47)/100*$G72+$E72),-1)</f>
        <v>0</v>
      </c>
      <c r="BD72" s="1224">
        <f ca="1">ROUND(Grunddaten!CE47*((Grunddaten!$S47-Grunddaten!$Q47)/100*$G72+$E72),-1)</f>
        <v>0</v>
      </c>
      <c r="BE72" s="1224">
        <f ca="1">ROUND(Grunddaten!CF47*((Grunddaten!$S47-Grunddaten!$Q47)/100*$G72+$E72),-1)</f>
        <v>0</v>
      </c>
      <c r="BF72" s="1224">
        <f ca="1">ROUND(Grunddaten!CG47*((Grunddaten!$S47-Grunddaten!$Q47)/100*$G72+$E72),-1)</f>
        <v>0</v>
      </c>
      <c r="BG72" s="1224">
        <f ca="1">ROUND(Grunddaten!CH47*((Grunddaten!$S47-Grunddaten!$Q47)/100*$G72+$E72),-1)</f>
        <v>0</v>
      </c>
      <c r="BH72" s="1224">
        <f ca="1">ROUND(Grunddaten!CI47*((Grunddaten!$S47-Grunddaten!$Q47)/100*$G72+$E72),-1)</f>
        <v>0</v>
      </c>
      <c r="BI72" s="1224">
        <f ca="1">ROUND(Grunddaten!CJ47*((Grunddaten!$S47-Grunddaten!$Q47)/100*$G72+$E72),-1)</f>
        <v>0</v>
      </c>
      <c r="BJ72" s="1224">
        <f ca="1">ROUND(Grunddaten!CK47*((Grunddaten!$S47-Grunddaten!$Q47)/100*$G72+$E72),-1)</f>
        <v>0</v>
      </c>
      <c r="BK72" s="1224">
        <f ca="1">ROUND(Grunddaten!CL47*((Grunddaten!$S47-Grunddaten!$Q47)/100*$G72+$E72),-1)</f>
        <v>0</v>
      </c>
      <c r="BL72" s="1224">
        <f ca="1">ROUND(Grunddaten!CM47*((Grunddaten!$S47-Grunddaten!$Q47)/100*$G72+$E72),-1)</f>
        <v>0</v>
      </c>
      <c r="BM72" s="1224">
        <f ca="1">ROUND(Grunddaten!CN47*((Grunddaten!$S47-Grunddaten!$Q47)/100*$G72+$E72),-1)</f>
        <v>0</v>
      </c>
      <c r="BN72" s="1224">
        <f ca="1">ROUND(Grunddaten!CO47*((Grunddaten!$S47-Grunddaten!$Q47)/100*$G72+$E72),-1)</f>
        <v>0</v>
      </c>
      <c r="BO72" s="1224">
        <f ca="1">ROUND(Grunddaten!CP47*((Grunddaten!$S47-Grunddaten!$Q47)/100*$G72+$E72),-1)</f>
        <v>0</v>
      </c>
      <c r="BP72" s="1224">
        <f ca="1">ROUND(Grunddaten!CQ47*((Grunddaten!$S47-Grunddaten!$Q47)/100*$G72+$E72),-1)</f>
        <v>0</v>
      </c>
      <c r="BQ72" s="1225">
        <f ca="1">ROUND(Grunddaten!CR47*((Grunddaten!$S47-Grunddaten!$Q47)/100*$G72+$E72),-1)</f>
        <v>0</v>
      </c>
    </row>
    <row r="73" spans="1:69" s="88" customFormat="1" ht="11.25" customHeight="1" x14ac:dyDescent="0.2">
      <c r="A73" s="513" t="str">
        <f>Grunddaten!C49</f>
        <v>Erdgas</v>
      </c>
      <c r="B73" s="1377"/>
      <c r="C73" s="2468"/>
      <c r="D73" s="2469"/>
      <c r="E73" s="2459">
        <f xml:space="preserve"> (IF(EV_Var2!$A$19=$A73,EV_Var2!$H$19,0) + IF(EV_Var2!$A$23=$A73,EV_Var2!$H$23,0) + IF(EV_Var2!$A$28=$A73,(EV_Var2!$H$27-EV_Var2!$AF$23),0) + IF(EV_Var2!$A$59=$A73,EV_Var2!$H$59,0)) * Grunddaten!$AI49</f>
        <v>0</v>
      </c>
      <c r="F73" s="2460"/>
      <c r="G73" s="2456">
        <f ca="1">SUMIF(EV_Var2!$A$10:$B$73,$A73,EV_Var2!$E$10:$E$73)</f>
        <v>0</v>
      </c>
      <c r="H73" s="2457"/>
      <c r="I73" s="2458"/>
      <c r="J73" s="2479">
        <f>Grunddaten!S49-(1-$R$109)*Grunddaten!Q49</f>
        <v>6.0696000000000003</v>
      </c>
      <c r="K73" s="2480"/>
      <c r="L73" s="2645">
        <f t="shared" ca="1" si="4"/>
        <v>0</v>
      </c>
      <c r="M73" s="2646"/>
      <c r="N73" s="2647"/>
      <c r="P73" s="314"/>
      <c r="Q73" s="314"/>
      <c r="S73" s="1223">
        <f ca="1">ROUND(Grunddaten!AT49*((Grunddaten!$S49-Grunddaten!$Q49)/100*$G73+$E73),-1)</f>
        <v>0</v>
      </c>
      <c r="T73" s="1224">
        <f ca="1">ROUND(Grunddaten!AU49*((Grunddaten!$S49-Grunddaten!$Q49)/100*$G73+$E73),-1)</f>
        <v>0</v>
      </c>
      <c r="U73" s="1224">
        <f ca="1">ROUND(Grunddaten!AV49*((Grunddaten!$S49-Grunddaten!$Q49)/100*$G73+$E73),-1)</f>
        <v>0</v>
      </c>
      <c r="V73" s="1224">
        <f ca="1">ROUND(Grunddaten!AW49*((Grunddaten!$S49-Grunddaten!$Q49)/100*$G73+$E73),-1)</f>
        <v>0</v>
      </c>
      <c r="W73" s="1224">
        <f ca="1">ROUND(Grunddaten!AX49*((Grunddaten!$S49-Grunddaten!$Q49)/100*$G73+$E73),-1)</f>
        <v>0</v>
      </c>
      <c r="X73" s="1224">
        <f ca="1">ROUND(Grunddaten!AY49*((Grunddaten!$S49-Grunddaten!$Q49)/100*$G73+$E73),-1)</f>
        <v>0</v>
      </c>
      <c r="Y73" s="1224">
        <f ca="1">ROUND(Grunddaten!AZ49*((Grunddaten!$S49-Grunddaten!$Q49)/100*$G73+$E73),-1)</f>
        <v>0</v>
      </c>
      <c r="Z73" s="1224">
        <f ca="1">ROUND(Grunddaten!BA49*((Grunddaten!$S49-Grunddaten!$Q49)/100*$G73+$E73),-1)</f>
        <v>0</v>
      </c>
      <c r="AA73" s="1224">
        <f ca="1">ROUND(Grunddaten!BB49*((Grunddaten!$S49-Grunddaten!$Q49)/100*$G73+$E73),-1)</f>
        <v>0</v>
      </c>
      <c r="AB73" s="482">
        <f ca="1">ROUND(Grunddaten!BC49*((Grunddaten!$S49-Grunddaten!$Q49)/100*$G73+$E73),-1)</f>
        <v>0</v>
      </c>
      <c r="AC73" s="482">
        <f ca="1">ROUND(Grunddaten!BD49*((Grunddaten!$S49-Grunddaten!$Q49)/100*$G73+$E73),-1)</f>
        <v>0</v>
      </c>
      <c r="AD73" s="482">
        <f ca="1">ROUND(Grunddaten!BE49*((Grunddaten!$S49-Grunddaten!$Q49)/100*$G73+$E73),-1)</f>
        <v>0</v>
      </c>
      <c r="AE73" s="482">
        <f ca="1">ROUND(Grunddaten!BF49*((Grunddaten!$S49-Grunddaten!$Q49)/100*$G73+$E73),-1)</f>
        <v>0</v>
      </c>
      <c r="AF73" s="482">
        <f ca="1">ROUND(Grunddaten!BG49*((Grunddaten!$S49-Grunddaten!$Q49)/100*$G73+$E73),-1)</f>
        <v>0</v>
      </c>
      <c r="AG73" s="482">
        <f ca="1">ROUND(Grunddaten!BH49*((Grunddaten!$S49-Grunddaten!$Q49)/100*$G73+$E73),-1)</f>
        <v>0</v>
      </c>
      <c r="AH73" s="482">
        <f ca="1">ROUND(Grunddaten!BI49*((Grunddaten!$S49-Grunddaten!$Q49)/100*$G73+$E73),-1)</f>
        <v>0</v>
      </c>
      <c r="AI73" s="482">
        <f ca="1">ROUND(Grunddaten!BJ49*((Grunddaten!$S49-Grunddaten!$Q49)/100*$G73+$E73),-1)</f>
        <v>0</v>
      </c>
      <c r="AJ73" s="482">
        <f ca="1">ROUND(Grunddaten!BK49*((Grunddaten!$S49-Grunddaten!$Q49)/100*$G73+$E73),-1)</f>
        <v>0</v>
      </c>
      <c r="AK73" s="482">
        <f ca="1">ROUND(Grunddaten!BL49*((Grunddaten!$S49-Grunddaten!$Q49)/100*$G73+$E73),-1)</f>
        <v>0</v>
      </c>
      <c r="AL73" s="482">
        <f ca="1">ROUND(Grunddaten!BM49*((Grunddaten!$S49-Grunddaten!$Q49)/100*$G73+$E73),-1)</f>
        <v>0</v>
      </c>
      <c r="AM73" s="482">
        <f ca="1">ROUND(Grunddaten!BN49*((Grunddaten!$S49-Grunddaten!$Q49)/100*$G73+$E73),-1)</f>
        <v>0</v>
      </c>
      <c r="AN73" s="482">
        <f ca="1">ROUND(Grunddaten!BO49*((Grunddaten!$S49-Grunddaten!$Q49)/100*$G73+$E73),-1)</f>
        <v>0</v>
      </c>
      <c r="AO73" s="482">
        <f ca="1">ROUND(Grunddaten!BP49*((Grunddaten!$S49-Grunddaten!$Q49)/100*$G73+$E73),-1)</f>
        <v>0</v>
      </c>
      <c r="AP73" s="482">
        <f ca="1">ROUND(Grunddaten!BQ49*((Grunddaten!$S49-Grunddaten!$Q49)/100*$G73+$E73),-1)</f>
        <v>0</v>
      </c>
      <c r="AQ73" s="482">
        <f ca="1">ROUND(Grunddaten!BR49*((Grunddaten!$S49-Grunddaten!$Q49)/100*$G73+$E73),-1)</f>
        <v>0</v>
      </c>
      <c r="AR73" s="482">
        <f ca="1">ROUND(Grunddaten!BS49*((Grunddaten!$S49-Grunddaten!$Q49)/100*$G73+$E73),-1)</f>
        <v>0</v>
      </c>
      <c r="AS73" s="482">
        <f ca="1">ROUND(Grunddaten!BT49*((Grunddaten!$S49-Grunddaten!$Q49)/100*$G73+$E73),-1)</f>
        <v>0</v>
      </c>
      <c r="AT73" s="482">
        <f ca="1">ROUND(Grunddaten!BU49*((Grunddaten!$S49-Grunddaten!$Q49)/100*$G73+$E73),-1)</f>
        <v>0</v>
      </c>
      <c r="AU73" s="482">
        <f ca="1">ROUND(Grunddaten!BV49*((Grunddaten!$S49-Grunddaten!$Q49)/100*$G73+$E73),-1)</f>
        <v>0</v>
      </c>
      <c r="AV73" s="482">
        <f ca="1">ROUND(Grunddaten!BW49*((Grunddaten!$S49-Grunddaten!$Q49)/100*$G73+$E73),-1)</f>
        <v>0</v>
      </c>
      <c r="AW73" s="482">
        <f ca="1">ROUND(Grunddaten!BX49*((Grunddaten!$S49-Grunddaten!$Q49)/100*$G73+$E73),-1)</f>
        <v>0</v>
      </c>
      <c r="AX73" s="482">
        <f ca="1">ROUND(Grunddaten!BY49*((Grunddaten!$S49-Grunddaten!$Q49)/100*$G73+$E73),-1)</f>
        <v>0</v>
      </c>
      <c r="AY73" s="482">
        <f ca="1">ROUND(Grunddaten!BZ49*((Grunddaten!$S49-Grunddaten!$Q49)/100*$G73+$E73),-1)</f>
        <v>0</v>
      </c>
      <c r="AZ73" s="482">
        <f ca="1">ROUND(Grunddaten!CA49*((Grunddaten!$S49-Grunddaten!$Q49)/100*$G73+$E73),-1)</f>
        <v>0</v>
      </c>
      <c r="BA73" s="482">
        <f ca="1">ROUND(Grunddaten!CB49*((Grunddaten!$S49-Grunddaten!$Q49)/100*$G73+$E73),-1)</f>
        <v>0</v>
      </c>
      <c r="BB73" s="482">
        <f ca="1">ROUND(Grunddaten!CC49*((Grunddaten!$S49-Grunddaten!$Q49)/100*$G73+$E73),-1)</f>
        <v>0</v>
      </c>
      <c r="BC73" s="482">
        <f ca="1">ROUND(Grunddaten!CD49*((Grunddaten!$S49-Grunddaten!$Q49)/100*$G73+$E73),-1)</f>
        <v>0</v>
      </c>
      <c r="BD73" s="482">
        <f ca="1">ROUND(Grunddaten!CE49*((Grunddaten!$S49-Grunddaten!$Q49)/100*$G73+$E73),-1)</f>
        <v>0</v>
      </c>
      <c r="BE73" s="482">
        <f ca="1">ROUND(Grunddaten!CF49*((Grunddaten!$S49-Grunddaten!$Q49)/100*$G73+$E73),-1)</f>
        <v>0</v>
      </c>
      <c r="BF73" s="482">
        <f ca="1">ROUND(Grunddaten!CG49*((Grunddaten!$S49-Grunddaten!$Q49)/100*$G73+$E73),-1)</f>
        <v>0</v>
      </c>
      <c r="BG73" s="482">
        <f ca="1">ROUND(Grunddaten!CH49*((Grunddaten!$S49-Grunddaten!$Q49)/100*$G73+$E73),-1)</f>
        <v>0</v>
      </c>
      <c r="BH73" s="482">
        <f ca="1">ROUND(Grunddaten!CI49*((Grunddaten!$S49-Grunddaten!$Q49)/100*$G73+$E73),-1)</f>
        <v>0</v>
      </c>
      <c r="BI73" s="482">
        <f ca="1">ROUND(Grunddaten!CJ49*((Grunddaten!$S49-Grunddaten!$Q49)/100*$G73+$E73),-1)</f>
        <v>0</v>
      </c>
      <c r="BJ73" s="482">
        <f ca="1">ROUND(Grunddaten!CK49*((Grunddaten!$S49-Grunddaten!$Q49)/100*$G73+$E73),-1)</f>
        <v>0</v>
      </c>
      <c r="BK73" s="482">
        <f ca="1">ROUND(Grunddaten!CL49*((Grunddaten!$S49-Grunddaten!$Q49)/100*$G73+$E73),-1)</f>
        <v>0</v>
      </c>
      <c r="BL73" s="482">
        <f ca="1">ROUND(Grunddaten!CM49*((Grunddaten!$S49-Grunddaten!$Q49)/100*$G73+$E73),-1)</f>
        <v>0</v>
      </c>
      <c r="BM73" s="482">
        <f ca="1">ROUND(Grunddaten!CN49*((Grunddaten!$S49-Grunddaten!$Q49)/100*$G73+$E73),-1)</f>
        <v>0</v>
      </c>
      <c r="BN73" s="482">
        <f ca="1">ROUND(Grunddaten!CO49*((Grunddaten!$S49-Grunddaten!$Q49)/100*$G73+$E73),-1)</f>
        <v>0</v>
      </c>
      <c r="BO73" s="482">
        <f ca="1">ROUND(Grunddaten!CP49*((Grunddaten!$S49-Grunddaten!$Q49)/100*$G73+$E73),-1)</f>
        <v>0</v>
      </c>
      <c r="BP73" s="482">
        <f ca="1">ROUND(Grunddaten!CQ49*((Grunddaten!$S49-Grunddaten!$Q49)/100*$G73+$E73),-1)</f>
        <v>0</v>
      </c>
      <c r="BQ73" s="483">
        <f ca="1">ROUND(Grunddaten!CR49*((Grunddaten!$S49-Grunddaten!$Q49)/100*$G73+$E73),-1)</f>
        <v>0</v>
      </c>
    </row>
    <row r="74" spans="1:69" s="88" customFormat="1" ht="11.25" customHeight="1" x14ac:dyDescent="0.2">
      <c r="A74" s="513" t="str">
        <f>Grunddaten!C50</f>
        <v>Heizöl EL</v>
      </c>
      <c r="B74" s="1377"/>
      <c r="C74" s="2468"/>
      <c r="D74" s="2469"/>
      <c r="E74" s="2459"/>
      <c r="F74" s="2460"/>
      <c r="G74" s="2456">
        <f ca="1">SUMIF(EV_Var2!$A$10:$B$73,$A74,EV_Var2!$E$10:$E$73)</f>
        <v>0</v>
      </c>
      <c r="H74" s="2457"/>
      <c r="I74" s="2458"/>
      <c r="J74" s="2479">
        <f>Grunddaten!S50-(1-$R$109)*Grunddaten!Q50</f>
        <v>7.6100840336134441</v>
      </c>
      <c r="K74" s="2480"/>
      <c r="L74" s="2645">
        <f t="shared" ca="1" si="4"/>
        <v>0</v>
      </c>
      <c r="M74" s="2646"/>
      <c r="N74" s="2647"/>
      <c r="P74" s="314"/>
      <c r="Q74" s="314"/>
      <c r="S74" s="1223">
        <f ca="1">ROUND(Grunddaten!AT50*((Grunddaten!$S50-Grunddaten!$Q50)/100*$G74+$E74),-1)</f>
        <v>0</v>
      </c>
      <c r="T74" s="1224">
        <f ca="1">ROUND(Grunddaten!AU50*((Grunddaten!$S50-Grunddaten!$Q50)/100*$G74+$E74),-1)</f>
        <v>0</v>
      </c>
      <c r="U74" s="1224">
        <f ca="1">ROUND(Grunddaten!AV50*((Grunddaten!$S50-Grunddaten!$Q50)/100*$G74+$E74),-1)</f>
        <v>0</v>
      </c>
      <c r="V74" s="1224">
        <f ca="1">ROUND(Grunddaten!AW50*((Grunddaten!$S50-Grunddaten!$Q50)/100*$G74+$E74),-1)</f>
        <v>0</v>
      </c>
      <c r="W74" s="1224">
        <f ca="1">ROUND(Grunddaten!AX50*((Grunddaten!$S50-Grunddaten!$Q50)/100*$G74+$E74),-1)</f>
        <v>0</v>
      </c>
      <c r="X74" s="1224">
        <f ca="1">ROUND(Grunddaten!AY50*((Grunddaten!$S50-Grunddaten!$Q50)/100*$G74+$E74),-1)</f>
        <v>0</v>
      </c>
      <c r="Y74" s="1224">
        <f ca="1">ROUND(Grunddaten!AZ50*((Grunddaten!$S50-Grunddaten!$Q50)/100*$G74+$E74),-1)</f>
        <v>0</v>
      </c>
      <c r="Z74" s="1224">
        <f ca="1">ROUND(Grunddaten!BA50*((Grunddaten!$S50-Grunddaten!$Q50)/100*$G74+$E74),-1)</f>
        <v>0</v>
      </c>
      <c r="AA74" s="1224">
        <f ca="1">ROUND(Grunddaten!BB50*((Grunddaten!$S50-Grunddaten!$Q50)/100*$G74+$E74),-1)</f>
        <v>0</v>
      </c>
      <c r="AB74" s="482">
        <f ca="1">ROUND(Grunddaten!BC50*((Grunddaten!$S50-Grunddaten!$Q50)/100*$G74+$E74),-1)</f>
        <v>0</v>
      </c>
      <c r="AC74" s="482">
        <f ca="1">ROUND(Grunddaten!BD50*((Grunddaten!$S50-Grunddaten!$Q50)/100*$G74+$E74),-1)</f>
        <v>0</v>
      </c>
      <c r="AD74" s="482">
        <f ca="1">ROUND(Grunddaten!BE50*((Grunddaten!$S50-Grunddaten!$Q50)/100*$G74+$E74),-1)</f>
        <v>0</v>
      </c>
      <c r="AE74" s="482">
        <f ca="1">ROUND(Grunddaten!BF50*((Grunddaten!$S50-Grunddaten!$Q50)/100*$G74+$E74),-1)</f>
        <v>0</v>
      </c>
      <c r="AF74" s="482">
        <f ca="1">ROUND(Grunddaten!BG50*((Grunddaten!$S50-Grunddaten!$Q50)/100*$G74+$E74),-1)</f>
        <v>0</v>
      </c>
      <c r="AG74" s="482">
        <f ca="1">ROUND(Grunddaten!BH50*((Grunddaten!$S50-Grunddaten!$Q50)/100*$G74+$E74),-1)</f>
        <v>0</v>
      </c>
      <c r="AH74" s="482">
        <f ca="1">ROUND(Grunddaten!BI50*((Grunddaten!$S50-Grunddaten!$Q50)/100*$G74+$E74),-1)</f>
        <v>0</v>
      </c>
      <c r="AI74" s="482">
        <f ca="1">ROUND(Grunddaten!BJ50*((Grunddaten!$S50-Grunddaten!$Q50)/100*$G74+$E74),-1)</f>
        <v>0</v>
      </c>
      <c r="AJ74" s="482">
        <f ca="1">ROUND(Grunddaten!BK50*((Grunddaten!$S50-Grunddaten!$Q50)/100*$G74+$E74),-1)</f>
        <v>0</v>
      </c>
      <c r="AK74" s="482">
        <f ca="1">ROUND(Grunddaten!BL50*((Grunddaten!$S50-Grunddaten!$Q50)/100*$G74+$E74),-1)</f>
        <v>0</v>
      </c>
      <c r="AL74" s="482">
        <f ca="1">ROUND(Grunddaten!BM50*((Grunddaten!$S50-Grunddaten!$Q50)/100*$G74+$E74),-1)</f>
        <v>0</v>
      </c>
      <c r="AM74" s="482">
        <f ca="1">ROUND(Grunddaten!BN50*((Grunddaten!$S50-Grunddaten!$Q50)/100*$G74+$E74),-1)</f>
        <v>0</v>
      </c>
      <c r="AN74" s="482">
        <f ca="1">ROUND(Grunddaten!BO50*((Grunddaten!$S50-Grunddaten!$Q50)/100*$G74+$E74),-1)</f>
        <v>0</v>
      </c>
      <c r="AO74" s="482">
        <f ca="1">ROUND(Grunddaten!BP50*((Grunddaten!$S50-Grunddaten!$Q50)/100*$G74+$E74),-1)</f>
        <v>0</v>
      </c>
      <c r="AP74" s="482">
        <f ca="1">ROUND(Grunddaten!BQ50*((Grunddaten!$S50-Grunddaten!$Q50)/100*$G74+$E74),-1)</f>
        <v>0</v>
      </c>
      <c r="AQ74" s="482">
        <f ca="1">ROUND(Grunddaten!BR50*((Grunddaten!$S50-Grunddaten!$Q50)/100*$G74+$E74),-1)</f>
        <v>0</v>
      </c>
      <c r="AR74" s="482">
        <f ca="1">ROUND(Grunddaten!BS50*((Grunddaten!$S50-Grunddaten!$Q50)/100*$G74+$E74),-1)</f>
        <v>0</v>
      </c>
      <c r="AS74" s="482">
        <f ca="1">ROUND(Grunddaten!BT50*((Grunddaten!$S50-Grunddaten!$Q50)/100*$G74+$E74),-1)</f>
        <v>0</v>
      </c>
      <c r="AT74" s="482">
        <f ca="1">ROUND(Grunddaten!BU50*((Grunddaten!$S50-Grunddaten!$Q50)/100*$G74+$E74),-1)</f>
        <v>0</v>
      </c>
      <c r="AU74" s="482">
        <f ca="1">ROUND(Grunddaten!BV50*((Grunddaten!$S50-Grunddaten!$Q50)/100*$G74+$E74),-1)</f>
        <v>0</v>
      </c>
      <c r="AV74" s="482">
        <f ca="1">ROUND(Grunddaten!BW50*((Grunddaten!$S50-Grunddaten!$Q50)/100*$G74+$E74),-1)</f>
        <v>0</v>
      </c>
      <c r="AW74" s="482">
        <f ca="1">ROUND(Grunddaten!BX50*((Grunddaten!$S50-Grunddaten!$Q50)/100*$G74+$E74),-1)</f>
        <v>0</v>
      </c>
      <c r="AX74" s="482">
        <f ca="1">ROUND(Grunddaten!BY50*((Grunddaten!$S50-Grunddaten!$Q50)/100*$G74+$E74),-1)</f>
        <v>0</v>
      </c>
      <c r="AY74" s="482">
        <f ca="1">ROUND(Grunddaten!BZ50*((Grunddaten!$S50-Grunddaten!$Q50)/100*$G74+$E74),-1)</f>
        <v>0</v>
      </c>
      <c r="AZ74" s="482">
        <f ca="1">ROUND(Grunddaten!CA50*((Grunddaten!$S50-Grunddaten!$Q50)/100*$G74+$E74),-1)</f>
        <v>0</v>
      </c>
      <c r="BA74" s="482">
        <f ca="1">ROUND(Grunddaten!CB50*((Grunddaten!$S50-Grunddaten!$Q50)/100*$G74+$E74),-1)</f>
        <v>0</v>
      </c>
      <c r="BB74" s="482">
        <f ca="1">ROUND(Grunddaten!CC50*((Grunddaten!$S50-Grunddaten!$Q50)/100*$G74+$E74),-1)</f>
        <v>0</v>
      </c>
      <c r="BC74" s="482">
        <f ca="1">ROUND(Grunddaten!CD50*((Grunddaten!$S50-Grunddaten!$Q50)/100*$G74+$E74),-1)</f>
        <v>0</v>
      </c>
      <c r="BD74" s="482">
        <f ca="1">ROUND(Grunddaten!CE50*((Grunddaten!$S50-Grunddaten!$Q50)/100*$G74+$E74),-1)</f>
        <v>0</v>
      </c>
      <c r="BE74" s="482">
        <f ca="1">ROUND(Grunddaten!CF50*((Grunddaten!$S50-Grunddaten!$Q50)/100*$G74+$E74),-1)</f>
        <v>0</v>
      </c>
      <c r="BF74" s="482">
        <f ca="1">ROUND(Grunddaten!CG50*((Grunddaten!$S50-Grunddaten!$Q50)/100*$G74+$E74),-1)</f>
        <v>0</v>
      </c>
      <c r="BG74" s="482">
        <f ca="1">ROUND(Grunddaten!CH50*((Grunddaten!$S50-Grunddaten!$Q50)/100*$G74+$E74),-1)</f>
        <v>0</v>
      </c>
      <c r="BH74" s="482">
        <f ca="1">ROUND(Grunddaten!CI50*((Grunddaten!$S50-Grunddaten!$Q50)/100*$G74+$E74),-1)</f>
        <v>0</v>
      </c>
      <c r="BI74" s="482">
        <f ca="1">ROUND(Grunddaten!CJ50*((Grunddaten!$S50-Grunddaten!$Q50)/100*$G74+$E74),-1)</f>
        <v>0</v>
      </c>
      <c r="BJ74" s="482">
        <f ca="1">ROUND(Grunddaten!CK50*((Grunddaten!$S50-Grunddaten!$Q50)/100*$G74+$E74),-1)</f>
        <v>0</v>
      </c>
      <c r="BK74" s="482">
        <f ca="1">ROUND(Grunddaten!CL50*((Grunddaten!$S50-Grunddaten!$Q50)/100*$G74+$E74),-1)</f>
        <v>0</v>
      </c>
      <c r="BL74" s="482">
        <f ca="1">ROUND(Grunddaten!CM50*((Grunddaten!$S50-Grunddaten!$Q50)/100*$G74+$E74),-1)</f>
        <v>0</v>
      </c>
      <c r="BM74" s="482">
        <f ca="1">ROUND(Grunddaten!CN50*((Grunddaten!$S50-Grunddaten!$Q50)/100*$G74+$E74),-1)</f>
        <v>0</v>
      </c>
      <c r="BN74" s="482">
        <f ca="1">ROUND(Grunddaten!CO50*((Grunddaten!$S50-Grunddaten!$Q50)/100*$G74+$E74),-1)</f>
        <v>0</v>
      </c>
      <c r="BO74" s="482">
        <f ca="1">ROUND(Grunddaten!CP50*((Grunddaten!$S50-Grunddaten!$Q50)/100*$G74+$E74),-1)</f>
        <v>0</v>
      </c>
      <c r="BP74" s="482">
        <f ca="1">ROUND(Grunddaten!CQ50*((Grunddaten!$S50-Grunddaten!$Q50)/100*$G74+$E74),-1)</f>
        <v>0</v>
      </c>
      <c r="BQ74" s="483">
        <f ca="1">ROUND(Grunddaten!CR50*((Grunddaten!$S50-Grunddaten!$Q50)/100*$G74+$E74),-1)</f>
        <v>0</v>
      </c>
    </row>
    <row r="75" spans="1:69" s="88" customFormat="1" ht="11.25" customHeight="1" x14ac:dyDescent="0.2">
      <c r="A75" s="549" t="str">
        <f>Grunddaten!$C$51</f>
        <v>Brennstoff XY</v>
      </c>
      <c r="B75" s="1389"/>
      <c r="C75" s="2468"/>
      <c r="D75" s="2469"/>
      <c r="E75" s="2459">
        <f xml:space="preserve"> (IF(EV_Var2!$A$19=$A75,EV_Var2!$H$19,0) + IF(EV_Var2!$A$23=$A75,EV_Var2!$H$23,0) + IF(EV_Var2!$A$28=$A75,(EV_Var2!$H$27-EV_Var2!$AF$23),0) + IF(EV_Var2!$A$59=$A75,EV_Var2!$H$59,0)) * Grunddaten!$AI51</f>
        <v>0</v>
      </c>
      <c r="F75" s="2460"/>
      <c r="G75" s="2456">
        <f ca="1">SUMIF(EV_Var2!$A$10:$B$73,$A75,EV_Var2!$E$10:$E$73)</f>
        <v>0</v>
      </c>
      <c r="H75" s="2457"/>
      <c r="I75" s="2458"/>
      <c r="J75" s="2479">
        <f>Grunddaten!S51-(1-$R$109)*Grunddaten!Q51</f>
        <v>0</v>
      </c>
      <c r="K75" s="2480"/>
      <c r="L75" s="2645">
        <f t="shared" ca="1" si="4"/>
        <v>0</v>
      </c>
      <c r="M75" s="2646"/>
      <c r="N75" s="2647"/>
      <c r="P75" s="314"/>
      <c r="Q75" s="314"/>
      <c r="S75" s="1223">
        <f ca="1">ROUND(Grunddaten!AT51*((Grunddaten!$S51-Grunddaten!$Q51)/100*$G75+$E75),-1)</f>
        <v>0</v>
      </c>
      <c r="T75" s="1224">
        <f ca="1">ROUND(Grunddaten!AU51*((Grunddaten!$S51-Grunddaten!$Q51)/100*$G75+$E75),-1)</f>
        <v>0</v>
      </c>
      <c r="U75" s="1224">
        <f ca="1">ROUND(Grunddaten!AV51*((Grunddaten!$S51-Grunddaten!$Q51)/100*$G75+$E75),-1)</f>
        <v>0</v>
      </c>
      <c r="V75" s="1224">
        <f ca="1">ROUND(Grunddaten!AW51*((Grunddaten!$S51-Grunddaten!$Q51)/100*$G75+$E75),-1)</f>
        <v>0</v>
      </c>
      <c r="W75" s="1224">
        <f ca="1">ROUND(Grunddaten!AX51*((Grunddaten!$S51-Grunddaten!$Q51)/100*$G75+$E75),-1)</f>
        <v>0</v>
      </c>
      <c r="X75" s="1224">
        <f ca="1">ROUND(Grunddaten!AY51*((Grunddaten!$S51-Grunddaten!$Q51)/100*$G75+$E75),-1)</f>
        <v>0</v>
      </c>
      <c r="Y75" s="1224">
        <f ca="1">ROUND(Grunddaten!AZ51*((Grunddaten!$S51-Grunddaten!$Q51)/100*$G75+$E75),-1)</f>
        <v>0</v>
      </c>
      <c r="Z75" s="1224">
        <f ca="1">ROUND(Grunddaten!BA51*((Grunddaten!$S51-Grunddaten!$Q51)/100*$G75+$E75),-1)</f>
        <v>0</v>
      </c>
      <c r="AA75" s="1224">
        <f ca="1">ROUND(Grunddaten!BB51*((Grunddaten!$S51-Grunddaten!$Q51)/100*$G75+$E75),-1)</f>
        <v>0</v>
      </c>
      <c r="AB75" s="482">
        <f ca="1">ROUND(Grunddaten!BC51*((Grunddaten!$S51-Grunddaten!$Q51)/100*$G75+$E75),-1)</f>
        <v>0</v>
      </c>
      <c r="AC75" s="482">
        <f ca="1">ROUND(Grunddaten!BD51*((Grunddaten!$S51-Grunddaten!$Q51)/100*$G75+$E75),-1)</f>
        <v>0</v>
      </c>
      <c r="AD75" s="482">
        <f ca="1">ROUND(Grunddaten!BE51*((Grunddaten!$S51-Grunddaten!$Q51)/100*$G75+$E75),-1)</f>
        <v>0</v>
      </c>
      <c r="AE75" s="482">
        <f ca="1">ROUND(Grunddaten!BF51*((Grunddaten!$S51-Grunddaten!$Q51)/100*$G75+$E75),-1)</f>
        <v>0</v>
      </c>
      <c r="AF75" s="482">
        <f ca="1">ROUND(Grunddaten!BG51*((Grunddaten!$S51-Grunddaten!$Q51)/100*$G75+$E75),-1)</f>
        <v>0</v>
      </c>
      <c r="AG75" s="482">
        <f ca="1">ROUND(Grunddaten!BH51*((Grunddaten!$S51-Grunddaten!$Q51)/100*$G75+$E75),-1)</f>
        <v>0</v>
      </c>
      <c r="AH75" s="482">
        <f ca="1">ROUND(Grunddaten!BI51*((Grunddaten!$S51-Grunddaten!$Q51)/100*$G75+$E75),-1)</f>
        <v>0</v>
      </c>
      <c r="AI75" s="482">
        <f ca="1">ROUND(Grunddaten!BJ51*((Grunddaten!$S51-Grunddaten!$Q51)/100*$G75+$E75),-1)</f>
        <v>0</v>
      </c>
      <c r="AJ75" s="482">
        <f ca="1">ROUND(Grunddaten!BK51*((Grunddaten!$S51-Grunddaten!$Q51)/100*$G75+$E75),-1)</f>
        <v>0</v>
      </c>
      <c r="AK75" s="482">
        <f ca="1">ROUND(Grunddaten!BL51*((Grunddaten!$S51-Grunddaten!$Q51)/100*$G75+$E75),-1)</f>
        <v>0</v>
      </c>
      <c r="AL75" s="482">
        <f ca="1">ROUND(Grunddaten!BM51*((Grunddaten!$S51-Grunddaten!$Q51)/100*$G75+$E75),-1)</f>
        <v>0</v>
      </c>
      <c r="AM75" s="482">
        <f ca="1">ROUND(Grunddaten!BN51*((Grunddaten!$S51-Grunddaten!$Q51)/100*$G75+$E75),-1)</f>
        <v>0</v>
      </c>
      <c r="AN75" s="482">
        <f ca="1">ROUND(Grunddaten!BO51*((Grunddaten!$S51-Grunddaten!$Q51)/100*$G75+$E75),-1)</f>
        <v>0</v>
      </c>
      <c r="AO75" s="482">
        <f ca="1">ROUND(Grunddaten!BP51*((Grunddaten!$S51-Grunddaten!$Q51)/100*$G75+$E75),-1)</f>
        <v>0</v>
      </c>
      <c r="AP75" s="482">
        <f ca="1">ROUND(Grunddaten!BQ51*((Grunddaten!$S51-Grunddaten!$Q51)/100*$G75+$E75),-1)</f>
        <v>0</v>
      </c>
      <c r="AQ75" s="482">
        <f ca="1">ROUND(Grunddaten!BR51*((Grunddaten!$S51-Grunddaten!$Q51)/100*$G75+$E75),-1)</f>
        <v>0</v>
      </c>
      <c r="AR75" s="482">
        <f ca="1">ROUND(Grunddaten!BS51*((Grunddaten!$S51-Grunddaten!$Q51)/100*$G75+$E75),-1)</f>
        <v>0</v>
      </c>
      <c r="AS75" s="482">
        <f ca="1">ROUND(Grunddaten!BT51*((Grunddaten!$S51-Grunddaten!$Q51)/100*$G75+$E75),-1)</f>
        <v>0</v>
      </c>
      <c r="AT75" s="482">
        <f ca="1">ROUND(Grunddaten!BU51*((Grunddaten!$S51-Grunddaten!$Q51)/100*$G75+$E75),-1)</f>
        <v>0</v>
      </c>
      <c r="AU75" s="482">
        <f ca="1">ROUND(Grunddaten!BV51*((Grunddaten!$S51-Grunddaten!$Q51)/100*$G75+$E75),-1)</f>
        <v>0</v>
      </c>
      <c r="AV75" s="482">
        <f ca="1">ROUND(Grunddaten!BW51*((Grunddaten!$S51-Grunddaten!$Q51)/100*$G75+$E75),-1)</f>
        <v>0</v>
      </c>
      <c r="AW75" s="482">
        <f ca="1">ROUND(Grunddaten!BX51*((Grunddaten!$S51-Grunddaten!$Q51)/100*$G75+$E75),-1)</f>
        <v>0</v>
      </c>
      <c r="AX75" s="482">
        <f ca="1">ROUND(Grunddaten!BY51*((Grunddaten!$S51-Grunddaten!$Q51)/100*$G75+$E75),-1)</f>
        <v>0</v>
      </c>
      <c r="AY75" s="482">
        <f ca="1">ROUND(Grunddaten!BZ51*((Grunddaten!$S51-Grunddaten!$Q51)/100*$G75+$E75),-1)</f>
        <v>0</v>
      </c>
      <c r="AZ75" s="482">
        <f ca="1">ROUND(Grunddaten!CA51*((Grunddaten!$S51-Grunddaten!$Q51)/100*$G75+$E75),-1)</f>
        <v>0</v>
      </c>
      <c r="BA75" s="482">
        <f ca="1">ROUND(Grunddaten!CB51*((Grunddaten!$S51-Grunddaten!$Q51)/100*$G75+$E75),-1)</f>
        <v>0</v>
      </c>
      <c r="BB75" s="482">
        <f ca="1">ROUND(Grunddaten!CC51*((Grunddaten!$S51-Grunddaten!$Q51)/100*$G75+$E75),-1)</f>
        <v>0</v>
      </c>
      <c r="BC75" s="482">
        <f ca="1">ROUND(Grunddaten!CD51*((Grunddaten!$S51-Grunddaten!$Q51)/100*$G75+$E75),-1)</f>
        <v>0</v>
      </c>
      <c r="BD75" s="482">
        <f ca="1">ROUND(Grunddaten!CE51*((Grunddaten!$S51-Grunddaten!$Q51)/100*$G75+$E75),-1)</f>
        <v>0</v>
      </c>
      <c r="BE75" s="482">
        <f ca="1">ROUND(Grunddaten!CF51*((Grunddaten!$S51-Grunddaten!$Q51)/100*$G75+$E75),-1)</f>
        <v>0</v>
      </c>
      <c r="BF75" s="482">
        <f ca="1">ROUND(Grunddaten!CG51*((Grunddaten!$S51-Grunddaten!$Q51)/100*$G75+$E75),-1)</f>
        <v>0</v>
      </c>
      <c r="BG75" s="482">
        <f ca="1">ROUND(Grunddaten!CH51*((Grunddaten!$S51-Grunddaten!$Q51)/100*$G75+$E75),-1)</f>
        <v>0</v>
      </c>
      <c r="BH75" s="482">
        <f ca="1">ROUND(Grunddaten!CI51*((Grunddaten!$S51-Grunddaten!$Q51)/100*$G75+$E75),-1)</f>
        <v>0</v>
      </c>
      <c r="BI75" s="482">
        <f ca="1">ROUND(Grunddaten!CJ51*((Grunddaten!$S51-Grunddaten!$Q51)/100*$G75+$E75),-1)</f>
        <v>0</v>
      </c>
      <c r="BJ75" s="482">
        <f ca="1">ROUND(Grunddaten!CK51*((Grunddaten!$S51-Grunddaten!$Q51)/100*$G75+$E75),-1)</f>
        <v>0</v>
      </c>
      <c r="BK75" s="482">
        <f ca="1">ROUND(Grunddaten!CL51*((Grunddaten!$S51-Grunddaten!$Q51)/100*$G75+$E75),-1)</f>
        <v>0</v>
      </c>
      <c r="BL75" s="482">
        <f ca="1">ROUND(Grunddaten!CM51*((Grunddaten!$S51-Grunddaten!$Q51)/100*$G75+$E75),-1)</f>
        <v>0</v>
      </c>
      <c r="BM75" s="482">
        <f ca="1">ROUND(Grunddaten!CN51*((Grunddaten!$S51-Grunddaten!$Q51)/100*$G75+$E75),-1)</f>
        <v>0</v>
      </c>
      <c r="BN75" s="482">
        <f ca="1">ROUND(Grunddaten!CO51*((Grunddaten!$S51-Grunddaten!$Q51)/100*$G75+$E75),-1)</f>
        <v>0</v>
      </c>
      <c r="BO75" s="482">
        <f ca="1">ROUND(Grunddaten!CP51*((Grunddaten!$S51-Grunddaten!$Q51)/100*$G75+$E75),-1)</f>
        <v>0</v>
      </c>
      <c r="BP75" s="482">
        <f ca="1">ROUND(Grunddaten!CQ51*((Grunddaten!$S51-Grunddaten!$Q51)/100*$G75+$E75),-1)</f>
        <v>0</v>
      </c>
      <c r="BQ75" s="483">
        <f ca="1">ROUND(Grunddaten!CR51*((Grunddaten!$S51-Grunddaten!$Q51)/100*$G75+$E75),-1)</f>
        <v>0</v>
      </c>
    </row>
    <row r="76" spans="1:69" s="88" customFormat="1" ht="11.25" customHeight="1" x14ac:dyDescent="0.2">
      <c r="A76" s="513" t="str">
        <f>Grunddaten!A52</f>
        <v>Fernwärme</v>
      </c>
      <c r="B76" s="1377"/>
      <c r="C76" s="2468"/>
      <c r="D76" s="2469"/>
      <c r="E76" s="2459">
        <f xml:space="preserve"> VLOOKUP(Projektdaten!$G$22,Grunddaten!$C$52:$AI$54,33,FALSE) * IF(Grunddaten!$AM$55=Grunddaten!$AK$54,SQRT(EV_Var2!$AF$30/1000)*1000,EV_Var2!$AF$30)</f>
        <v>0</v>
      </c>
      <c r="F76" s="2460"/>
      <c r="G76" s="2456">
        <f ca="1">SUMIF(EV_Var2!$A$10:$B$73,$A76,EV_Var2!$E$10:$E$73)</f>
        <v>0</v>
      </c>
      <c r="H76" s="2457"/>
      <c r="I76" s="2458"/>
      <c r="J76" s="2461">
        <f ca="1">OFFSET(Grunddaten!$S$52,FW_Produkt,0)-(1-R109)*OFFSET(Grunddaten!$Q$52,FW_Produkt,0)</f>
        <v>8.0487999999999982</v>
      </c>
      <c r="K76" s="2462"/>
      <c r="L76" s="2645">
        <f t="shared" ca="1" si="4"/>
        <v>0</v>
      </c>
      <c r="M76" s="2646"/>
      <c r="N76" s="2647"/>
      <c r="P76" s="314"/>
      <c r="Q76" s="314"/>
      <c r="S76" s="1223">
        <f ca="1">ROUND(OFFSET(Grunddaten!AT52,FW_Produkt,0)*((OFFSET(Grunddaten!$S52,FW_Produkt,0)-OFFSET(Grunddaten!$Q52,FW_Produkt,0))/100*$G76+$E76),-1)</f>
        <v>0</v>
      </c>
      <c r="T76" s="1224">
        <f ca="1">ROUND(OFFSET(Grunddaten!AU52,FW_Produkt,0)*((OFFSET(Grunddaten!$S52,FW_Produkt,0)-OFFSET(Grunddaten!$Q52,FW_Produkt,0))/100*$G76+$E76),-1)</f>
        <v>0</v>
      </c>
      <c r="U76" s="1224">
        <f ca="1">ROUND(OFFSET(Grunddaten!AV52,FW_Produkt,0)*((OFFSET(Grunddaten!$S52,FW_Produkt,0)-OFFSET(Grunddaten!$Q52,FW_Produkt,0))/100*$G76+$E76),-1)</f>
        <v>0</v>
      </c>
      <c r="V76" s="1224">
        <f ca="1">ROUND(OFFSET(Grunddaten!AW52,FW_Produkt,0)*((OFFSET(Grunddaten!$S52,FW_Produkt,0)-OFFSET(Grunddaten!$Q52,FW_Produkt,0))/100*$G76+$E76),-1)</f>
        <v>0</v>
      </c>
      <c r="W76" s="1224">
        <f ca="1">ROUND(OFFSET(Grunddaten!AX52,FW_Produkt,0)*((OFFSET(Grunddaten!$S52,FW_Produkt,0)-OFFSET(Grunddaten!$Q52,FW_Produkt,0))/100*$G76+$E76),-1)</f>
        <v>0</v>
      </c>
      <c r="X76" s="1224">
        <f ca="1">ROUND(OFFSET(Grunddaten!AY52,FW_Produkt,0)*((OFFSET(Grunddaten!$S52,FW_Produkt,0)-OFFSET(Grunddaten!$Q52,FW_Produkt,0))/100*$G76+$E76),-1)</f>
        <v>0</v>
      </c>
      <c r="Y76" s="1224">
        <f ca="1">ROUND(OFFSET(Grunddaten!AZ52,FW_Produkt,0)*((OFFSET(Grunddaten!$S52,FW_Produkt,0)-OFFSET(Grunddaten!$Q52,FW_Produkt,0))/100*$G76+$E76),-1)</f>
        <v>0</v>
      </c>
      <c r="Z76" s="1224">
        <f ca="1">ROUND(OFFSET(Grunddaten!BA52,FW_Produkt,0)*((OFFSET(Grunddaten!$S52,FW_Produkt,0)-OFFSET(Grunddaten!$Q52,FW_Produkt,0))/100*$G76+$E76),-1)</f>
        <v>0</v>
      </c>
      <c r="AA76" s="1224">
        <f ca="1">ROUND(OFFSET(Grunddaten!BB52,FW_Produkt,0)*((OFFSET(Grunddaten!$S52,FW_Produkt,0)-OFFSET(Grunddaten!$Q52,FW_Produkt,0))/100*$G76+$E76),-1)</f>
        <v>0</v>
      </c>
      <c r="AB76" s="1224">
        <f ca="1">ROUND(OFFSET(Grunddaten!BC52,FW_Produkt,0)*((OFFSET(Grunddaten!$S52,FW_Produkt,0)-OFFSET(Grunddaten!$Q52,FW_Produkt,0))/100*$G76+$E76),-1)</f>
        <v>0</v>
      </c>
      <c r="AC76" s="1224">
        <f ca="1">ROUND(OFFSET(Grunddaten!BD52,FW_Produkt,0)*((OFFSET(Grunddaten!$S52,FW_Produkt,0)-OFFSET(Grunddaten!$Q52,FW_Produkt,0))/100*$G76+$E76),-1)</f>
        <v>0</v>
      </c>
      <c r="AD76" s="1224">
        <f ca="1">ROUND(OFFSET(Grunddaten!BE52,FW_Produkt,0)*((OFFSET(Grunddaten!$S52,FW_Produkt,0)-OFFSET(Grunddaten!$Q52,FW_Produkt,0))/100*$G76+$E76),-1)</f>
        <v>0</v>
      </c>
      <c r="AE76" s="1224">
        <f ca="1">ROUND(OFFSET(Grunddaten!BF52,FW_Produkt,0)*((OFFSET(Grunddaten!$S52,FW_Produkt,0)-OFFSET(Grunddaten!$Q52,FW_Produkt,0))/100*$G76+$E76),-1)</f>
        <v>0</v>
      </c>
      <c r="AF76" s="1224">
        <f ca="1">ROUND(OFFSET(Grunddaten!BG52,FW_Produkt,0)*((OFFSET(Grunddaten!$S52,FW_Produkt,0)-OFFSET(Grunddaten!$Q52,FW_Produkt,0))/100*$G76+$E76),-1)</f>
        <v>0</v>
      </c>
      <c r="AG76" s="1224">
        <f ca="1">ROUND(OFFSET(Grunddaten!BH52,FW_Produkt,0)*((OFFSET(Grunddaten!$S52,FW_Produkt,0)-OFFSET(Grunddaten!$Q52,FW_Produkt,0))/100*$G76+$E76),-1)</f>
        <v>0</v>
      </c>
      <c r="AH76" s="1224">
        <f ca="1">ROUND(OFFSET(Grunddaten!BI52,FW_Produkt,0)*((OFFSET(Grunddaten!$S52,FW_Produkt,0)-OFFSET(Grunddaten!$Q52,FW_Produkt,0))/100*$G76+$E76),-1)</f>
        <v>0</v>
      </c>
      <c r="AI76" s="1224">
        <f ca="1">ROUND(OFFSET(Grunddaten!BJ52,FW_Produkt,0)*((OFFSET(Grunddaten!$S52,FW_Produkt,0)-OFFSET(Grunddaten!$Q52,FW_Produkt,0))/100*$G76+$E76),-1)</f>
        <v>0</v>
      </c>
      <c r="AJ76" s="1224">
        <f ca="1">ROUND(OFFSET(Grunddaten!BK52,FW_Produkt,0)*((OFFSET(Grunddaten!$S52,FW_Produkt,0)-OFFSET(Grunddaten!$Q52,FW_Produkt,0))/100*$G76+$E76),-1)</f>
        <v>0</v>
      </c>
      <c r="AK76" s="1224">
        <f ca="1">ROUND(OFFSET(Grunddaten!BL52,FW_Produkt,0)*((OFFSET(Grunddaten!$S52,FW_Produkt,0)-OFFSET(Grunddaten!$Q52,FW_Produkt,0))/100*$G76+$E76),-1)</f>
        <v>0</v>
      </c>
      <c r="AL76" s="1224">
        <f ca="1">ROUND(OFFSET(Grunddaten!BM52,FW_Produkt,0)*((OFFSET(Grunddaten!$S52,FW_Produkt,0)-OFFSET(Grunddaten!$Q52,FW_Produkt,0))/100*$G76+$E76),-1)</f>
        <v>0</v>
      </c>
      <c r="AM76" s="1224">
        <f ca="1">ROUND(OFFSET(Grunddaten!BN52,FW_Produkt,0)*((OFFSET(Grunddaten!$S52,FW_Produkt,0)-OFFSET(Grunddaten!$Q52,FW_Produkt,0))/100*$G76+$E76),-1)</f>
        <v>0</v>
      </c>
      <c r="AN76" s="1224">
        <f ca="1">ROUND(OFFSET(Grunddaten!BO52,FW_Produkt,0)*((OFFSET(Grunddaten!$S52,FW_Produkt,0)-OFFSET(Grunddaten!$Q52,FW_Produkt,0))/100*$G76+$E76),-1)</f>
        <v>0</v>
      </c>
      <c r="AO76" s="1224">
        <f ca="1">ROUND(OFFSET(Grunddaten!BP52,FW_Produkt,0)*((OFFSET(Grunddaten!$S52,FW_Produkt,0)-OFFSET(Grunddaten!$Q52,FW_Produkt,0))/100*$G76+$E76),-1)</f>
        <v>0</v>
      </c>
      <c r="AP76" s="1224">
        <f ca="1">ROUND(OFFSET(Grunddaten!BQ52,FW_Produkt,0)*((OFFSET(Grunddaten!$S52,FW_Produkt,0)-OFFSET(Grunddaten!$Q52,FW_Produkt,0))/100*$G76+$E76),-1)</f>
        <v>0</v>
      </c>
      <c r="AQ76" s="1224">
        <f ca="1">ROUND(OFFSET(Grunddaten!BR52,FW_Produkt,0)*((OFFSET(Grunddaten!$S52,FW_Produkt,0)-OFFSET(Grunddaten!$Q52,FW_Produkt,0))/100*$G76+$E76),-1)</f>
        <v>0</v>
      </c>
      <c r="AR76" s="1224">
        <f ca="1">ROUND(OFFSET(Grunddaten!BS52,FW_Produkt,0)*((OFFSET(Grunddaten!$S52,FW_Produkt,0)-OFFSET(Grunddaten!$Q52,FW_Produkt,0))/100*$G76+$E76),-1)</f>
        <v>0</v>
      </c>
      <c r="AS76" s="1224">
        <f ca="1">ROUND(OFFSET(Grunddaten!BT52,FW_Produkt,0)*((OFFSET(Grunddaten!$S52,FW_Produkt,0)-OFFSET(Grunddaten!$Q52,FW_Produkt,0))/100*$G76+$E76),-1)</f>
        <v>0</v>
      </c>
      <c r="AT76" s="1224">
        <f ca="1">ROUND(OFFSET(Grunddaten!BU52,FW_Produkt,0)*((OFFSET(Grunddaten!$S52,FW_Produkt,0)-OFFSET(Grunddaten!$Q52,FW_Produkt,0))/100*$G76+$E76),-1)</f>
        <v>0</v>
      </c>
      <c r="AU76" s="1224">
        <f ca="1">ROUND(OFFSET(Grunddaten!BV52,FW_Produkt,0)*((OFFSET(Grunddaten!$S52,FW_Produkt,0)-OFFSET(Grunddaten!$Q52,FW_Produkt,0))/100*$G76+$E76),-1)</f>
        <v>0</v>
      </c>
      <c r="AV76" s="1224">
        <f ca="1">ROUND(OFFSET(Grunddaten!BW52,FW_Produkt,0)*((OFFSET(Grunddaten!$S52,FW_Produkt,0)-OFFSET(Grunddaten!$Q52,FW_Produkt,0))/100*$G76+$E76),-1)</f>
        <v>0</v>
      </c>
      <c r="AW76" s="1224">
        <f ca="1">ROUND(OFFSET(Grunddaten!BX52,FW_Produkt,0)*((OFFSET(Grunddaten!$S52,FW_Produkt,0)-OFFSET(Grunddaten!$Q52,FW_Produkt,0))/100*$G76+$E76),-1)</f>
        <v>0</v>
      </c>
      <c r="AX76" s="1224">
        <f ca="1">ROUND(OFFSET(Grunddaten!BY52,FW_Produkt,0)*((OFFSET(Grunddaten!$S52,FW_Produkt,0)-OFFSET(Grunddaten!$Q52,FW_Produkt,0))/100*$G76+$E76),-1)</f>
        <v>0</v>
      </c>
      <c r="AY76" s="1224">
        <f ca="1">ROUND(OFFSET(Grunddaten!BZ52,FW_Produkt,0)*((OFFSET(Grunddaten!$S52,FW_Produkt,0)-OFFSET(Grunddaten!$Q52,FW_Produkt,0))/100*$G76+$E76),-1)</f>
        <v>0</v>
      </c>
      <c r="AZ76" s="1224">
        <f ca="1">ROUND(OFFSET(Grunddaten!CA52,FW_Produkt,0)*((OFFSET(Grunddaten!$S52,FW_Produkt,0)-OFFSET(Grunddaten!$Q52,FW_Produkt,0))/100*$G76+$E76),-1)</f>
        <v>0</v>
      </c>
      <c r="BA76" s="1224">
        <f ca="1">ROUND(OFFSET(Grunddaten!CB52,FW_Produkt,0)*((OFFSET(Grunddaten!$S52,FW_Produkt,0)-OFFSET(Grunddaten!$Q52,FW_Produkt,0))/100*$G76+$E76),-1)</f>
        <v>0</v>
      </c>
      <c r="BB76" s="1224">
        <f ca="1">ROUND(OFFSET(Grunddaten!CC52,FW_Produkt,0)*((OFFSET(Grunddaten!$S52,FW_Produkt,0)-OFFSET(Grunddaten!$Q52,FW_Produkt,0))/100*$G76+$E76),-1)</f>
        <v>0</v>
      </c>
      <c r="BC76" s="1224">
        <f ca="1">ROUND(OFFSET(Grunddaten!CD52,FW_Produkt,0)*((OFFSET(Grunddaten!$S52,FW_Produkt,0)-OFFSET(Grunddaten!$Q52,FW_Produkt,0))/100*$G76+$E76),-1)</f>
        <v>0</v>
      </c>
      <c r="BD76" s="1224">
        <f ca="1">ROUND(OFFSET(Grunddaten!CE52,FW_Produkt,0)*((OFFSET(Grunddaten!$S52,FW_Produkt,0)-OFFSET(Grunddaten!$Q52,FW_Produkt,0))/100*$G76+$E76),-1)</f>
        <v>0</v>
      </c>
      <c r="BE76" s="1224">
        <f ca="1">ROUND(OFFSET(Grunddaten!CF52,FW_Produkt,0)*((OFFSET(Grunddaten!$S52,FW_Produkt,0)-OFFSET(Grunddaten!$Q52,FW_Produkt,0))/100*$G76+$E76),-1)</f>
        <v>0</v>
      </c>
      <c r="BF76" s="1224">
        <f ca="1">ROUND(OFFSET(Grunddaten!CG52,FW_Produkt,0)*((OFFSET(Grunddaten!$S52,FW_Produkt,0)-OFFSET(Grunddaten!$Q52,FW_Produkt,0))/100*$G76+$E76),-1)</f>
        <v>0</v>
      </c>
      <c r="BG76" s="1224">
        <f ca="1">ROUND(OFFSET(Grunddaten!CH52,FW_Produkt,0)*((OFFSET(Grunddaten!$S52,FW_Produkt,0)-OFFSET(Grunddaten!$Q52,FW_Produkt,0))/100*$G76+$E76),-1)</f>
        <v>0</v>
      </c>
      <c r="BH76" s="1224">
        <f ca="1">ROUND(OFFSET(Grunddaten!CI52,FW_Produkt,0)*((OFFSET(Grunddaten!$S52,FW_Produkt,0)-OFFSET(Grunddaten!$Q52,FW_Produkt,0))/100*$G76+$E76),-1)</f>
        <v>0</v>
      </c>
      <c r="BI76" s="1224">
        <f ca="1">ROUND(OFFSET(Grunddaten!CJ52,FW_Produkt,0)*((OFFSET(Grunddaten!$S52,FW_Produkt,0)-OFFSET(Grunddaten!$Q52,FW_Produkt,0))/100*$G76+$E76),-1)</f>
        <v>0</v>
      </c>
      <c r="BJ76" s="1224">
        <f ca="1">ROUND(OFFSET(Grunddaten!CK52,FW_Produkt,0)*((OFFSET(Grunddaten!$S52,FW_Produkt,0)-OFFSET(Grunddaten!$Q52,FW_Produkt,0))/100*$G76+$E76),-1)</f>
        <v>0</v>
      </c>
      <c r="BK76" s="1224">
        <f ca="1">ROUND(OFFSET(Grunddaten!CL52,FW_Produkt,0)*((OFFSET(Grunddaten!$S52,FW_Produkt,0)-OFFSET(Grunddaten!$Q52,FW_Produkt,0))/100*$G76+$E76),-1)</f>
        <v>0</v>
      </c>
      <c r="BL76" s="1224">
        <f ca="1">ROUND(OFFSET(Grunddaten!CM52,FW_Produkt,0)*((OFFSET(Grunddaten!$S52,FW_Produkt,0)-OFFSET(Grunddaten!$Q52,FW_Produkt,0))/100*$G76+$E76),-1)</f>
        <v>0</v>
      </c>
      <c r="BM76" s="1224">
        <f ca="1">ROUND(OFFSET(Grunddaten!CN52,FW_Produkt,0)*((OFFSET(Grunddaten!$S52,FW_Produkt,0)-OFFSET(Grunddaten!$Q52,FW_Produkt,0))/100*$G76+$E76),-1)</f>
        <v>0</v>
      </c>
      <c r="BN76" s="1224">
        <f ca="1">ROUND(OFFSET(Grunddaten!CO52,FW_Produkt,0)*((OFFSET(Grunddaten!$S52,FW_Produkt,0)-OFFSET(Grunddaten!$Q52,FW_Produkt,0))/100*$G76+$E76),-1)</f>
        <v>0</v>
      </c>
      <c r="BO76" s="1224">
        <f ca="1">ROUND(OFFSET(Grunddaten!CP52,FW_Produkt,0)*((OFFSET(Grunddaten!$S52,FW_Produkt,0)-OFFSET(Grunddaten!$Q52,FW_Produkt,0))/100*$G76+$E76),-1)</f>
        <v>0</v>
      </c>
      <c r="BP76" s="1224">
        <f ca="1">ROUND(OFFSET(Grunddaten!CQ52,FW_Produkt,0)*((OFFSET(Grunddaten!$S52,FW_Produkt,0)-OFFSET(Grunddaten!$Q52,FW_Produkt,0))/100*$G76+$E76),-1)</f>
        <v>0</v>
      </c>
      <c r="BQ76" s="1225">
        <f ca="1">ROUND(OFFSET(Grunddaten!CR52,FW_Produkt,0)*((OFFSET(Grunddaten!$S52,FW_Produkt,0)-OFFSET(Grunddaten!$Q52,FW_Produkt,0))/100*$G76+$E76),-1)</f>
        <v>0</v>
      </c>
    </row>
    <row r="77" spans="1:69" s="88" customFormat="1" ht="11.25" customHeight="1" x14ac:dyDescent="0.2">
      <c r="A77" s="549" t="str">
        <f>Grunddaten!C55</f>
        <v>Wärmeverbund XY</v>
      </c>
      <c r="B77" s="1389"/>
      <c r="C77" s="2468"/>
      <c r="D77" s="2469"/>
      <c r="E77" s="2459">
        <f xml:space="preserve"> ( EV_Var2!I12 + IF(EV_Var2!$A$26=$A77,EV_Var2!$AF$23,0) + IF(EV_Var2!$A$31=$A77,EV_Var2!$AF$24,0) + IF(EV_Var2!$A$35=$A77,EV_Var2!$AF$25) ) * Grunddaten!$AI$55</f>
        <v>0</v>
      </c>
      <c r="F77" s="2460"/>
      <c r="G77" s="2456">
        <f ca="1">SUMIF(EV_Var2!$A$10:$B$73,$A77,EV_Var2!$E$10:$E$73)</f>
        <v>0</v>
      </c>
      <c r="H77" s="2457"/>
      <c r="I77" s="2458"/>
      <c r="J77" s="2479">
        <f>Grunddaten!S55-(1-$R$109)*Grunddaten!Q55</f>
        <v>0</v>
      </c>
      <c r="K77" s="2480"/>
      <c r="L77" s="2525">
        <f t="shared" ref="L77" ca="1" si="6">ROUND(E77+G77*J77/100,-1)</f>
        <v>0</v>
      </c>
      <c r="M77" s="2526"/>
      <c r="N77" s="2527"/>
      <c r="P77" s="314"/>
      <c r="Q77" s="314"/>
      <c r="S77" s="1219">
        <f ca="1">ROUND(Grunddaten!AT55*((Grunddaten!$S55-Grunddaten!$Q55)/100*$G77+$E77),-1)</f>
        <v>0</v>
      </c>
      <c r="T77" s="1220">
        <f ca="1">ROUND(Grunddaten!AU55*((Grunddaten!$S55-Grunddaten!$Q55)/100*$G77+$E77),-1)</f>
        <v>0</v>
      </c>
      <c r="U77" s="1220">
        <f ca="1">ROUND(Grunddaten!AV55*((Grunddaten!$S55-Grunddaten!$Q55)/100*$G77+$E77),-1)</f>
        <v>0</v>
      </c>
      <c r="V77" s="1220">
        <f ca="1">ROUND(Grunddaten!AW55*((Grunddaten!$S55-Grunddaten!$Q55)/100*$G77+$E77),-1)</f>
        <v>0</v>
      </c>
      <c r="W77" s="1220">
        <f ca="1">ROUND(Grunddaten!AX55*((Grunddaten!$S55-Grunddaten!$Q55)/100*$G77+$E77),-1)</f>
        <v>0</v>
      </c>
      <c r="X77" s="1220">
        <f ca="1">ROUND(Grunddaten!AY55*((Grunddaten!$S55-Grunddaten!$Q55)/100*$G77+$E77),-1)</f>
        <v>0</v>
      </c>
      <c r="Y77" s="1220">
        <f ca="1">ROUND(Grunddaten!AZ55*((Grunddaten!$S55-Grunddaten!$Q55)/100*$G77+$E77),-1)</f>
        <v>0</v>
      </c>
      <c r="Z77" s="1220">
        <f ca="1">ROUND(Grunddaten!BA55*((Grunddaten!$S55-Grunddaten!$Q55)/100*$G77+$E77),-1)</f>
        <v>0</v>
      </c>
      <c r="AA77" s="1220">
        <f ca="1">ROUND(Grunddaten!BB55*((Grunddaten!$S55-Grunddaten!$Q55)/100*$G77+$E77),-1)</f>
        <v>0</v>
      </c>
      <c r="AB77" s="474">
        <f ca="1">ROUND(Grunddaten!BC55*((Grunddaten!$S55-Grunddaten!$Q55)/100*$G77+$E77),-1)</f>
        <v>0</v>
      </c>
      <c r="AC77" s="474">
        <f ca="1">ROUND(Grunddaten!BD55*((Grunddaten!$S55-Grunddaten!$Q55)/100*$G77+$E77),-1)</f>
        <v>0</v>
      </c>
      <c r="AD77" s="474">
        <f ca="1">ROUND(Grunddaten!BE55*((Grunddaten!$S55-Grunddaten!$Q55)/100*$G77+$E77),-1)</f>
        <v>0</v>
      </c>
      <c r="AE77" s="474">
        <f ca="1">ROUND(Grunddaten!BF55*((Grunddaten!$S55-Grunddaten!$Q55)/100*$G77+$E77),-1)</f>
        <v>0</v>
      </c>
      <c r="AF77" s="474">
        <f ca="1">ROUND(Grunddaten!BG55*((Grunddaten!$S55-Grunddaten!$Q55)/100*$G77+$E77),-1)</f>
        <v>0</v>
      </c>
      <c r="AG77" s="474">
        <f ca="1">ROUND(Grunddaten!BH55*((Grunddaten!$S55-Grunddaten!$Q55)/100*$G77+$E77),-1)</f>
        <v>0</v>
      </c>
      <c r="AH77" s="474">
        <f ca="1">ROUND(Grunddaten!BI55*((Grunddaten!$S55-Grunddaten!$Q55)/100*$G77+$E77),-1)</f>
        <v>0</v>
      </c>
      <c r="AI77" s="474">
        <f ca="1">ROUND(Grunddaten!BJ55*((Grunddaten!$S55-Grunddaten!$Q55)/100*$G77+$E77),-1)</f>
        <v>0</v>
      </c>
      <c r="AJ77" s="474">
        <f ca="1">ROUND(Grunddaten!BK55*((Grunddaten!$S55-Grunddaten!$Q55)/100*$G77+$E77),-1)</f>
        <v>0</v>
      </c>
      <c r="AK77" s="474">
        <f ca="1">ROUND(Grunddaten!BL55*((Grunddaten!$S55-Grunddaten!$Q55)/100*$G77+$E77),-1)</f>
        <v>0</v>
      </c>
      <c r="AL77" s="474">
        <f ca="1">ROUND(Grunddaten!BM55*((Grunddaten!$S55-Grunddaten!$Q55)/100*$G77+$E77),-1)</f>
        <v>0</v>
      </c>
      <c r="AM77" s="474">
        <f ca="1">ROUND(Grunddaten!BN55*((Grunddaten!$S55-Grunddaten!$Q55)/100*$G77+$E77),-1)</f>
        <v>0</v>
      </c>
      <c r="AN77" s="474">
        <f ca="1">ROUND(Grunddaten!BO55*((Grunddaten!$S55-Grunddaten!$Q55)/100*$G77+$E77),-1)</f>
        <v>0</v>
      </c>
      <c r="AO77" s="474">
        <f ca="1">ROUND(Grunddaten!BP55*((Grunddaten!$S55-Grunddaten!$Q55)/100*$G77+$E77),-1)</f>
        <v>0</v>
      </c>
      <c r="AP77" s="474">
        <f ca="1">ROUND(Grunddaten!BQ55*((Grunddaten!$S55-Grunddaten!$Q55)/100*$G77+$E77),-1)</f>
        <v>0</v>
      </c>
      <c r="AQ77" s="474">
        <f ca="1">ROUND(Grunddaten!BR55*((Grunddaten!$S55-Grunddaten!$Q55)/100*$G77+$E77),-1)</f>
        <v>0</v>
      </c>
      <c r="AR77" s="474">
        <f ca="1">ROUND(Grunddaten!BS55*((Grunddaten!$S55-Grunddaten!$Q55)/100*$G77+$E77),-1)</f>
        <v>0</v>
      </c>
      <c r="AS77" s="474">
        <f ca="1">ROUND(Grunddaten!BT55*((Grunddaten!$S55-Grunddaten!$Q55)/100*$G77+$E77),-1)</f>
        <v>0</v>
      </c>
      <c r="AT77" s="474">
        <f ca="1">ROUND(Grunddaten!BU55*((Grunddaten!$S55-Grunddaten!$Q55)/100*$G77+$E77),-1)</f>
        <v>0</v>
      </c>
      <c r="AU77" s="474">
        <f ca="1">ROUND(Grunddaten!BV55*((Grunddaten!$S55-Grunddaten!$Q55)/100*$G77+$E77),-1)</f>
        <v>0</v>
      </c>
      <c r="AV77" s="474">
        <f ca="1">ROUND(Grunddaten!BW55*((Grunddaten!$S55-Grunddaten!$Q55)/100*$G77+$E77),-1)</f>
        <v>0</v>
      </c>
      <c r="AW77" s="474">
        <f ca="1">ROUND(Grunddaten!BX55*((Grunddaten!$S55-Grunddaten!$Q55)/100*$G77+$E77),-1)</f>
        <v>0</v>
      </c>
      <c r="AX77" s="474">
        <f ca="1">ROUND(Grunddaten!BY55*((Grunddaten!$S55-Grunddaten!$Q55)/100*$G77+$E77),-1)</f>
        <v>0</v>
      </c>
      <c r="AY77" s="474">
        <f ca="1">ROUND(Grunddaten!BZ55*((Grunddaten!$S55-Grunddaten!$Q55)/100*$G77+$E77),-1)</f>
        <v>0</v>
      </c>
      <c r="AZ77" s="474">
        <f ca="1">ROUND(Grunddaten!CA55*((Grunddaten!$S55-Grunddaten!$Q55)/100*$G77+$E77),-1)</f>
        <v>0</v>
      </c>
      <c r="BA77" s="474">
        <f ca="1">ROUND(Grunddaten!CB55*((Grunddaten!$S55-Grunddaten!$Q55)/100*$G77+$E77),-1)</f>
        <v>0</v>
      </c>
      <c r="BB77" s="474">
        <f ca="1">ROUND(Grunddaten!CC55*((Grunddaten!$S55-Grunddaten!$Q55)/100*$G77+$E77),-1)</f>
        <v>0</v>
      </c>
      <c r="BC77" s="474">
        <f ca="1">ROUND(Grunddaten!CD55*((Grunddaten!$S55-Grunddaten!$Q55)/100*$G77+$E77),-1)</f>
        <v>0</v>
      </c>
      <c r="BD77" s="474">
        <f ca="1">ROUND(Grunddaten!CE55*((Grunddaten!$S55-Grunddaten!$Q55)/100*$G77+$E77),-1)</f>
        <v>0</v>
      </c>
      <c r="BE77" s="474">
        <f ca="1">ROUND(Grunddaten!CF55*((Grunddaten!$S55-Grunddaten!$Q55)/100*$G77+$E77),-1)</f>
        <v>0</v>
      </c>
      <c r="BF77" s="474">
        <f ca="1">ROUND(Grunddaten!CG55*((Grunddaten!$S55-Grunddaten!$Q55)/100*$G77+$E77),-1)</f>
        <v>0</v>
      </c>
      <c r="BG77" s="474">
        <f ca="1">ROUND(Grunddaten!CH55*((Grunddaten!$S55-Grunddaten!$Q55)/100*$G77+$E77),-1)</f>
        <v>0</v>
      </c>
      <c r="BH77" s="474">
        <f ca="1">ROUND(Grunddaten!CI55*((Grunddaten!$S55-Grunddaten!$Q55)/100*$G77+$E77),-1)</f>
        <v>0</v>
      </c>
      <c r="BI77" s="474">
        <f ca="1">ROUND(Grunddaten!CJ55*((Grunddaten!$S55-Grunddaten!$Q55)/100*$G77+$E77),-1)</f>
        <v>0</v>
      </c>
      <c r="BJ77" s="474">
        <f ca="1">ROUND(Grunddaten!CK55*((Grunddaten!$S55-Grunddaten!$Q55)/100*$G77+$E77),-1)</f>
        <v>0</v>
      </c>
      <c r="BK77" s="474">
        <f ca="1">ROUND(Grunddaten!CL55*((Grunddaten!$S55-Grunddaten!$Q55)/100*$G77+$E77),-1)</f>
        <v>0</v>
      </c>
      <c r="BL77" s="474">
        <f ca="1">ROUND(Grunddaten!CM55*((Grunddaten!$S55-Grunddaten!$Q55)/100*$G77+$E77),-1)</f>
        <v>0</v>
      </c>
      <c r="BM77" s="474">
        <f ca="1">ROUND(Grunddaten!CN55*((Grunddaten!$S55-Grunddaten!$Q55)/100*$G77+$E77),-1)</f>
        <v>0</v>
      </c>
      <c r="BN77" s="474">
        <f ca="1">ROUND(Grunddaten!CO55*((Grunddaten!$S55-Grunddaten!$Q55)/100*$G77+$E77),-1)</f>
        <v>0</v>
      </c>
      <c r="BO77" s="474">
        <f ca="1">ROUND(Grunddaten!CP55*((Grunddaten!$S55-Grunddaten!$Q55)/100*$G77+$E77),-1)</f>
        <v>0</v>
      </c>
      <c r="BP77" s="474">
        <f ca="1">ROUND(Grunddaten!CQ55*((Grunddaten!$S55-Grunddaten!$Q55)/100*$G77+$E77),-1)</f>
        <v>0</v>
      </c>
      <c r="BQ77" s="475">
        <f ca="1">ROUND(Grunddaten!CR55*((Grunddaten!$S55-Grunddaten!$Q55)/100*$G77+$E77),-1)</f>
        <v>0</v>
      </c>
    </row>
    <row r="78" spans="1:69" s="88" customFormat="1" ht="11.25" customHeight="1" thickBot="1" x14ac:dyDescent="0.25">
      <c r="A78" s="549" t="str">
        <f>Grunddaten!C56</f>
        <v>Kälteverbund XY</v>
      </c>
      <c r="B78" s="1389"/>
      <c r="C78" s="2468"/>
      <c r="D78" s="2469"/>
      <c r="E78" s="2459">
        <f xml:space="preserve"> EV_Var2!I55 * Grunddaten!$AI$56</f>
        <v>0</v>
      </c>
      <c r="F78" s="2460"/>
      <c r="G78" s="2456">
        <f ca="1">SUMIF(EV_Var2!$A$10:$B$73,$A78,EV_Var2!$E$10:$E$73)</f>
        <v>0</v>
      </c>
      <c r="H78" s="2457"/>
      <c r="I78" s="2458"/>
      <c r="J78" s="2479">
        <f>Grunddaten!S56-(1-$R$109)*Grunddaten!Q56</f>
        <v>0</v>
      </c>
      <c r="K78" s="2480"/>
      <c r="L78" s="2525">
        <f t="shared" ref="L78" ca="1" si="7">ROUND(E78+G78*J78/100,-1)</f>
        <v>0</v>
      </c>
      <c r="M78" s="2526"/>
      <c r="N78" s="2527"/>
      <c r="P78" s="314"/>
      <c r="Q78" s="314"/>
      <c r="S78" s="1226">
        <f ca="1">ROUND(Grunddaten!AT56*((Grunddaten!$S56-Grunddaten!$Q56)/100*$G78+$E78),-1)</f>
        <v>0</v>
      </c>
      <c r="T78" s="1227">
        <f ca="1">ROUND(Grunddaten!AU56*((Grunddaten!$S56-Grunddaten!$Q56)/100*$G78+$E78),-1)</f>
        <v>0</v>
      </c>
      <c r="U78" s="1227">
        <f ca="1">ROUND(Grunddaten!AV56*((Grunddaten!$S56-Grunddaten!$Q56)/100*$G78+$E78),-1)</f>
        <v>0</v>
      </c>
      <c r="V78" s="1227">
        <f ca="1">ROUND(Grunddaten!AW56*((Grunddaten!$S56-Grunddaten!$Q56)/100*$G78+$E78),-1)</f>
        <v>0</v>
      </c>
      <c r="W78" s="1227">
        <f ca="1">ROUND(Grunddaten!AX56*((Grunddaten!$S56-Grunddaten!$Q56)/100*$G78+$E78),-1)</f>
        <v>0</v>
      </c>
      <c r="X78" s="1227">
        <f ca="1">ROUND(Grunddaten!AY56*((Grunddaten!$S56-Grunddaten!$Q56)/100*$G78+$E78),-1)</f>
        <v>0</v>
      </c>
      <c r="Y78" s="1227">
        <f ca="1">ROUND(Grunddaten!AZ56*((Grunddaten!$S56-Grunddaten!$Q56)/100*$G78+$E78),-1)</f>
        <v>0</v>
      </c>
      <c r="Z78" s="1227">
        <f ca="1">ROUND(Grunddaten!BA56*((Grunddaten!$S56-Grunddaten!$Q56)/100*$G78+$E78),-1)</f>
        <v>0</v>
      </c>
      <c r="AA78" s="1227">
        <f ca="1">ROUND(Grunddaten!BB56*((Grunddaten!$S56-Grunddaten!$Q56)/100*$G78+$E78),-1)</f>
        <v>0</v>
      </c>
      <c r="AB78" s="1262">
        <f ca="1">ROUND(Grunddaten!BC56*((Grunddaten!$S56-Grunddaten!$Q56)/100*$G78+$E78),-1)</f>
        <v>0</v>
      </c>
      <c r="AC78" s="1262">
        <f ca="1">ROUND(Grunddaten!BD56*((Grunddaten!$S56-Grunddaten!$Q56)/100*$G78+$E78),-1)</f>
        <v>0</v>
      </c>
      <c r="AD78" s="1262">
        <f ca="1">ROUND(Grunddaten!BE56*((Grunddaten!$S56-Grunddaten!$Q56)/100*$G78+$E78),-1)</f>
        <v>0</v>
      </c>
      <c r="AE78" s="1262">
        <f ca="1">ROUND(Grunddaten!BF56*((Grunddaten!$S56-Grunddaten!$Q56)/100*$G78+$E78),-1)</f>
        <v>0</v>
      </c>
      <c r="AF78" s="1262">
        <f ca="1">ROUND(Grunddaten!BG56*((Grunddaten!$S56-Grunddaten!$Q56)/100*$G78+$E78),-1)</f>
        <v>0</v>
      </c>
      <c r="AG78" s="1262">
        <f ca="1">ROUND(Grunddaten!BH56*((Grunddaten!$S56-Grunddaten!$Q56)/100*$G78+$E78),-1)</f>
        <v>0</v>
      </c>
      <c r="AH78" s="1262">
        <f ca="1">ROUND(Grunddaten!BI56*((Grunddaten!$S56-Grunddaten!$Q56)/100*$G78+$E78),-1)</f>
        <v>0</v>
      </c>
      <c r="AI78" s="1262">
        <f ca="1">ROUND(Grunddaten!BJ56*((Grunddaten!$S56-Grunddaten!$Q56)/100*$G78+$E78),-1)</f>
        <v>0</v>
      </c>
      <c r="AJ78" s="1262">
        <f ca="1">ROUND(Grunddaten!BK56*((Grunddaten!$S56-Grunddaten!$Q56)/100*$G78+$E78),-1)</f>
        <v>0</v>
      </c>
      <c r="AK78" s="1262">
        <f ca="1">ROUND(Grunddaten!BL56*((Grunddaten!$S56-Grunddaten!$Q56)/100*$G78+$E78),-1)</f>
        <v>0</v>
      </c>
      <c r="AL78" s="1262">
        <f ca="1">ROUND(Grunddaten!BM56*((Grunddaten!$S56-Grunddaten!$Q56)/100*$G78+$E78),-1)</f>
        <v>0</v>
      </c>
      <c r="AM78" s="1262">
        <f ca="1">ROUND(Grunddaten!BN56*((Grunddaten!$S56-Grunddaten!$Q56)/100*$G78+$E78),-1)</f>
        <v>0</v>
      </c>
      <c r="AN78" s="1262">
        <f ca="1">ROUND(Grunddaten!BO56*((Grunddaten!$S56-Grunddaten!$Q56)/100*$G78+$E78),-1)</f>
        <v>0</v>
      </c>
      <c r="AO78" s="1262">
        <f ca="1">ROUND(Grunddaten!BP56*((Grunddaten!$S56-Grunddaten!$Q56)/100*$G78+$E78),-1)</f>
        <v>0</v>
      </c>
      <c r="AP78" s="1262">
        <f ca="1">ROUND(Grunddaten!BQ56*((Grunddaten!$S56-Grunddaten!$Q56)/100*$G78+$E78),-1)</f>
        <v>0</v>
      </c>
      <c r="AQ78" s="1262">
        <f ca="1">ROUND(Grunddaten!BR56*((Grunddaten!$S56-Grunddaten!$Q56)/100*$G78+$E78),-1)</f>
        <v>0</v>
      </c>
      <c r="AR78" s="1262">
        <f ca="1">ROUND(Grunddaten!BS56*((Grunddaten!$S56-Grunddaten!$Q56)/100*$G78+$E78),-1)</f>
        <v>0</v>
      </c>
      <c r="AS78" s="1262">
        <f ca="1">ROUND(Grunddaten!BT56*((Grunddaten!$S56-Grunddaten!$Q56)/100*$G78+$E78),-1)</f>
        <v>0</v>
      </c>
      <c r="AT78" s="1262">
        <f ca="1">ROUND(Grunddaten!BU56*((Grunddaten!$S56-Grunddaten!$Q56)/100*$G78+$E78),-1)</f>
        <v>0</v>
      </c>
      <c r="AU78" s="1262">
        <f ca="1">ROUND(Grunddaten!BV56*((Grunddaten!$S56-Grunddaten!$Q56)/100*$G78+$E78),-1)</f>
        <v>0</v>
      </c>
      <c r="AV78" s="1262">
        <f ca="1">ROUND(Grunddaten!BW56*((Grunddaten!$S56-Grunddaten!$Q56)/100*$G78+$E78),-1)</f>
        <v>0</v>
      </c>
      <c r="AW78" s="1262">
        <f ca="1">ROUND(Grunddaten!BX56*((Grunddaten!$S56-Grunddaten!$Q56)/100*$G78+$E78),-1)</f>
        <v>0</v>
      </c>
      <c r="AX78" s="1262">
        <f ca="1">ROUND(Grunddaten!BY56*((Grunddaten!$S56-Grunddaten!$Q56)/100*$G78+$E78),-1)</f>
        <v>0</v>
      </c>
      <c r="AY78" s="1262">
        <f ca="1">ROUND(Grunddaten!BZ56*((Grunddaten!$S56-Grunddaten!$Q56)/100*$G78+$E78),-1)</f>
        <v>0</v>
      </c>
      <c r="AZ78" s="1262">
        <f ca="1">ROUND(Grunddaten!CA56*((Grunddaten!$S56-Grunddaten!$Q56)/100*$G78+$E78),-1)</f>
        <v>0</v>
      </c>
      <c r="BA78" s="1262">
        <f ca="1">ROUND(Grunddaten!CB56*((Grunddaten!$S56-Grunddaten!$Q56)/100*$G78+$E78),-1)</f>
        <v>0</v>
      </c>
      <c r="BB78" s="1262">
        <f ca="1">ROUND(Grunddaten!CC56*((Grunddaten!$S56-Grunddaten!$Q56)/100*$G78+$E78),-1)</f>
        <v>0</v>
      </c>
      <c r="BC78" s="1262">
        <f ca="1">ROUND(Grunddaten!CD56*((Grunddaten!$S56-Grunddaten!$Q56)/100*$G78+$E78),-1)</f>
        <v>0</v>
      </c>
      <c r="BD78" s="1262">
        <f ca="1">ROUND(Grunddaten!CE56*((Grunddaten!$S56-Grunddaten!$Q56)/100*$G78+$E78),-1)</f>
        <v>0</v>
      </c>
      <c r="BE78" s="1262">
        <f ca="1">ROUND(Grunddaten!CF56*((Grunddaten!$S56-Grunddaten!$Q56)/100*$G78+$E78),-1)</f>
        <v>0</v>
      </c>
      <c r="BF78" s="1262">
        <f ca="1">ROUND(Grunddaten!CG56*((Grunddaten!$S56-Grunddaten!$Q56)/100*$G78+$E78),-1)</f>
        <v>0</v>
      </c>
      <c r="BG78" s="1262">
        <f ca="1">ROUND(Grunddaten!CH56*((Grunddaten!$S56-Grunddaten!$Q56)/100*$G78+$E78),-1)</f>
        <v>0</v>
      </c>
      <c r="BH78" s="1262">
        <f ca="1">ROUND(Grunddaten!CI56*((Grunddaten!$S56-Grunddaten!$Q56)/100*$G78+$E78),-1)</f>
        <v>0</v>
      </c>
      <c r="BI78" s="1262">
        <f ca="1">ROUND(Grunddaten!CJ56*((Grunddaten!$S56-Grunddaten!$Q56)/100*$G78+$E78),-1)</f>
        <v>0</v>
      </c>
      <c r="BJ78" s="1262">
        <f ca="1">ROUND(Grunddaten!CK56*((Grunddaten!$S56-Grunddaten!$Q56)/100*$G78+$E78),-1)</f>
        <v>0</v>
      </c>
      <c r="BK78" s="1262">
        <f ca="1">ROUND(Grunddaten!CL56*((Grunddaten!$S56-Grunddaten!$Q56)/100*$G78+$E78),-1)</f>
        <v>0</v>
      </c>
      <c r="BL78" s="1262">
        <f ca="1">ROUND(Grunddaten!CM56*((Grunddaten!$S56-Grunddaten!$Q56)/100*$G78+$E78),-1)</f>
        <v>0</v>
      </c>
      <c r="BM78" s="1262">
        <f ca="1">ROUND(Grunddaten!CN56*((Grunddaten!$S56-Grunddaten!$Q56)/100*$G78+$E78),-1)</f>
        <v>0</v>
      </c>
      <c r="BN78" s="1262">
        <f ca="1">ROUND(Grunddaten!CO56*((Grunddaten!$S56-Grunddaten!$Q56)/100*$G78+$E78),-1)</f>
        <v>0</v>
      </c>
      <c r="BO78" s="1262">
        <f ca="1">ROUND(Grunddaten!CP56*((Grunddaten!$S56-Grunddaten!$Q56)/100*$G78+$E78),-1)</f>
        <v>0</v>
      </c>
      <c r="BP78" s="1262">
        <f ca="1">ROUND(Grunddaten!CQ56*((Grunddaten!$S56-Grunddaten!$Q56)/100*$G78+$E78),-1)</f>
        <v>0</v>
      </c>
      <c r="BQ78" s="1263">
        <f ca="1">ROUND(Grunddaten!CR56*((Grunddaten!$S56-Grunddaten!$Q56)/100*$G78+$E78),-1)</f>
        <v>0</v>
      </c>
    </row>
    <row r="79" spans="1:69" s="88" customFormat="1" ht="14.1" customHeight="1" thickBot="1" x14ac:dyDescent="0.25">
      <c r="A79" s="391" t="s">
        <v>14</v>
      </c>
      <c r="B79" s="91"/>
      <c r="C79" s="91"/>
      <c r="D79" s="2696"/>
      <c r="E79" s="2696"/>
      <c r="F79" s="2696"/>
      <c r="G79" s="822"/>
      <c r="H79" s="2696"/>
      <c r="I79" s="2696"/>
      <c r="J79" s="2699"/>
      <c r="K79" s="2699"/>
      <c r="L79" s="2668">
        <f ca="1">SUM(L61:L78)</f>
        <v>0</v>
      </c>
      <c r="M79" s="2669"/>
      <c r="N79" s="2670"/>
      <c r="S79" s="1228">
        <f ca="1">SUM(S62:S76)</f>
        <v>0</v>
      </c>
      <c r="T79" s="1229">
        <f t="shared" ref="T79:BQ79" ca="1" si="8">SUM(T62:T76)</f>
        <v>0</v>
      </c>
      <c r="U79" s="1229">
        <f t="shared" ca="1" si="8"/>
        <v>0</v>
      </c>
      <c r="V79" s="1229">
        <f t="shared" ca="1" si="8"/>
        <v>0</v>
      </c>
      <c r="W79" s="1229">
        <f t="shared" ca="1" si="8"/>
        <v>0</v>
      </c>
      <c r="X79" s="1229">
        <f t="shared" ca="1" si="8"/>
        <v>0</v>
      </c>
      <c r="Y79" s="1229">
        <f t="shared" ca="1" si="8"/>
        <v>0</v>
      </c>
      <c r="Z79" s="1229">
        <f t="shared" ca="1" si="8"/>
        <v>0</v>
      </c>
      <c r="AA79" s="1229">
        <f t="shared" ca="1" si="8"/>
        <v>0</v>
      </c>
      <c r="AB79" s="1229">
        <f t="shared" ca="1" si="8"/>
        <v>0</v>
      </c>
      <c r="AC79" s="1229">
        <f t="shared" ca="1" si="8"/>
        <v>0</v>
      </c>
      <c r="AD79" s="1229">
        <f t="shared" ca="1" si="8"/>
        <v>0</v>
      </c>
      <c r="AE79" s="1229">
        <f t="shared" ca="1" si="8"/>
        <v>0</v>
      </c>
      <c r="AF79" s="1229">
        <f t="shared" ca="1" si="8"/>
        <v>0</v>
      </c>
      <c r="AG79" s="1229">
        <f t="shared" ca="1" si="8"/>
        <v>0</v>
      </c>
      <c r="AH79" s="1229">
        <f t="shared" ca="1" si="8"/>
        <v>0</v>
      </c>
      <c r="AI79" s="1229">
        <f t="shared" ca="1" si="8"/>
        <v>0</v>
      </c>
      <c r="AJ79" s="1229">
        <f t="shared" ca="1" si="8"/>
        <v>0</v>
      </c>
      <c r="AK79" s="1229">
        <f t="shared" ca="1" si="8"/>
        <v>0</v>
      </c>
      <c r="AL79" s="1229">
        <f t="shared" ca="1" si="8"/>
        <v>0</v>
      </c>
      <c r="AM79" s="1229">
        <f t="shared" ca="1" si="8"/>
        <v>0</v>
      </c>
      <c r="AN79" s="1229">
        <f t="shared" ca="1" si="8"/>
        <v>0</v>
      </c>
      <c r="AO79" s="1229">
        <f t="shared" ca="1" si="8"/>
        <v>0</v>
      </c>
      <c r="AP79" s="1229">
        <f t="shared" ca="1" si="8"/>
        <v>0</v>
      </c>
      <c r="AQ79" s="1229">
        <f t="shared" ca="1" si="8"/>
        <v>0</v>
      </c>
      <c r="AR79" s="1229">
        <f t="shared" ca="1" si="8"/>
        <v>0</v>
      </c>
      <c r="AS79" s="1229">
        <f t="shared" ca="1" si="8"/>
        <v>0</v>
      </c>
      <c r="AT79" s="1229">
        <f t="shared" ca="1" si="8"/>
        <v>0</v>
      </c>
      <c r="AU79" s="1229">
        <f t="shared" ca="1" si="8"/>
        <v>0</v>
      </c>
      <c r="AV79" s="1229">
        <f t="shared" ca="1" si="8"/>
        <v>0</v>
      </c>
      <c r="AW79" s="1229">
        <f t="shared" ca="1" si="8"/>
        <v>0</v>
      </c>
      <c r="AX79" s="1229">
        <f t="shared" ca="1" si="8"/>
        <v>0</v>
      </c>
      <c r="AY79" s="1229">
        <f t="shared" ca="1" si="8"/>
        <v>0</v>
      </c>
      <c r="AZ79" s="1229">
        <f t="shared" ca="1" si="8"/>
        <v>0</v>
      </c>
      <c r="BA79" s="1229">
        <f t="shared" ca="1" si="8"/>
        <v>0</v>
      </c>
      <c r="BB79" s="1229">
        <f t="shared" ca="1" si="8"/>
        <v>0</v>
      </c>
      <c r="BC79" s="1229">
        <f t="shared" ca="1" si="8"/>
        <v>0</v>
      </c>
      <c r="BD79" s="1229">
        <f t="shared" ca="1" si="8"/>
        <v>0</v>
      </c>
      <c r="BE79" s="1229">
        <f t="shared" ca="1" si="8"/>
        <v>0</v>
      </c>
      <c r="BF79" s="1229">
        <f t="shared" ca="1" si="8"/>
        <v>0</v>
      </c>
      <c r="BG79" s="1229">
        <f t="shared" ca="1" si="8"/>
        <v>0</v>
      </c>
      <c r="BH79" s="1229">
        <f t="shared" ca="1" si="8"/>
        <v>0</v>
      </c>
      <c r="BI79" s="1229">
        <f t="shared" ca="1" si="8"/>
        <v>0</v>
      </c>
      <c r="BJ79" s="1229">
        <f t="shared" ca="1" si="8"/>
        <v>0</v>
      </c>
      <c r="BK79" s="1229">
        <f t="shared" ca="1" si="8"/>
        <v>0</v>
      </c>
      <c r="BL79" s="1229">
        <f t="shared" ca="1" si="8"/>
        <v>0</v>
      </c>
      <c r="BM79" s="1229">
        <f t="shared" ca="1" si="8"/>
        <v>0</v>
      </c>
      <c r="BN79" s="1229">
        <f t="shared" ca="1" si="8"/>
        <v>0</v>
      </c>
      <c r="BO79" s="1229">
        <f t="shared" ca="1" si="8"/>
        <v>0</v>
      </c>
      <c r="BP79" s="1229">
        <f t="shared" ca="1" si="8"/>
        <v>0</v>
      </c>
      <c r="BQ79" s="1230">
        <f t="shared" ca="1" si="8"/>
        <v>0</v>
      </c>
    </row>
    <row r="80" spans="1:69" ht="5.95" customHeight="1" x14ac:dyDescent="0.2">
      <c r="P80" s="83"/>
      <c r="Q80" s="83"/>
      <c r="R80" s="1177"/>
      <c r="S80" s="1231"/>
      <c r="T80" s="1232"/>
      <c r="U80" s="1231"/>
      <c r="V80" s="1231"/>
      <c r="W80" s="1231"/>
      <c r="X80" s="1231"/>
      <c r="Y80" s="1231"/>
      <c r="Z80" s="1231"/>
      <c r="AA80" s="1231"/>
      <c r="AB80" s="1233"/>
      <c r="AC80" s="1233"/>
      <c r="AD80" s="1233"/>
      <c r="AE80" s="1233"/>
      <c r="AF80" s="1233"/>
      <c r="AG80" s="1233"/>
      <c r="AH80" s="448"/>
      <c r="AI80" s="448"/>
      <c r="AJ80" s="448"/>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row>
    <row r="81" spans="1:69" ht="17.350000000000001" customHeight="1" x14ac:dyDescent="0.25">
      <c r="A81" s="1108" t="s">
        <v>36</v>
      </c>
      <c r="B81" s="1108"/>
      <c r="G81" s="83"/>
      <c r="H81" s="97"/>
      <c r="I81" s="526"/>
      <c r="J81" s="527"/>
      <c r="K81" s="1115"/>
      <c r="L81" s="787" t="s">
        <v>521</v>
      </c>
      <c r="M81" s="2698">
        <f>ROUND(MAX(G39,WR_Var1!G39,WR_Var3!G39,WR_Var4!G39),0)</f>
        <v>0</v>
      </c>
      <c r="N81" s="2698"/>
      <c r="O81" s="847"/>
      <c r="P81" s="83"/>
      <c r="Q81" s="83"/>
      <c r="R81" s="1233"/>
      <c r="S81" s="1234"/>
      <c r="T81" s="1233"/>
      <c r="U81" s="1233"/>
      <c r="V81" s="1233"/>
      <c r="W81" s="1233"/>
      <c r="X81" s="1233"/>
      <c r="Y81" s="1233"/>
      <c r="Z81" s="1233"/>
      <c r="AA81" s="1233"/>
      <c r="AB81" s="1233"/>
      <c r="AC81" s="1233"/>
      <c r="AD81" s="1233"/>
      <c r="AE81" s="1233"/>
      <c r="AF81" s="1233"/>
      <c r="AG81" s="448"/>
      <c r="AH81" s="448"/>
      <c r="AI81" s="448"/>
      <c r="AJ81" s="819"/>
      <c r="AK81" s="449"/>
      <c r="AL81" s="449"/>
      <c r="AM81" s="449"/>
      <c r="AN81" s="449"/>
      <c r="AO81" s="449"/>
      <c r="AP81" s="450"/>
      <c r="AQ81" s="449"/>
      <c r="AR81" s="449"/>
      <c r="AS81" s="449"/>
      <c r="AT81" s="449"/>
      <c r="AU81" s="449"/>
      <c r="AV81" s="449"/>
      <c r="AW81" s="449"/>
      <c r="AX81" s="449"/>
      <c r="AY81" s="449"/>
      <c r="AZ81" s="449"/>
      <c r="BA81" s="449"/>
      <c r="BB81" s="449"/>
      <c r="BC81" s="449"/>
      <c r="BD81" s="449"/>
      <c r="BE81" s="449"/>
      <c r="BF81" s="449"/>
      <c r="BG81" s="449"/>
      <c r="BH81" s="449"/>
      <c r="BI81" s="449"/>
      <c r="BJ81" s="449"/>
      <c r="BK81" s="449"/>
      <c r="BL81" s="449"/>
      <c r="BM81" s="449"/>
      <c r="BN81" s="449"/>
      <c r="BO81" s="449"/>
      <c r="BP81" s="449"/>
      <c r="BQ81" s="83"/>
    </row>
    <row r="82" spans="1:69" ht="2.0499999999999998" customHeight="1" x14ac:dyDescent="0.2">
      <c r="H82" s="84"/>
      <c r="I82" s="530"/>
      <c r="J82" s="527"/>
      <c r="K82" s="527"/>
      <c r="L82" s="527"/>
      <c r="P82" s="83"/>
      <c r="Q82" s="83"/>
      <c r="R82" s="1233"/>
      <c r="S82" s="1234"/>
      <c r="T82" s="1233"/>
      <c r="U82" s="1233"/>
      <c r="V82" s="1233"/>
      <c r="W82" s="1233"/>
      <c r="X82" s="1233"/>
      <c r="Y82" s="1233"/>
      <c r="Z82" s="1233"/>
      <c r="AA82" s="1233"/>
      <c r="AB82" s="1233"/>
      <c r="AC82" s="1233"/>
      <c r="AD82" s="1233"/>
      <c r="AE82" s="1233"/>
      <c r="AF82" s="1233"/>
      <c r="AG82" s="448"/>
      <c r="AH82" s="448"/>
      <c r="AI82" s="448"/>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83"/>
    </row>
    <row r="83" spans="1:69" ht="12.1" customHeight="1" x14ac:dyDescent="0.2">
      <c r="D83" s="1767" t="s">
        <v>51</v>
      </c>
      <c r="E83" s="2481">
        <f>IF(ISBLANK($M$83),$M$81,$M$83)</f>
        <v>0</v>
      </c>
      <c r="F83" s="2481"/>
      <c r="G83" s="83"/>
      <c r="I83" s="530"/>
      <c r="J83" s="527"/>
      <c r="K83" s="316"/>
      <c r="L83" s="529" t="s">
        <v>37</v>
      </c>
      <c r="M83" s="2697"/>
      <c r="N83" s="2697"/>
      <c r="O83" s="316"/>
      <c r="Q83" s="86"/>
      <c r="R83" s="451"/>
      <c r="S83" s="1234"/>
      <c r="T83" s="1233"/>
      <c r="U83" s="1233"/>
      <c r="V83" s="1233"/>
      <c r="W83" s="1233"/>
      <c r="X83" s="1233"/>
      <c r="Y83" s="1233"/>
      <c r="Z83" s="1233"/>
      <c r="AA83" s="1233"/>
      <c r="AB83" s="1233"/>
      <c r="AC83" s="1233"/>
      <c r="AD83" s="1233"/>
      <c r="AE83" s="1233"/>
      <c r="AF83" s="1233"/>
      <c r="AG83" s="448"/>
      <c r="AH83" s="448"/>
      <c r="AI83" s="448"/>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449"/>
      <c r="BF83" s="449"/>
      <c r="BG83" s="449"/>
      <c r="BH83" s="449"/>
      <c r="BI83" s="449"/>
      <c r="BJ83" s="449"/>
      <c r="BK83" s="449"/>
      <c r="BL83" s="449"/>
      <c r="BM83" s="449"/>
      <c r="BN83" s="449"/>
      <c r="BO83" s="449"/>
      <c r="BP83" s="449"/>
      <c r="BQ83" s="83"/>
    </row>
    <row r="84" spans="1:69" ht="3.9" customHeight="1" thickBot="1" x14ac:dyDescent="0.25">
      <c r="A84" s="84"/>
      <c r="B84" s="84"/>
      <c r="C84" s="86"/>
      <c r="D84" s="86"/>
      <c r="E84" s="86"/>
      <c r="F84" s="86"/>
      <c r="G84" s="86"/>
      <c r="H84" s="86"/>
      <c r="I84" s="86"/>
      <c r="J84" s="86"/>
      <c r="Q84" s="86"/>
      <c r="R84" s="451"/>
      <c r="S84" s="1234"/>
      <c r="T84" s="1233"/>
      <c r="U84" s="1233"/>
      <c r="V84" s="1233"/>
      <c r="W84" s="1233"/>
      <c r="X84" s="1233"/>
      <c r="Y84" s="1233"/>
      <c r="Z84" s="1233"/>
      <c r="AA84" s="1233"/>
      <c r="AB84" s="1233"/>
      <c r="AC84" s="1233"/>
      <c r="AD84" s="1233"/>
      <c r="AE84" s="1233"/>
      <c r="AF84" s="1233"/>
      <c r="AG84" s="448"/>
      <c r="AH84" s="448"/>
      <c r="AI84" s="448"/>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449"/>
      <c r="BF84" s="449"/>
      <c r="BG84" s="449"/>
      <c r="BH84" s="449"/>
      <c r="BI84" s="449"/>
      <c r="BJ84" s="449"/>
      <c r="BK84" s="449"/>
      <c r="BL84" s="449"/>
      <c r="BM84" s="449"/>
      <c r="BN84" s="449"/>
      <c r="BO84" s="449"/>
      <c r="BP84" s="449"/>
      <c r="BQ84" s="83"/>
    </row>
    <row r="85" spans="1:69" s="93" customFormat="1" ht="11.25" customHeight="1" x14ac:dyDescent="0.2">
      <c r="A85" s="515"/>
      <c r="B85" s="1463"/>
      <c r="C85" s="1463"/>
      <c r="D85" s="1461"/>
      <c r="E85" s="2517" t="s">
        <v>38</v>
      </c>
      <c r="F85" s="2518"/>
      <c r="G85" s="2517" t="s">
        <v>50</v>
      </c>
      <c r="H85" s="2706"/>
      <c r="I85" s="2706"/>
      <c r="J85" s="2706"/>
      <c r="K85" s="2518"/>
      <c r="L85" s="2517" t="s">
        <v>737</v>
      </c>
      <c r="M85" s="2706"/>
      <c r="N85" s="2740"/>
      <c r="O85" s="1112"/>
      <c r="P85" s="809"/>
      <c r="Q85" s="810"/>
      <c r="R85" s="92"/>
      <c r="S85" s="416"/>
      <c r="T85" s="416"/>
      <c r="U85" s="416"/>
      <c r="V85" s="416"/>
      <c r="W85" s="416"/>
      <c r="X85" s="416"/>
      <c r="Y85" s="416"/>
      <c r="Z85" s="416"/>
      <c r="AA85" s="1235"/>
      <c r="AB85" s="1233"/>
      <c r="AC85" s="1233"/>
      <c r="AD85" s="1233"/>
      <c r="AE85" s="1233"/>
      <c r="AF85" s="1233"/>
      <c r="AG85" s="448"/>
      <c r="AH85" s="448"/>
      <c r="AI85" s="448"/>
      <c r="AJ85" s="449"/>
      <c r="AK85" s="449"/>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row>
    <row r="86" spans="1:69" s="93" customFormat="1" ht="11.25" customHeight="1" x14ac:dyDescent="0.2">
      <c r="A86" s="1521" t="s">
        <v>12</v>
      </c>
      <c r="B86" s="1112"/>
      <c r="C86" s="1112"/>
      <c r="D86" s="1522"/>
      <c r="E86" s="2702" t="s">
        <v>40</v>
      </c>
      <c r="F86" s="2703"/>
      <c r="G86" s="2528" t="s">
        <v>733</v>
      </c>
      <c r="H86" s="2529"/>
      <c r="I86" s="2707"/>
      <c r="J86" s="2746" t="s">
        <v>734</v>
      </c>
      <c r="K86" s="2711"/>
      <c r="L86" s="2702" t="s">
        <v>659</v>
      </c>
      <c r="M86" s="2741"/>
      <c r="N86" s="2742"/>
      <c r="O86" s="1112"/>
      <c r="P86" s="2650" t="s">
        <v>464</v>
      </c>
      <c r="Q86" s="2651"/>
      <c r="R86" s="555"/>
      <c r="U86" s="451"/>
      <c r="V86" s="416"/>
      <c r="W86" s="416"/>
      <c r="X86" s="416"/>
      <c r="Y86" s="416"/>
      <c r="Z86" s="416"/>
      <c r="AA86" s="416"/>
      <c r="AB86" s="416"/>
      <c r="AC86" s="416"/>
      <c r="AD86" s="1236"/>
      <c r="AE86" s="1233"/>
      <c r="AF86" s="1233"/>
      <c r="AG86" s="1233"/>
      <c r="AH86" s="1233"/>
      <c r="AI86" s="1233"/>
      <c r="AJ86" s="448"/>
      <c r="AK86" s="448"/>
      <c r="AL86" s="448"/>
      <c r="AM86" s="449"/>
      <c r="AN86" s="449"/>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row>
    <row r="87" spans="1:69" s="93" customFormat="1" ht="11.25" customHeight="1" x14ac:dyDescent="0.2">
      <c r="A87" s="390"/>
      <c r="B87" s="1464"/>
      <c r="C87" s="1464"/>
      <c r="D87" s="799"/>
      <c r="E87" s="2609" t="s">
        <v>641</v>
      </c>
      <c r="F87" s="2613"/>
      <c r="G87" s="2609" t="s">
        <v>655</v>
      </c>
      <c r="H87" s="2610"/>
      <c r="I87" s="2611"/>
      <c r="J87" s="2612" t="s">
        <v>655</v>
      </c>
      <c r="K87" s="2613"/>
      <c r="L87" s="2609" t="s">
        <v>655</v>
      </c>
      <c r="M87" s="2610"/>
      <c r="N87" s="2660"/>
      <c r="O87" s="1112"/>
      <c r="P87" s="2658" t="s">
        <v>465</v>
      </c>
      <c r="Q87" s="2659"/>
      <c r="R87" s="555"/>
      <c r="S87" s="1195" t="s">
        <v>681</v>
      </c>
      <c r="U87" s="451"/>
      <c r="V87" s="416"/>
      <c r="W87" s="416"/>
      <c r="X87" s="416"/>
      <c r="Y87" s="416"/>
      <c r="Z87" s="416"/>
      <c r="AA87" s="416"/>
      <c r="AB87" s="416"/>
      <c r="AC87" s="416"/>
      <c r="AD87" s="1236"/>
      <c r="AE87" s="1233"/>
      <c r="AF87" s="1233"/>
      <c r="AG87" s="1233"/>
      <c r="AH87" s="1233"/>
      <c r="AI87" s="1233"/>
      <c r="AJ87" s="448"/>
      <c r="AK87" s="448"/>
      <c r="AL87" s="448"/>
      <c r="AM87" s="449"/>
      <c r="AN87" s="449"/>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6"/>
      <c r="BN87" s="416"/>
      <c r="BO87" s="416"/>
      <c r="BP87" s="416"/>
      <c r="BQ87" s="416"/>
    </row>
    <row r="88" spans="1:69" s="88" customFormat="1" ht="12.1" customHeight="1" x14ac:dyDescent="0.2">
      <c r="A88" s="516" t="s">
        <v>735</v>
      </c>
      <c r="B88" s="1390"/>
      <c r="D88" s="1380" t="str">
        <f>"("&amp;Projektdaten!$G$31&amp;")"</f>
        <v>(Förderbeiträge berücksichtigen)</v>
      </c>
      <c r="E88" s="2553" t="s">
        <v>34</v>
      </c>
      <c r="F88" s="2554"/>
      <c r="G88" s="2623">
        <f>IF(Projektdaten!$T$31=1,$J$54,$J$39)</f>
        <v>0</v>
      </c>
      <c r="H88" s="2624"/>
      <c r="I88" s="2625"/>
      <c r="J88" s="2621" t="s">
        <v>49</v>
      </c>
      <c r="K88" s="2622"/>
      <c r="L88" s="2623">
        <f>G88</f>
        <v>0</v>
      </c>
      <c r="M88" s="2624"/>
      <c r="N88" s="2743"/>
      <c r="O88" s="292"/>
      <c r="P88" s="2652">
        <f>$E$39</f>
        <v>0</v>
      </c>
      <c r="Q88" s="2653"/>
      <c r="R88" s="92"/>
      <c r="S88" s="1196">
        <f ca="1">S59</f>
        <v>2016</v>
      </c>
      <c r="T88" s="1197">
        <f ca="1">S88+1</f>
        <v>2017</v>
      </c>
      <c r="U88" s="1197">
        <f t="shared" ref="U88:BP88" ca="1" si="9">T88+1</f>
        <v>2018</v>
      </c>
      <c r="V88" s="1197">
        <f t="shared" ca="1" si="9"/>
        <v>2019</v>
      </c>
      <c r="W88" s="1197">
        <f t="shared" ca="1" si="9"/>
        <v>2020</v>
      </c>
      <c r="X88" s="1197">
        <f t="shared" ca="1" si="9"/>
        <v>2021</v>
      </c>
      <c r="Y88" s="1197">
        <f t="shared" ca="1" si="9"/>
        <v>2022</v>
      </c>
      <c r="Z88" s="1197">
        <f t="shared" ca="1" si="9"/>
        <v>2023</v>
      </c>
      <c r="AA88" s="1197">
        <f t="shared" ca="1" si="9"/>
        <v>2024</v>
      </c>
      <c r="AB88" s="1197">
        <f t="shared" ca="1" si="9"/>
        <v>2025</v>
      </c>
      <c r="AC88" s="1197">
        <f t="shared" ca="1" si="9"/>
        <v>2026</v>
      </c>
      <c r="AD88" s="1197">
        <f t="shared" ca="1" si="9"/>
        <v>2027</v>
      </c>
      <c r="AE88" s="1197">
        <f t="shared" ca="1" si="9"/>
        <v>2028</v>
      </c>
      <c r="AF88" s="1197">
        <f t="shared" ca="1" si="9"/>
        <v>2029</v>
      </c>
      <c r="AG88" s="1197">
        <f t="shared" ca="1" si="9"/>
        <v>2030</v>
      </c>
      <c r="AH88" s="1197">
        <f t="shared" ca="1" si="9"/>
        <v>2031</v>
      </c>
      <c r="AI88" s="1197">
        <f t="shared" ca="1" si="9"/>
        <v>2032</v>
      </c>
      <c r="AJ88" s="1197">
        <f t="shared" ca="1" si="9"/>
        <v>2033</v>
      </c>
      <c r="AK88" s="1197">
        <f t="shared" ca="1" si="9"/>
        <v>2034</v>
      </c>
      <c r="AL88" s="1197">
        <f t="shared" ca="1" si="9"/>
        <v>2035</v>
      </c>
      <c r="AM88" s="1197">
        <f t="shared" ca="1" si="9"/>
        <v>2036</v>
      </c>
      <c r="AN88" s="1197">
        <f t="shared" ca="1" si="9"/>
        <v>2037</v>
      </c>
      <c r="AO88" s="1197">
        <f t="shared" ca="1" si="9"/>
        <v>2038</v>
      </c>
      <c r="AP88" s="1197">
        <f t="shared" ca="1" si="9"/>
        <v>2039</v>
      </c>
      <c r="AQ88" s="1197">
        <f t="shared" ca="1" si="9"/>
        <v>2040</v>
      </c>
      <c r="AR88" s="1197">
        <f t="shared" ca="1" si="9"/>
        <v>2041</v>
      </c>
      <c r="AS88" s="1197">
        <f t="shared" ca="1" si="9"/>
        <v>2042</v>
      </c>
      <c r="AT88" s="1197">
        <f t="shared" ca="1" si="9"/>
        <v>2043</v>
      </c>
      <c r="AU88" s="1197">
        <f t="shared" ca="1" si="9"/>
        <v>2044</v>
      </c>
      <c r="AV88" s="1197">
        <f t="shared" ca="1" si="9"/>
        <v>2045</v>
      </c>
      <c r="AW88" s="1197">
        <f t="shared" ca="1" si="9"/>
        <v>2046</v>
      </c>
      <c r="AX88" s="1197">
        <f t="shared" ca="1" si="9"/>
        <v>2047</v>
      </c>
      <c r="AY88" s="1197">
        <f t="shared" ca="1" si="9"/>
        <v>2048</v>
      </c>
      <c r="AZ88" s="1197">
        <f t="shared" ca="1" si="9"/>
        <v>2049</v>
      </c>
      <c r="BA88" s="1197">
        <f t="shared" ca="1" si="9"/>
        <v>2050</v>
      </c>
      <c r="BB88" s="1197">
        <f t="shared" ca="1" si="9"/>
        <v>2051</v>
      </c>
      <c r="BC88" s="1197">
        <f t="shared" ca="1" si="9"/>
        <v>2052</v>
      </c>
      <c r="BD88" s="1197">
        <f t="shared" ca="1" si="9"/>
        <v>2053</v>
      </c>
      <c r="BE88" s="1197">
        <f t="shared" ca="1" si="9"/>
        <v>2054</v>
      </c>
      <c r="BF88" s="1197">
        <f t="shared" ca="1" si="9"/>
        <v>2055</v>
      </c>
      <c r="BG88" s="1197">
        <f t="shared" ca="1" si="9"/>
        <v>2056</v>
      </c>
      <c r="BH88" s="1197">
        <f t="shared" ca="1" si="9"/>
        <v>2057</v>
      </c>
      <c r="BI88" s="1197">
        <f t="shared" ca="1" si="9"/>
        <v>2058</v>
      </c>
      <c r="BJ88" s="1197">
        <f t="shared" ca="1" si="9"/>
        <v>2059</v>
      </c>
      <c r="BK88" s="1197">
        <f t="shared" ca="1" si="9"/>
        <v>2060</v>
      </c>
      <c r="BL88" s="1197">
        <f t="shared" ca="1" si="9"/>
        <v>2061</v>
      </c>
      <c r="BM88" s="1197">
        <f t="shared" ca="1" si="9"/>
        <v>2062</v>
      </c>
      <c r="BN88" s="1197">
        <f t="shared" ca="1" si="9"/>
        <v>2063</v>
      </c>
      <c r="BO88" s="1197">
        <f t="shared" ca="1" si="9"/>
        <v>2064</v>
      </c>
      <c r="BP88" s="1197">
        <f t="shared" ca="1" si="9"/>
        <v>2065</v>
      </c>
      <c r="BQ88" s="1198">
        <f ca="1">BP88+1</f>
        <v>2066</v>
      </c>
    </row>
    <row r="89" spans="1:69" s="88" customFormat="1" ht="12.1" customHeight="1" x14ac:dyDescent="0.2">
      <c r="A89" s="552" t="s">
        <v>744</v>
      </c>
      <c r="B89" s="697"/>
      <c r="C89" s="697"/>
      <c r="D89" s="1118"/>
      <c r="E89" s="2589">
        <f>IF(ISBLANK(Grunddaten!$AF$5),Grunddaten!$AE$5,Grunddaten!$AF$5)</f>
        <v>0</v>
      </c>
      <c r="F89" s="2590"/>
      <c r="G89" s="2626">
        <f>$N39</f>
        <v>0</v>
      </c>
      <c r="H89" s="2627"/>
      <c r="I89" s="2628"/>
      <c r="J89" s="2585" t="s">
        <v>49</v>
      </c>
      <c r="K89" s="2586"/>
      <c r="L89" s="2626">
        <f ca="1">IF(P89=0,0,-ROUND(PMT($J$9,$E$83,$P89),-1))</f>
        <v>0</v>
      </c>
      <c r="M89" s="2627"/>
      <c r="N89" s="2744"/>
      <c r="O89" s="292"/>
      <c r="P89" s="2654">
        <f ca="1">ROUND(NPV($J$9,S89:OFFSET($S$89,0,$E$83-1)),-1)</f>
        <v>0</v>
      </c>
      <c r="Q89" s="2655"/>
      <c r="R89" s="92"/>
      <c r="S89" s="490">
        <f>G89</f>
        <v>0</v>
      </c>
      <c r="T89" s="491">
        <f ca="1">$S$89*(1+(T88-$S$88)*$E$89)</f>
        <v>0</v>
      </c>
      <c r="U89" s="491">
        <f t="shared" ref="U89:BQ89" ca="1" si="10">$S$89*(1+(U88-$S$88)*$E$89)</f>
        <v>0</v>
      </c>
      <c r="V89" s="491">
        <f t="shared" ca="1" si="10"/>
        <v>0</v>
      </c>
      <c r="W89" s="491">
        <f t="shared" ca="1" si="10"/>
        <v>0</v>
      </c>
      <c r="X89" s="491">
        <f t="shared" ca="1" si="10"/>
        <v>0</v>
      </c>
      <c r="Y89" s="491">
        <f t="shared" ca="1" si="10"/>
        <v>0</v>
      </c>
      <c r="Z89" s="491">
        <f t="shared" ca="1" si="10"/>
        <v>0</v>
      </c>
      <c r="AA89" s="491">
        <f t="shared" ca="1" si="10"/>
        <v>0</v>
      </c>
      <c r="AB89" s="491">
        <f t="shared" ca="1" si="10"/>
        <v>0</v>
      </c>
      <c r="AC89" s="491">
        <f t="shared" ca="1" si="10"/>
        <v>0</v>
      </c>
      <c r="AD89" s="491">
        <f t="shared" ca="1" si="10"/>
        <v>0</v>
      </c>
      <c r="AE89" s="491">
        <f t="shared" ca="1" si="10"/>
        <v>0</v>
      </c>
      <c r="AF89" s="491">
        <f t="shared" ca="1" si="10"/>
        <v>0</v>
      </c>
      <c r="AG89" s="491">
        <f t="shared" ca="1" si="10"/>
        <v>0</v>
      </c>
      <c r="AH89" s="491">
        <f t="shared" ca="1" si="10"/>
        <v>0</v>
      </c>
      <c r="AI89" s="491">
        <f t="shared" ca="1" si="10"/>
        <v>0</v>
      </c>
      <c r="AJ89" s="491">
        <f t="shared" ca="1" si="10"/>
        <v>0</v>
      </c>
      <c r="AK89" s="491">
        <f t="shared" ca="1" si="10"/>
        <v>0</v>
      </c>
      <c r="AL89" s="491">
        <f t="shared" ca="1" si="10"/>
        <v>0</v>
      </c>
      <c r="AM89" s="491">
        <f t="shared" ca="1" si="10"/>
        <v>0</v>
      </c>
      <c r="AN89" s="491">
        <f t="shared" ca="1" si="10"/>
        <v>0</v>
      </c>
      <c r="AO89" s="491">
        <f t="shared" ca="1" si="10"/>
        <v>0</v>
      </c>
      <c r="AP89" s="491">
        <f t="shared" ca="1" si="10"/>
        <v>0</v>
      </c>
      <c r="AQ89" s="491">
        <f t="shared" ca="1" si="10"/>
        <v>0</v>
      </c>
      <c r="AR89" s="491">
        <f t="shared" ca="1" si="10"/>
        <v>0</v>
      </c>
      <c r="AS89" s="491">
        <f t="shared" ca="1" si="10"/>
        <v>0</v>
      </c>
      <c r="AT89" s="491">
        <f t="shared" ca="1" si="10"/>
        <v>0</v>
      </c>
      <c r="AU89" s="491">
        <f t="shared" ca="1" si="10"/>
        <v>0</v>
      </c>
      <c r="AV89" s="491">
        <f t="shared" ca="1" si="10"/>
        <v>0</v>
      </c>
      <c r="AW89" s="491">
        <f t="shared" ca="1" si="10"/>
        <v>0</v>
      </c>
      <c r="AX89" s="491">
        <f t="shared" ca="1" si="10"/>
        <v>0</v>
      </c>
      <c r="AY89" s="491">
        <f t="shared" ca="1" si="10"/>
        <v>0</v>
      </c>
      <c r="AZ89" s="491">
        <f t="shared" ca="1" si="10"/>
        <v>0</v>
      </c>
      <c r="BA89" s="491">
        <f t="shared" ca="1" si="10"/>
        <v>0</v>
      </c>
      <c r="BB89" s="491">
        <f t="shared" ca="1" si="10"/>
        <v>0</v>
      </c>
      <c r="BC89" s="491">
        <f t="shared" ca="1" si="10"/>
        <v>0</v>
      </c>
      <c r="BD89" s="491">
        <f t="shared" ca="1" si="10"/>
        <v>0</v>
      </c>
      <c r="BE89" s="491">
        <f t="shared" ca="1" si="10"/>
        <v>0</v>
      </c>
      <c r="BF89" s="491">
        <f t="shared" ca="1" si="10"/>
        <v>0</v>
      </c>
      <c r="BG89" s="491">
        <f t="shared" ca="1" si="10"/>
        <v>0</v>
      </c>
      <c r="BH89" s="491">
        <f t="shared" ca="1" si="10"/>
        <v>0</v>
      </c>
      <c r="BI89" s="491">
        <f t="shared" ca="1" si="10"/>
        <v>0</v>
      </c>
      <c r="BJ89" s="491">
        <f t="shared" ca="1" si="10"/>
        <v>0</v>
      </c>
      <c r="BK89" s="491">
        <f t="shared" ca="1" si="10"/>
        <v>0</v>
      </c>
      <c r="BL89" s="491">
        <f t="shared" ca="1" si="10"/>
        <v>0</v>
      </c>
      <c r="BM89" s="491">
        <f t="shared" ca="1" si="10"/>
        <v>0</v>
      </c>
      <c r="BN89" s="491">
        <f t="shared" ca="1" si="10"/>
        <v>0</v>
      </c>
      <c r="BO89" s="491">
        <f t="shared" ca="1" si="10"/>
        <v>0</v>
      </c>
      <c r="BP89" s="491">
        <f t="shared" ca="1" si="10"/>
        <v>0</v>
      </c>
      <c r="BQ89" s="1766">
        <f t="shared" ca="1" si="10"/>
        <v>0</v>
      </c>
    </row>
    <row r="90" spans="1:69" s="88" customFormat="1" ht="12.1" customHeight="1" x14ac:dyDescent="0.2">
      <c r="A90" s="517" t="s">
        <v>39</v>
      </c>
      <c r="B90" s="92"/>
      <c r="C90" s="92"/>
      <c r="D90" s="1119"/>
      <c r="E90" s="2568"/>
      <c r="F90" s="2569"/>
      <c r="G90" s="2629"/>
      <c r="H90" s="2630"/>
      <c r="I90" s="2631"/>
      <c r="J90" s="2587"/>
      <c r="K90" s="2588"/>
      <c r="L90" s="2629"/>
      <c r="M90" s="2630"/>
      <c r="N90" s="2745"/>
      <c r="O90" s="292"/>
      <c r="P90" s="2656"/>
      <c r="Q90" s="2657"/>
      <c r="R90" s="556"/>
      <c r="S90" s="492"/>
      <c r="T90" s="492"/>
      <c r="U90" s="492"/>
      <c r="V90" s="492"/>
      <c r="W90" s="492"/>
      <c r="X90" s="492"/>
      <c r="Y90" s="492"/>
      <c r="Z90" s="492"/>
      <c r="AA90" s="1236"/>
      <c r="AB90" s="1237"/>
      <c r="AC90" s="1237"/>
      <c r="AD90" s="1237"/>
      <c r="AE90" s="1237"/>
      <c r="AF90" s="1237"/>
      <c r="AG90" s="453"/>
      <c r="AH90" s="453"/>
      <c r="AI90" s="453"/>
      <c r="AJ90" s="451"/>
      <c r="AK90" s="451"/>
      <c r="AL90" s="451"/>
      <c r="AM90" s="451"/>
      <c r="AN90" s="451"/>
      <c r="AO90" s="451"/>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1"/>
      <c r="BM90" s="451"/>
      <c r="BN90" s="451"/>
      <c r="BO90" s="451"/>
      <c r="BP90" s="451"/>
    </row>
    <row r="91" spans="1:69" s="88" customFormat="1" ht="11.25" customHeight="1" x14ac:dyDescent="0.2">
      <c r="A91" s="751" t="str">
        <f t="shared" ref="A91:A100" si="11">A62</f>
        <v>Elektrizität, Hochtarif</v>
      </c>
      <c r="B91" s="752"/>
      <c r="C91" s="752"/>
      <c r="D91" s="1120"/>
      <c r="E91" s="2614">
        <f ca="1">IF(G91=0,0,OFFSET(Grunddaten!$AH$11,El_Produkt,0))/100</f>
        <v>0</v>
      </c>
      <c r="F91" s="2615"/>
      <c r="G91" s="2578">
        <f t="shared" ref="G91:G107" ca="1" si="12">L62-J91</f>
        <v>0</v>
      </c>
      <c r="H91" s="2579"/>
      <c r="I91" s="2580"/>
      <c r="J91" s="2581">
        <f ca="1">$R$109*OFFSET(Grunddaten!$Q$11,El_Produkt,0)/100*G62</f>
        <v>0</v>
      </c>
      <c r="K91" s="2582"/>
      <c r="L91" s="2525">
        <f t="shared" ref="L91:L107" ca="1" si="13">IF(P91=0,0,-ROUND(PMT($J$9,$E$83,$P91),-1))</f>
        <v>0</v>
      </c>
      <c r="M91" s="2526"/>
      <c r="N91" s="2527"/>
      <c r="O91" s="294"/>
      <c r="P91" s="2636">
        <f ca="1">ROUND(NPV($J$9,S62:OFFSET(S62,0,$E$83-1)),-1)</f>
        <v>0</v>
      </c>
      <c r="Q91" s="2637"/>
      <c r="R91" s="554"/>
      <c r="S91" s="314"/>
      <c r="T91" s="314"/>
      <c r="U91" s="314"/>
      <c r="V91" s="314"/>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row>
    <row r="92" spans="1:69" s="88" customFormat="1" ht="11.25" customHeight="1" x14ac:dyDescent="0.2">
      <c r="A92" s="698" t="str">
        <f t="shared" si="11"/>
        <v>Elektrizität, Niedertarif</v>
      </c>
      <c r="B92" s="699"/>
      <c r="C92" s="699"/>
      <c r="D92" s="1121"/>
      <c r="E92" s="2564">
        <f ca="1">IF(G92=0,0,OFFSET(Grunddaten!$AH$11,El_Produkt+1,0))/100</f>
        <v>0</v>
      </c>
      <c r="F92" s="2565"/>
      <c r="G92" s="2618">
        <f t="shared" ca="1" si="12"/>
        <v>0</v>
      </c>
      <c r="H92" s="2619"/>
      <c r="I92" s="2620"/>
      <c r="J92" s="2583">
        <f ca="1">$R$109*OFFSET(Grunddaten!$Q$11,El_Produkt,0)/100*G63</f>
        <v>0</v>
      </c>
      <c r="K92" s="2584"/>
      <c r="L92" s="2531">
        <f t="shared" ca="1" si="13"/>
        <v>0</v>
      </c>
      <c r="M92" s="2532"/>
      <c r="N92" s="2533"/>
      <c r="O92" s="294"/>
      <c r="P92" s="2636">
        <f ca="1">ROUND(NPV($J$9,S63:OFFSET(S63,0,$E$83-1)),-1)</f>
        <v>0</v>
      </c>
      <c r="Q92" s="2637"/>
      <c r="R92" s="554"/>
      <c r="S92" s="314"/>
      <c r="T92" s="314"/>
      <c r="U92" s="314"/>
      <c r="V92" s="314"/>
      <c r="AE92" s="1218"/>
      <c r="AF92" s="1218"/>
      <c r="AG92" s="447"/>
      <c r="AH92" s="447"/>
      <c r="AI92" s="447"/>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row>
    <row r="93" spans="1:69" s="88" customFormat="1" ht="11.25" customHeight="1" x14ac:dyDescent="0.2">
      <c r="A93" s="751" t="str">
        <f t="shared" si="11"/>
        <v>Elektrizität Wärmepumpen, HT</v>
      </c>
      <c r="B93" s="752"/>
      <c r="C93" s="752"/>
      <c r="D93" s="1119"/>
      <c r="E93" s="2568">
        <f ca="1">IF(G93=0,0,OFFSET(Grunddaten!$AH$11,El_Produkt+2-2*$Q$64,0))/100</f>
        <v>0</v>
      </c>
      <c r="F93" s="2569"/>
      <c r="G93" s="2578">
        <f t="shared" ca="1" si="12"/>
        <v>0</v>
      </c>
      <c r="H93" s="2579"/>
      <c r="I93" s="2580"/>
      <c r="J93" s="2581">
        <f ca="1">$R$109*OFFSET(Grunddaten!$Q$11,El_Produkt,0)/100*G64</f>
        <v>0</v>
      </c>
      <c r="K93" s="2582"/>
      <c r="L93" s="2525">
        <f t="shared" ca="1" si="13"/>
        <v>0</v>
      </c>
      <c r="M93" s="2526"/>
      <c r="N93" s="2527"/>
      <c r="O93" s="294"/>
      <c r="P93" s="2641">
        <f ca="1">ROUND(NPV($J$9,S64:OFFSET(S64,0,$E$83-1)),-1)</f>
        <v>0</v>
      </c>
      <c r="Q93" s="2642"/>
      <c r="R93" s="554"/>
      <c r="S93" s="314"/>
      <c r="T93" s="314"/>
      <c r="U93" s="314"/>
      <c r="V93" s="314"/>
      <c r="AE93" s="1218"/>
      <c r="AF93" s="1218"/>
      <c r="AG93" s="447"/>
      <c r="AH93" s="447"/>
      <c r="AI93" s="447"/>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row>
    <row r="94" spans="1:69" s="88" customFormat="1" ht="11.25" customHeight="1" x14ac:dyDescent="0.2">
      <c r="A94" s="698" t="str">
        <f t="shared" si="11"/>
        <v>Elektrizität Wärmepumpen, NT</v>
      </c>
      <c r="B94" s="699"/>
      <c r="C94" s="699"/>
      <c r="D94" s="1121"/>
      <c r="E94" s="2564">
        <f ca="1">IF(G94=0,0,OFFSET(Grunddaten!$AH$11,El_Produkt+3-2*$Q$64,0))/100</f>
        <v>0</v>
      </c>
      <c r="F94" s="2565"/>
      <c r="G94" s="2618">
        <f t="shared" ca="1" si="12"/>
        <v>0</v>
      </c>
      <c r="H94" s="2619"/>
      <c r="I94" s="2620"/>
      <c r="J94" s="2583">
        <f ca="1">$R$109*OFFSET(Grunddaten!$Q$11,El_Produkt,0)/100*G65</f>
        <v>0</v>
      </c>
      <c r="K94" s="2584"/>
      <c r="L94" s="2531">
        <f t="shared" ca="1" si="13"/>
        <v>0</v>
      </c>
      <c r="M94" s="2532"/>
      <c r="N94" s="2533"/>
      <c r="O94" s="294"/>
      <c r="P94" s="2643">
        <f ca="1">ROUND(NPV($J$9,S65:OFFSET(S65,0,$E$83-1)),-1)</f>
        <v>0</v>
      </c>
      <c r="Q94" s="2644"/>
      <c r="R94" s="554"/>
      <c r="S94" s="314"/>
      <c r="T94" s="314"/>
      <c r="U94" s="314"/>
      <c r="V94" s="314"/>
      <c r="AE94" s="1218"/>
      <c r="AF94" s="1218"/>
      <c r="AG94" s="447"/>
      <c r="AH94" s="447"/>
      <c r="AI94" s="447"/>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c r="BP94" s="382"/>
    </row>
    <row r="95" spans="1:69" s="88" customFormat="1" ht="11.25" customHeight="1" x14ac:dyDescent="0.2">
      <c r="A95" s="751" t="str">
        <f t="shared" si="11"/>
        <v>Netzrückspeisung erneuerbar, HT</v>
      </c>
      <c r="B95" s="752"/>
      <c r="C95" s="752"/>
      <c r="D95" s="1119"/>
      <c r="E95" s="2568">
        <f>IF(G95=0,0,Grunddaten!$AH29/100)</f>
        <v>0</v>
      </c>
      <c r="F95" s="2569"/>
      <c r="G95" s="2578">
        <f t="shared" si="12"/>
        <v>0</v>
      </c>
      <c r="H95" s="2579"/>
      <c r="I95" s="2580"/>
      <c r="J95" s="2581">
        <f>$R$109*Grunddaten!Q29/100*G66</f>
        <v>0</v>
      </c>
      <c r="K95" s="2582"/>
      <c r="L95" s="2525">
        <f t="shared" ca="1" si="13"/>
        <v>0</v>
      </c>
      <c r="M95" s="2526"/>
      <c r="N95" s="2527"/>
      <c r="O95" s="294"/>
      <c r="P95" s="2636">
        <f ca="1">ROUND(NPV($J$9,S66:OFFSET(S66,0,$E$83-1)),-1)</f>
        <v>0</v>
      </c>
      <c r="Q95" s="2637"/>
      <c r="R95" s="554"/>
      <c r="S95" s="314"/>
      <c r="T95" s="314"/>
      <c r="U95" s="314"/>
      <c r="V95" s="314"/>
      <c r="AE95" s="1218"/>
      <c r="AF95" s="1218"/>
      <c r="AG95" s="447"/>
      <c r="AH95" s="447"/>
      <c r="AI95" s="447"/>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c r="BP95" s="382"/>
    </row>
    <row r="96" spans="1:69" s="88" customFormat="1" ht="11.25" customHeight="1" x14ac:dyDescent="0.2">
      <c r="A96" s="698" t="str">
        <f t="shared" si="11"/>
        <v>Netzrückspeisung erneuerbar, NT</v>
      </c>
      <c r="B96" s="699"/>
      <c r="C96" s="699"/>
      <c r="D96" s="1121"/>
      <c r="E96" s="2564">
        <f>IF(G96=0,0,Grunddaten!$AH30/100)</f>
        <v>0</v>
      </c>
      <c r="F96" s="2565"/>
      <c r="G96" s="2618">
        <f t="shared" si="12"/>
        <v>0</v>
      </c>
      <c r="H96" s="2619"/>
      <c r="I96" s="2620"/>
      <c r="J96" s="2583">
        <f>$R$109*Grunddaten!Q29/100*G67</f>
        <v>0</v>
      </c>
      <c r="K96" s="2584"/>
      <c r="L96" s="2531">
        <f t="shared" ca="1" si="13"/>
        <v>0</v>
      </c>
      <c r="M96" s="2532"/>
      <c r="N96" s="2533"/>
      <c r="O96" s="294"/>
      <c r="P96" s="2636">
        <f ca="1">ROUND(NPV($J$9,S67:OFFSET(S67,0,$E$83-1)),-1)</f>
        <v>0</v>
      </c>
      <c r="Q96" s="2637"/>
      <c r="R96" s="554"/>
      <c r="S96" s="314"/>
      <c r="T96" s="314"/>
      <c r="U96" s="314"/>
      <c r="V96" s="314"/>
      <c r="AE96" s="1218"/>
      <c r="AF96" s="1218"/>
      <c r="AG96" s="447"/>
      <c r="AH96" s="447"/>
      <c r="AI96" s="447"/>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row>
    <row r="97" spans="1:74" s="88" customFormat="1" ht="11.25" customHeight="1" x14ac:dyDescent="0.2">
      <c r="A97" s="751" t="str">
        <f t="shared" si="11"/>
        <v>Netzrückspeisung nicht erneuerbar, HT</v>
      </c>
      <c r="B97" s="752"/>
      <c r="C97" s="752"/>
      <c r="D97" s="1119"/>
      <c r="E97" s="2568">
        <f>IF(G97=0,0,Grunddaten!$AH31/100)</f>
        <v>0</v>
      </c>
      <c r="F97" s="2569"/>
      <c r="G97" s="2578">
        <f t="shared" si="12"/>
        <v>0</v>
      </c>
      <c r="H97" s="2579"/>
      <c r="I97" s="2580"/>
      <c r="J97" s="2581">
        <f>$R$109*Grunddaten!Q31/100*G68</f>
        <v>0</v>
      </c>
      <c r="K97" s="2582"/>
      <c r="L97" s="2525">
        <f t="shared" ca="1" si="13"/>
        <v>0</v>
      </c>
      <c r="M97" s="2526"/>
      <c r="N97" s="2527"/>
      <c r="O97" s="294"/>
      <c r="P97" s="2641">
        <f ca="1">ROUND(NPV($J$9,S68:OFFSET(S68,0,$E$83-1)),-1)</f>
        <v>0</v>
      </c>
      <c r="Q97" s="2642"/>
      <c r="R97" s="554"/>
      <c r="S97" s="314"/>
      <c r="T97" s="314"/>
      <c r="U97" s="314"/>
      <c r="V97" s="314"/>
      <c r="AE97" s="1218"/>
      <c r="AF97" s="1218"/>
      <c r="AG97" s="447"/>
      <c r="AH97" s="447"/>
      <c r="AI97" s="447"/>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row>
    <row r="98" spans="1:74" s="88" customFormat="1" ht="11.25" customHeight="1" x14ac:dyDescent="0.2">
      <c r="A98" s="698" t="str">
        <f t="shared" si="11"/>
        <v>Netzrückspeisung nicht erneuerbar, NT</v>
      </c>
      <c r="B98" s="699"/>
      <c r="C98" s="699"/>
      <c r="D98" s="1121"/>
      <c r="E98" s="2564">
        <f>IF(G98=0,0,Grunddaten!$AH32/100)</f>
        <v>0</v>
      </c>
      <c r="F98" s="2565"/>
      <c r="G98" s="2618">
        <f t="shared" si="12"/>
        <v>0</v>
      </c>
      <c r="H98" s="2619"/>
      <c r="I98" s="2620"/>
      <c r="J98" s="2583">
        <f>$R$109*Grunddaten!Q31/100*G69</f>
        <v>0</v>
      </c>
      <c r="K98" s="2584"/>
      <c r="L98" s="2531">
        <f t="shared" ca="1" si="13"/>
        <v>0</v>
      </c>
      <c r="M98" s="2532"/>
      <c r="N98" s="2533"/>
      <c r="O98" s="294"/>
      <c r="P98" s="2643">
        <f ca="1">ROUND(NPV($J$9,S69:OFFSET(S69,0,$E$83-1)),-1)</f>
        <v>0</v>
      </c>
      <c r="Q98" s="2644"/>
      <c r="R98" s="554"/>
      <c r="S98" s="314"/>
      <c r="T98" s="314"/>
      <c r="U98" s="314"/>
      <c r="V98" s="314"/>
      <c r="AE98" s="1218"/>
      <c r="AF98" s="1218"/>
      <c r="AG98" s="447"/>
      <c r="AH98" s="447"/>
      <c r="AI98" s="447"/>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row>
    <row r="99" spans="1:74" s="88" customFormat="1" ht="11.25" customHeight="1" x14ac:dyDescent="0.2">
      <c r="A99" s="753" t="str">
        <f t="shared" si="11"/>
        <v>Holzpellets</v>
      </c>
      <c r="B99" s="754"/>
      <c r="C99" s="754"/>
      <c r="D99" s="1118"/>
      <c r="E99" s="2589">
        <f ca="1">IF(G99=0,0,Grunddaten!$AH45/100)</f>
        <v>0</v>
      </c>
      <c r="F99" s="2590"/>
      <c r="G99" s="2591">
        <f t="shared" ca="1" si="12"/>
        <v>0</v>
      </c>
      <c r="H99" s="2592"/>
      <c r="I99" s="2593"/>
      <c r="J99" s="2477">
        <f ca="1">$R$109*Grunddaten!Q45/100*G70</f>
        <v>0</v>
      </c>
      <c r="K99" s="2478"/>
      <c r="L99" s="2645">
        <f t="shared" ca="1" si="13"/>
        <v>0</v>
      </c>
      <c r="M99" s="2646"/>
      <c r="N99" s="2647"/>
      <c r="O99" s="294"/>
      <c r="P99" s="2638">
        <f ca="1">ROUND(NPV($J$9,S70:OFFSET(S70,0,$E$83-1)),-1)</f>
        <v>0</v>
      </c>
      <c r="Q99" s="2639"/>
      <c r="R99" s="554"/>
      <c r="S99" s="314"/>
      <c r="T99" s="314"/>
      <c r="U99" s="314"/>
      <c r="V99" s="314"/>
      <c r="AE99" s="1218"/>
      <c r="AF99" s="1218"/>
      <c r="AG99" s="447"/>
      <c r="AH99" s="447"/>
      <c r="AI99" s="447"/>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row>
    <row r="100" spans="1:74" s="88" customFormat="1" ht="11.25" customHeight="1" x14ac:dyDescent="0.2">
      <c r="A100" s="753" t="str">
        <f t="shared" si="11"/>
        <v>Holzschnitzel</v>
      </c>
      <c r="B100" s="754"/>
      <c r="C100" s="754"/>
      <c r="D100" s="1118"/>
      <c r="E100" s="2589">
        <f ca="1">IF(G100=0,0,Grunddaten!$AH46/100)</f>
        <v>0</v>
      </c>
      <c r="F100" s="2590"/>
      <c r="G100" s="2591">
        <f t="shared" ca="1" si="12"/>
        <v>0</v>
      </c>
      <c r="H100" s="2592"/>
      <c r="I100" s="2593"/>
      <c r="J100" s="2477">
        <f ca="1">$R$109*Grunddaten!Q46/100*G71</f>
        <v>0</v>
      </c>
      <c r="K100" s="2478"/>
      <c r="L100" s="2645">
        <f t="shared" ca="1" si="13"/>
        <v>0</v>
      </c>
      <c r="M100" s="2646"/>
      <c r="N100" s="2647"/>
      <c r="O100" s="294"/>
      <c r="P100" s="2638">
        <f ca="1">ROUND(NPV($J$9,S71:OFFSET(S71,0,$E$83-1)),-1)</f>
        <v>0</v>
      </c>
      <c r="Q100" s="2639"/>
      <c r="R100" s="554"/>
      <c r="S100" s="314"/>
      <c r="T100" s="314"/>
      <c r="U100" s="314"/>
      <c r="V100" s="314"/>
      <c r="AE100" s="1218"/>
      <c r="AF100" s="1218"/>
      <c r="AG100" s="447"/>
      <c r="AH100" s="447"/>
      <c r="AI100" s="447"/>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row>
    <row r="101" spans="1:74" s="88" customFormat="1" ht="11.25" customHeight="1" x14ac:dyDescent="0.2">
      <c r="A101" s="753" t="str">
        <f t="shared" ref="A101:A107" si="14">A72</f>
        <v>Biogas</v>
      </c>
      <c r="B101" s="754"/>
      <c r="C101" s="754"/>
      <c r="D101" s="1118"/>
      <c r="E101" s="2700">
        <f ca="1">IF(G101=0,0,VLOOKUP(Projektdaten!G24,Grunddaten!C47:AI48,32,FALSE)/100)</f>
        <v>0</v>
      </c>
      <c r="F101" s="2701"/>
      <c r="G101" s="2591">
        <f t="shared" ca="1" si="12"/>
        <v>0</v>
      </c>
      <c r="H101" s="2592"/>
      <c r="I101" s="2593"/>
      <c r="J101" s="2477">
        <f ca="1">$R$109*VLOOKUP(Projektdaten!G24,Grunddaten!C47:AI48,15,FALSE)/100*G72</f>
        <v>0</v>
      </c>
      <c r="K101" s="2478"/>
      <c r="L101" s="2645">
        <f t="shared" ca="1" si="13"/>
        <v>0</v>
      </c>
      <c r="M101" s="2646"/>
      <c r="N101" s="2647"/>
      <c r="O101" s="294"/>
      <c r="P101" s="2638">
        <f ca="1">ROUND(NPV($J$9,S72:OFFSET(S72,0,$E$83-1)),-1)</f>
        <v>0</v>
      </c>
      <c r="Q101" s="2639"/>
      <c r="R101" s="554"/>
      <c r="S101" s="314"/>
      <c r="T101" s="314"/>
      <c r="U101" s="314"/>
      <c r="V101" s="314"/>
      <c r="AE101" s="1218"/>
      <c r="AF101" s="1218"/>
      <c r="AG101" s="447"/>
      <c r="AH101" s="447"/>
      <c r="AI101" s="447"/>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row>
    <row r="102" spans="1:74" s="88" customFormat="1" ht="11.25" customHeight="1" x14ac:dyDescent="0.2">
      <c r="A102" s="753" t="str">
        <f t="shared" si="14"/>
        <v>Erdgas</v>
      </c>
      <c r="B102" s="754"/>
      <c r="C102" s="754"/>
      <c r="D102" s="1118"/>
      <c r="E102" s="2589">
        <f ca="1">IF(G102=0,0,Grunddaten!$AH49/100)</f>
        <v>0</v>
      </c>
      <c r="F102" s="2590"/>
      <c r="G102" s="2591">
        <f t="shared" ca="1" si="12"/>
        <v>0</v>
      </c>
      <c r="H102" s="2592"/>
      <c r="I102" s="2593"/>
      <c r="J102" s="2477">
        <f ca="1">$R$109*Grunddaten!Q49/100*G73</f>
        <v>0</v>
      </c>
      <c r="K102" s="2478"/>
      <c r="L102" s="2645">
        <f t="shared" ca="1" si="13"/>
        <v>0</v>
      </c>
      <c r="M102" s="2646"/>
      <c r="N102" s="2647"/>
      <c r="O102" s="294"/>
      <c r="P102" s="2638">
        <f ca="1">ROUND(NPV($J$9,S73:OFFSET(S73,0,$E$83-1)),-1)</f>
        <v>0</v>
      </c>
      <c r="Q102" s="2639"/>
      <c r="R102" s="554"/>
      <c r="S102" s="314"/>
      <c r="T102" s="314"/>
      <c r="U102" s="314"/>
      <c r="V102" s="314"/>
      <c r="AE102" s="1218"/>
      <c r="AF102" s="1218"/>
      <c r="AG102" s="447"/>
      <c r="AH102" s="447"/>
      <c r="AI102" s="447"/>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row>
    <row r="103" spans="1:74" s="88" customFormat="1" ht="11.25" customHeight="1" x14ac:dyDescent="0.2">
      <c r="A103" s="753" t="str">
        <f t="shared" si="14"/>
        <v>Heizöl EL</v>
      </c>
      <c r="B103" s="754"/>
      <c r="C103" s="754"/>
      <c r="D103" s="1118"/>
      <c r="E103" s="2589">
        <f ca="1">IF(G103=0,0,Grunddaten!$AH50/100)</f>
        <v>0</v>
      </c>
      <c r="F103" s="2590"/>
      <c r="G103" s="2591">
        <f t="shared" ca="1" si="12"/>
        <v>0</v>
      </c>
      <c r="H103" s="2592"/>
      <c r="I103" s="2593"/>
      <c r="J103" s="2477">
        <f ca="1">$R$109*Grunddaten!Q50/100*G74</f>
        <v>0</v>
      </c>
      <c r="K103" s="2478"/>
      <c r="L103" s="2645">
        <f t="shared" ca="1" si="13"/>
        <v>0</v>
      </c>
      <c r="M103" s="2646"/>
      <c r="N103" s="2647"/>
      <c r="O103" s="294"/>
      <c r="P103" s="2638">
        <f ca="1">ROUND(NPV($J$9,S74:OFFSET(S74,0,$E$83-1)),-1)</f>
        <v>0</v>
      </c>
      <c r="Q103" s="2639"/>
      <c r="R103" s="554"/>
      <c r="S103" s="314"/>
      <c r="T103" s="314"/>
      <c r="U103" s="314"/>
      <c r="V103" s="314"/>
      <c r="AE103" s="1218"/>
      <c r="AF103" s="1218"/>
      <c r="AG103" s="447"/>
      <c r="AH103" s="447"/>
      <c r="AI103" s="447"/>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row>
    <row r="104" spans="1:74" s="88" customFormat="1" ht="11.25" customHeight="1" x14ac:dyDescent="0.2">
      <c r="A104" s="753" t="str">
        <f t="shared" si="14"/>
        <v>Brennstoff XY</v>
      </c>
      <c r="B104" s="754"/>
      <c r="C104" s="754"/>
      <c r="D104" s="1118"/>
      <c r="E104" s="2589">
        <f ca="1">IF(G104=0,0,Grunddaten!$AH51/100)</f>
        <v>0</v>
      </c>
      <c r="F104" s="2590"/>
      <c r="G104" s="2591">
        <f t="shared" ca="1" si="12"/>
        <v>0</v>
      </c>
      <c r="H104" s="2592"/>
      <c r="I104" s="2593"/>
      <c r="J104" s="2477">
        <f ca="1">$R$109*Grunddaten!Q51/100*G75</f>
        <v>0</v>
      </c>
      <c r="K104" s="2478"/>
      <c r="L104" s="2645">
        <f t="shared" ca="1" si="13"/>
        <v>0</v>
      </c>
      <c r="M104" s="2646"/>
      <c r="N104" s="2647"/>
      <c r="O104" s="294"/>
      <c r="P104" s="2638">
        <f ca="1">ROUND(NPV($J$9,S75:OFFSET(S75,0,$E$83-1)),-1)</f>
        <v>0</v>
      </c>
      <c r="Q104" s="2639"/>
      <c r="R104" s="554"/>
      <c r="S104" s="314"/>
      <c r="T104" s="314"/>
      <c r="U104" s="314"/>
      <c r="V104" s="314"/>
      <c r="AE104" s="1218"/>
      <c r="AF104" s="1218"/>
      <c r="AG104" s="447"/>
      <c r="AH104" s="447"/>
      <c r="AI104" s="447"/>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row>
    <row r="105" spans="1:74" s="88" customFormat="1" ht="11.25" customHeight="1" x14ac:dyDescent="0.2">
      <c r="A105" s="751" t="str">
        <f t="shared" si="14"/>
        <v>Fernwärme</v>
      </c>
      <c r="B105" s="752"/>
      <c r="C105" s="752"/>
      <c r="D105" s="1120"/>
      <c r="E105" s="2614">
        <f ca="1">IF(G105=0,0,OFFSET(Grunddaten!$AH$52,FW_Produkt,0))/100</f>
        <v>0</v>
      </c>
      <c r="F105" s="2615"/>
      <c r="G105" s="2578">
        <f t="shared" ca="1" si="12"/>
        <v>0</v>
      </c>
      <c r="H105" s="2579"/>
      <c r="I105" s="2580"/>
      <c r="J105" s="2581">
        <f ca="1">$R$109*OFFSET(Grunddaten!$Q$52,FW_Produkt,0)/100*G76</f>
        <v>0</v>
      </c>
      <c r="K105" s="2582"/>
      <c r="L105" s="2525">
        <f t="shared" ca="1" si="13"/>
        <v>0</v>
      </c>
      <c r="M105" s="2526"/>
      <c r="N105" s="2527"/>
      <c r="O105" s="294"/>
      <c r="P105" s="2638">
        <f ca="1">ROUND(NPV($J$9,S76:OFFSET(S76,0,$E$83-1)),-1)</f>
        <v>0</v>
      </c>
      <c r="Q105" s="2639"/>
      <c r="R105" s="554"/>
      <c r="S105" s="314"/>
      <c r="T105" s="314"/>
      <c r="U105" s="314"/>
      <c r="V105" s="314"/>
      <c r="AE105" s="1218"/>
      <c r="AF105" s="1218"/>
      <c r="AG105" s="447"/>
      <c r="AH105" s="447"/>
      <c r="AI105" s="447"/>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row>
    <row r="106" spans="1:74" s="88" customFormat="1" ht="11.25" customHeight="1" x14ac:dyDescent="0.2">
      <c r="A106" s="753" t="str">
        <f t="shared" si="14"/>
        <v>Wärmeverbund XY</v>
      </c>
      <c r="B106" s="754"/>
      <c r="C106" s="754"/>
      <c r="D106" s="1260"/>
      <c r="E106" s="2589">
        <f ca="1">IF(G106=0,0,Grunddaten!$AH55/100)</f>
        <v>0</v>
      </c>
      <c r="F106" s="2590"/>
      <c r="G106" s="2591">
        <f t="shared" ca="1" si="12"/>
        <v>0</v>
      </c>
      <c r="H106" s="2592"/>
      <c r="I106" s="2593"/>
      <c r="J106" s="2477">
        <f ca="1">$R$109*Grunddaten!Q55/100*G77</f>
        <v>0</v>
      </c>
      <c r="K106" s="2478"/>
      <c r="L106" s="2645">
        <f t="shared" ca="1" si="13"/>
        <v>0</v>
      </c>
      <c r="M106" s="2646"/>
      <c r="N106" s="2647"/>
      <c r="O106" s="294"/>
      <c r="P106" s="2638">
        <f ca="1">ROUND(NPV($J$9,S77:OFFSET(S77,0,$E$83-1)),-1)</f>
        <v>0</v>
      </c>
      <c r="Q106" s="2639"/>
      <c r="R106" s="554"/>
      <c r="S106" s="314"/>
      <c r="T106" s="314"/>
      <c r="U106" s="314"/>
      <c r="V106" s="314"/>
      <c r="AE106" s="1218"/>
      <c r="AF106" s="1218"/>
      <c r="AG106" s="447"/>
      <c r="AH106" s="447"/>
      <c r="AI106" s="447"/>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row>
    <row r="107" spans="1:74" s="88" customFormat="1" ht="11.25" customHeight="1" x14ac:dyDescent="0.2">
      <c r="A107" s="753" t="str">
        <f t="shared" si="14"/>
        <v>Kälteverbund XY</v>
      </c>
      <c r="B107" s="754"/>
      <c r="C107" s="754"/>
      <c r="D107" s="1260"/>
      <c r="E107" s="2589">
        <f ca="1">IF(G107=0,0,Grunddaten!$AH56/100)</f>
        <v>0</v>
      </c>
      <c r="F107" s="2590"/>
      <c r="G107" s="2591">
        <f t="shared" ca="1" si="12"/>
        <v>0</v>
      </c>
      <c r="H107" s="2592"/>
      <c r="I107" s="2593"/>
      <c r="J107" s="2477">
        <f ca="1">$R$109*Grunddaten!Q56/100*G78</f>
        <v>0</v>
      </c>
      <c r="K107" s="2478"/>
      <c r="L107" s="2645">
        <f t="shared" ca="1" si="13"/>
        <v>0</v>
      </c>
      <c r="M107" s="2646"/>
      <c r="N107" s="2647"/>
      <c r="O107" s="294"/>
      <c r="P107" s="2648">
        <f ca="1">ROUND(NPV($J$9,S78:OFFSET(S78,0,$E$83-1)),-1)</f>
        <v>0</v>
      </c>
      <c r="Q107" s="2649"/>
      <c r="R107" s="554"/>
      <c r="S107" s="314"/>
      <c r="T107" s="314"/>
      <c r="U107" s="314"/>
      <c r="V107" s="314"/>
      <c r="AE107" s="1218"/>
      <c r="AF107" s="1218"/>
      <c r="AG107" s="447"/>
      <c r="AH107" s="447"/>
      <c r="AI107" s="447"/>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row>
    <row r="108" spans="1:74" s="88" customFormat="1" ht="12.1" customHeight="1" x14ac:dyDescent="0.2">
      <c r="A108" s="756" t="s">
        <v>48</v>
      </c>
      <c r="B108" s="1391"/>
      <c r="C108" s="757"/>
      <c r="D108" s="757"/>
      <c r="E108" s="1066"/>
      <c r="F108" s="1067"/>
      <c r="G108" s="2575">
        <f ca="1">ROUND(SUM(G91:G107),-1)</f>
        <v>0</v>
      </c>
      <c r="H108" s="2576"/>
      <c r="I108" s="2577"/>
      <c r="J108" s="2466" t="s">
        <v>49</v>
      </c>
      <c r="K108" s="2467"/>
      <c r="L108" s="2575">
        <f ca="1">ROUND(SUM(L91:N107),-1)</f>
        <v>0</v>
      </c>
      <c r="M108" s="2576"/>
      <c r="N108" s="2664"/>
      <c r="O108" s="293"/>
      <c r="S108" s="382"/>
      <c r="AE108" s="1218"/>
      <c r="AF108" s="1218"/>
      <c r="AG108" s="447"/>
      <c r="AH108" s="447"/>
      <c r="AI108" s="447"/>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c r="BP108" s="382"/>
    </row>
    <row r="109" spans="1:74" s="88" customFormat="1" ht="12.1" customHeight="1" thickBot="1" x14ac:dyDescent="0.25">
      <c r="A109" s="755" t="s">
        <v>752</v>
      </c>
      <c r="B109" s="1392"/>
      <c r="C109" s="2704" t="str">
        <f>IF($R$109=1,"(berücksichtigt)","(nicht berücksichtigt)")</f>
        <v>(nicht berücksichtigt)</v>
      </c>
      <c r="D109" s="2704"/>
      <c r="E109" s="1068"/>
      <c r="F109" s="1068"/>
      <c r="G109" s="1524"/>
      <c r="H109" s="1524"/>
      <c r="I109" s="1525"/>
      <c r="J109" s="2680">
        <f ca="1">$R$109*ROUND(SUM(J91:J107),-1)</f>
        <v>0</v>
      </c>
      <c r="K109" s="2588"/>
      <c r="L109" s="2665">
        <f ca="1">J109</f>
        <v>0</v>
      </c>
      <c r="M109" s="2666"/>
      <c r="N109" s="2667"/>
      <c r="O109" s="293"/>
      <c r="P109" s="546" t="s">
        <v>485</v>
      </c>
      <c r="Q109" s="547"/>
      <c r="R109" s="548">
        <f>Projektdaten!$T$29</f>
        <v>0</v>
      </c>
      <c r="S109" s="321" t="s">
        <v>486</v>
      </c>
      <c r="AE109" s="1218"/>
      <c r="AF109" s="1218"/>
      <c r="AG109" s="447"/>
      <c r="AH109" s="447"/>
      <c r="AI109" s="447"/>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c r="BP109" s="382"/>
    </row>
    <row r="110" spans="1:74" s="88" customFormat="1" ht="13.6" customHeight="1" thickBot="1" x14ac:dyDescent="0.25">
      <c r="A110" s="391" t="s">
        <v>47</v>
      </c>
      <c r="B110" s="91"/>
      <c r="C110" s="393"/>
      <c r="D110" s="393"/>
      <c r="E110" s="1465"/>
      <c r="F110" s="1465"/>
      <c r="G110" s="2606">
        <f ca="1">G88+G89+G108+J109</f>
        <v>0</v>
      </c>
      <c r="H110" s="2607"/>
      <c r="I110" s="2607"/>
      <c r="J110" s="2607"/>
      <c r="K110" s="2608"/>
      <c r="L110" s="2668">
        <f ca="1">ROUND(SUM(L88+L89+L108+L109),-1)</f>
        <v>0</v>
      </c>
      <c r="M110" s="2669"/>
      <c r="N110" s="2670"/>
      <c r="O110" s="293"/>
      <c r="P110" s="1238"/>
      <c r="R110" s="382"/>
      <c r="S110" s="382"/>
      <c r="AE110" s="1218"/>
      <c r="AF110" s="1218"/>
      <c r="AG110" s="447"/>
      <c r="AH110" s="447"/>
      <c r="AI110" s="447"/>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c r="BP110" s="382"/>
      <c r="BS110" s="314"/>
      <c r="BT110" s="314"/>
      <c r="BU110" s="314"/>
      <c r="BV110" s="821"/>
    </row>
    <row r="111" spans="1:74" s="172" customFormat="1" ht="5.95" customHeight="1" x14ac:dyDescent="0.2">
      <c r="A111" s="96" t="s">
        <v>12</v>
      </c>
      <c r="B111" s="96"/>
      <c r="C111" s="95"/>
      <c r="D111" s="95"/>
      <c r="E111" s="95"/>
      <c r="F111" s="95"/>
      <c r="G111" s="95"/>
      <c r="H111" s="171" t="s">
        <v>12</v>
      </c>
      <c r="I111" s="171"/>
      <c r="K111" s="173" t="s">
        <v>12</v>
      </c>
      <c r="L111" s="173"/>
      <c r="M111" s="173"/>
      <c r="N111" s="173"/>
      <c r="O111" s="87"/>
      <c r="P111" s="87"/>
      <c r="Q111" s="1178"/>
      <c r="R111" s="83"/>
      <c r="S111" s="381"/>
      <c r="T111" s="381"/>
      <c r="U111" s="83"/>
      <c r="V111" s="83"/>
      <c r="W111" s="83"/>
      <c r="X111" s="83"/>
      <c r="Y111" s="83"/>
      <c r="Z111" s="83"/>
      <c r="AA111" s="83"/>
      <c r="AB111" s="83"/>
      <c r="AC111" s="83"/>
      <c r="AD111" s="1178"/>
      <c r="AE111" s="1178"/>
      <c r="AF111" s="1178"/>
      <c r="AG111" s="1178"/>
      <c r="AH111" s="380"/>
      <c r="AI111" s="380"/>
      <c r="AJ111" s="380"/>
      <c r="AK111" s="381"/>
      <c r="AL111" s="381"/>
      <c r="AM111" s="381"/>
      <c r="AN111" s="381"/>
      <c r="AO111" s="381"/>
      <c r="AP111" s="381"/>
      <c r="AQ111" s="381"/>
      <c r="AR111" s="381"/>
      <c r="AS111" s="381"/>
      <c r="AT111" s="381"/>
      <c r="AU111" s="381"/>
      <c r="AV111" s="381"/>
      <c r="AW111" s="381"/>
      <c r="AX111" s="381"/>
      <c r="AY111" s="381"/>
      <c r="AZ111" s="381"/>
      <c r="BA111" s="381"/>
      <c r="BB111" s="381"/>
      <c r="BC111" s="381"/>
      <c r="BD111" s="381"/>
      <c r="BE111" s="381"/>
      <c r="BF111" s="381"/>
      <c r="BG111" s="381"/>
      <c r="BH111" s="381"/>
      <c r="BI111" s="381"/>
      <c r="BJ111" s="381"/>
      <c r="BK111" s="381"/>
      <c r="BL111" s="381"/>
      <c r="BM111" s="381"/>
      <c r="BN111" s="381"/>
      <c r="BO111" s="381"/>
      <c r="BP111" s="381"/>
      <c r="BQ111" s="381"/>
      <c r="BR111" s="83"/>
      <c r="BS111" s="314"/>
      <c r="BT111" s="314"/>
      <c r="BU111" s="314"/>
      <c r="BV111" s="821"/>
    </row>
    <row r="112" spans="1:74" s="84" customFormat="1" ht="17.350000000000001" customHeight="1" x14ac:dyDescent="0.25">
      <c r="A112" s="107" t="s">
        <v>478</v>
      </c>
      <c r="B112" s="107"/>
      <c r="D112" s="1379"/>
      <c r="E112" s="1379" t="str">
        <f>$D$88</f>
        <v>(Förderbeiträge berücksichtigen)</v>
      </c>
      <c r="F112" s="102"/>
      <c r="G112" s="102"/>
      <c r="H112" s="83"/>
      <c r="I112" s="83"/>
      <c r="J112" s="83"/>
      <c r="K112" s="101"/>
      <c r="L112" s="101"/>
      <c r="M112" s="101"/>
      <c r="N112" s="101"/>
      <c r="O112" s="101"/>
      <c r="P112" s="1239" t="s">
        <v>474</v>
      </c>
      <c r="S112" s="381"/>
      <c r="T112" s="381"/>
      <c r="U112" s="381"/>
      <c r="V112" s="381"/>
      <c r="W112" s="381"/>
      <c r="X112" s="381"/>
      <c r="AB112" s="1240"/>
      <c r="AC112" s="1178"/>
      <c r="AD112" s="1178"/>
      <c r="AE112" s="1178"/>
      <c r="AF112" s="1178"/>
      <c r="AG112" s="1178"/>
      <c r="AH112" s="380"/>
      <c r="AI112" s="380"/>
      <c r="AJ112" s="380"/>
      <c r="AK112" s="381"/>
      <c r="AL112" s="381"/>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c r="BP112" s="381"/>
      <c r="BQ112" s="381"/>
      <c r="BS112" s="314"/>
      <c r="BT112" s="314"/>
      <c r="BU112" s="314"/>
      <c r="BV112" s="821"/>
    </row>
    <row r="113" spans="1:74" s="84" customFormat="1" ht="2.25" customHeight="1" thickBot="1" x14ac:dyDescent="0.25">
      <c r="A113" s="94"/>
      <c r="B113" s="94"/>
      <c r="C113" s="100"/>
      <c r="D113" s="100"/>
      <c r="E113" s="100"/>
      <c r="F113" s="100"/>
      <c r="G113" s="101"/>
      <c r="H113" s="86"/>
      <c r="I113" s="86"/>
      <c r="J113" s="86"/>
      <c r="K113" s="86"/>
      <c r="L113" s="86"/>
      <c r="M113" s="86"/>
      <c r="N113" s="86"/>
      <c r="O113" s="86"/>
      <c r="Q113" s="1178"/>
      <c r="S113" s="381"/>
      <c r="T113" s="381"/>
      <c r="U113" s="381"/>
      <c r="V113" s="381"/>
      <c r="W113" s="381"/>
      <c r="X113" s="381"/>
      <c r="AB113" s="1178"/>
      <c r="AC113" s="1178"/>
      <c r="AD113" s="1178"/>
      <c r="AE113" s="1178"/>
      <c r="AF113" s="1178"/>
      <c r="AG113" s="1178"/>
      <c r="AH113" s="380"/>
      <c r="AI113" s="380"/>
      <c r="AJ113" s="380"/>
      <c r="AK113" s="381"/>
      <c r="AL113" s="381"/>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381"/>
      <c r="BK113" s="381"/>
      <c r="BL113" s="381"/>
      <c r="BM113" s="381"/>
      <c r="BN113" s="381"/>
      <c r="BO113" s="381"/>
      <c r="BP113" s="381"/>
      <c r="BQ113" s="381"/>
      <c r="BS113" s="314"/>
      <c r="BT113" s="314"/>
      <c r="BU113" s="314"/>
      <c r="BV113" s="821"/>
    </row>
    <row r="114" spans="1:74" s="84" customFormat="1" ht="12.9" customHeight="1" thickBot="1" x14ac:dyDescent="0.25">
      <c r="A114" s="388"/>
      <c r="B114" s="99"/>
      <c r="C114" s="2441" t="s">
        <v>480</v>
      </c>
      <c r="D114" s="2442"/>
      <c r="E114" s="2442"/>
      <c r="F114" s="2443"/>
      <c r="G114" s="2441" t="s">
        <v>678</v>
      </c>
      <c r="H114" s="2442"/>
      <c r="I114" s="2442"/>
      <c r="J114" s="2442"/>
      <c r="K114" s="2442"/>
      <c r="L114" s="2442"/>
      <c r="M114" s="2442"/>
      <c r="N114" s="2679"/>
      <c r="O114" s="314"/>
      <c r="P114" s="1241" t="s">
        <v>475</v>
      </c>
      <c r="Q114" s="381"/>
      <c r="R114" s="381"/>
      <c r="S114" s="381"/>
      <c r="T114" s="381"/>
      <c r="U114" s="381"/>
      <c r="V114" s="381"/>
      <c r="W114" s="381"/>
      <c r="AA114" s="1178"/>
      <c r="AB114" s="1178"/>
      <c r="AC114" s="1178"/>
      <c r="AD114" s="1178"/>
      <c r="AE114" s="1178"/>
      <c r="AF114" s="380"/>
      <c r="AG114" s="380"/>
      <c r="AH114" s="380"/>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c r="BS114" s="314"/>
      <c r="BT114" s="314"/>
      <c r="BU114" s="314"/>
      <c r="BV114" s="821"/>
    </row>
    <row r="115" spans="1:74" s="84" customFormat="1" ht="12.9" customHeight="1" thickBot="1" x14ac:dyDescent="0.25">
      <c r="A115" s="507"/>
      <c r="B115" s="98"/>
      <c r="C115" s="2444" t="s">
        <v>32</v>
      </c>
      <c r="D115" s="2445"/>
      <c r="E115" s="2445"/>
      <c r="F115" s="2446"/>
      <c r="G115" s="2444" t="s">
        <v>472</v>
      </c>
      <c r="H115" s="2445"/>
      <c r="I115" s="2446"/>
      <c r="J115" s="2672" t="s">
        <v>473</v>
      </c>
      <c r="K115" s="2672"/>
      <c r="L115" s="2671" t="s">
        <v>452</v>
      </c>
      <c r="M115" s="2672"/>
      <c r="N115" s="2673"/>
      <c r="O115" s="314"/>
      <c r="P115" s="505">
        <f>SUM(P116:P118)</f>
        <v>0</v>
      </c>
      <c r="Q115" s="503">
        <v>2</v>
      </c>
      <c r="R115" s="503">
        <v>3</v>
      </c>
      <c r="S115" s="503">
        <v>4</v>
      </c>
      <c r="T115" s="503">
        <v>5</v>
      </c>
      <c r="U115" s="503">
        <v>6</v>
      </c>
      <c r="V115" s="504">
        <v>7</v>
      </c>
      <c r="W115" s="381"/>
      <c r="AA115" s="1178"/>
      <c r="AB115" s="1178"/>
      <c r="AC115" s="1178"/>
      <c r="AD115" s="1178"/>
      <c r="AE115" s="1178"/>
      <c r="AF115" s="380"/>
      <c r="AG115" s="380"/>
      <c r="AH115" s="380"/>
      <c r="AI115" s="381"/>
      <c r="AJ115" s="381"/>
      <c r="AK115" s="381"/>
      <c r="AL115" s="381"/>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c r="BS115" s="314"/>
      <c r="BT115" s="314"/>
      <c r="BU115" s="314"/>
      <c r="BV115" s="821"/>
    </row>
    <row r="116" spans="1:74" s="84" customFormat="1" ht="12.9" customHeight="1" x14ac:dyDescent="0.2">
      <c r="A116" s="518" t="s">
        <v>469</v>
      </c>
      <c r="B116" s="1393"/>
      <c r="C116" s="2542">
        <f>SUM(EV_Var2!$M$10:$M$39,EV_Var2!$M$43,EV_Var2!$M$47,EV_Var2!$M$58,EV_Var2!$R$58)</f>
        <v>0</v>
      </c>
      <c r="D116" s="2543"/>
      <c r="E116" s="2543"/>
      <c r="F116" s="2544"/>
      <c r="G116" s="2594" t="str">
        <f>IF(C116=0,"",IF(OR($P$115=0,NOT(ISBLANK(J116))),$L$119,HLOOKUP($P$115,$Q$115:$V$118,2,FALSE)))</f>
        <v/>
      </c>
      <c r="H116" s="2595"/>
      <c r="I116" s="2596"/>
      <c r="J116" s="2683"/>
      <c r="K116" s="2684"/>
      <c r="L116" s="2689" t="str">
        <f>IF(ISBLANK(J116),G116,J116)</f>
        <v/>
      </c>
      <c r="M116" s="2690"/>
      <c r="N116" s="2691"/>
      <c r="O116" s="314"/>
      <c r="P116" s="1242">
        <f>IF(ISBLANK(J116),0,2)</f>
        <v>0</v>
      </c>
      <c r="Q116" s="501">
        <f>$J116*$C116/100</f>
        <v>0</v>
      </c>
      <c r="R116" s="494" t="e">
        <f ca="1">($L$110-SUM($J$91:$N$94)*$V$124-$R$117)/($C$116+$C$118)*100</f>
        <v>#DIV/0!</v>
      </c>
      <c r="S116" s="494" t="e">
        <f ca="1">($L$110-SUM($J$91:$N$94)*$V$124-$S$118)/($C$116+$C$117)*100</f>
        <v>#DIV/0!</v>
      </c>
      <c r="T116" s="502">
        <f>$J116*$C116/100</f>
        <v>0</v>
      </c>
      <c r="U116" s="499">
        <f>$J116*$C116/100</f>
        <v>0</v>
      </c>
      <c r="V116" s="495" t="e">
        <f ca="1">($L$110-SUM($J$91:$N$94)*$V$124-SUM($V$117,$V$118))/$C$116*100</f>
        <v>#DIV/0!</v>
      </c>
      <c r="W116" s="493"/>
      <c r="AA116" s="493"/>
      <c r="AB116" s="493"/>
      <c r="AC116" s="493"/>
      <c r="AD116" s="493"/>
      <c r="AE116" s="493"/>
      <c r="AF116" s="1178"/>
      <c r="AG116" s="380"/>
      <c r="AH116" s="380"/>
      <c r="AI116" s="380"/>
      <c r="AJ116" s="381"/>
      <c r="AK116" s="381"/>
      <c r="AL116" s="381"/>
      <c r="AM116" s="381"/>
      <c r="AN116" s="381"/>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1"/>
      <c r="BM116" s="381"/>
      <c r="BN116" s="381"/>
      <c r="BO116" s="381"/>
      <c r="BP116" s="381"/>
      <c r="BS116" s="314"/>
      <c r="BT116" s="314"/>
      <c r="BU116" s="314"/>
      <c r="BV116" s="821"/>
    </row>
    <row r="117" spans="1:74" s="84" customFormat="1" ht="12.9" customHeight="1" x14ac:dyDescent="0.2">
      <c r="A117" s="519" t="s">
        <v>470</v>
      </c>
      <c r="B117" s="1394"/>
      <c r="C117" s="2545">
        <f>SUM(EV_Var2!$M$41,EV_Var2!$M$45,EV_Var2!$M$49,EV_Var2!$M$52,EV_Var2!$M$55)</f>
        <v>0</v>
      </c>
      <c r="D117" s="2546"/>
      <c r="E117" s="2546"/>
      <c r="F117" s="2547"/>
      <c r="G117" s="2597" t="str">
        <f>IF(C117=0,"",IF(OR($P$115=0,NOT(ISBLANK(J117))),$L$119,HLOOKUP($P$115,$Q$115:$V$118,3,FALSE)))</f>
        <v/>
      </c>
      <c r="H117" s="2598"/>
      <c r="I117" s="2599"/>
      <c r="J117" s="2685"/>
      <c r="K117" s="2686"/>
      <c r="L117" s="2692" t="str">
        <f>IF(ISBLANK(J117),G117,J117)</f>
        <v/>
      </c>
      <c r="M117" s="2693"/>
      <c r="N117" s="2694"/>
      <c r="O117" s="314"/>
      <c r="P117" s="1243">
        <f>IF(ISBLANK(J117),0,3)</f>
        <v>0</v>
      </c>
      <c r="Q117" s="500" t="e">
        <f ca="1">($L$110-SUM($J$91:$N$94)*$V$124-$Q$116)/($C$117+$C$118)*100</f>
        <v>#DIV/0!</v>
      </c>
      <c r="R117" s="496">
        <f>$J117*$C117/100</f>
        <v>0</v>
      </c>
      <c r="S117" s="494" t="e">
        <f ca="1">S116</f>
        <v>#DIV/0!</v>
      </c>
      <c r="T117" s="498">
        <f>$J117*$C117/100</f>
        <v>0</v>
      </c>
      <c r="U117" s="495" t="e">
        <f ca="1">($L$110-SUM($J$91:$N$94)*$V$124-SUM($U$116,$U$118))/$C$117*100</f>
        <v>#DIV/0!</v>
      </c>
      <c r="V117" s="497">
        <f>$J117*$C117/100</f>
        <v>0</v>
      </c>
      <c r="W117" s="493"/>
      <c r="X117" s="101"/>
      <c r="Y117" s="101"/>
      <c r="Z117" s="101"/>
      <c r="AA117" s="493"/>
      <c r="AB117" s="493"/>
      <c r="AC117" s="493"/>
      <c r="AD117" s="493"/>
      <c r="AE117" s="493"/>
      <c r="AF117" s="1178"/>
      <c r="AG117" s="380"/>
      <c r="AH117" s="380"/>
      <c r="AI117" s="380"/>
      <c r="AJ117" s="381"/>
      <c r="AK117" s="381"/>
      <c r="AL117" s="38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c r="BS117" s="314"/>
      <c r="BT117" s="314"/>
      <c r="BU117" s="314"/>
      <c r="BV117" s="821"/>
    </row>
    <row r="118" spans="1:74" s="84" customFormat="1" ht="12.9" customHeight="1" x14ac:dyDescent="0.2">
      <c r="A118" s="511" t="s">
        <v>481</v>
      </c>
      <c r="B118" s="1387"/>
      <c r="C118" s="2548">
        <f>$T$129</f>
        <v>0</v>
      </c>
      <c r="D118" s="2549"/>
      <c r="E118" s="2549"/>
      <c r="F118" s="2550"/>
      <c r="G118" s="2600" t="str">
        <f>IF(C118=0,"",IF(OR($P$115=0,NOT(ISBLANK(J118))),$L$119,HLOOKUP($P$115,$Q$115:$V$118,4,FALSE)))</f>
        <v/>
      </c>
      <c r="H118" s="2601"/>
      <c r="I118" s="2602"/>
      <c r="J118" s="2687"/>
      <c r="K118" s="2688"/>
      <c r="L118" s="2661" t="str">
        <f>IF(ISBLANK(J118),G118,J118)</f>
        <v/>
      </c>
      <c r="M118" s="2662"/>
      <c r="N118" s="2663"/>
      <c r="O118" s="314"/>
      <c r="P118" s="1243">
        <f>IF(ISBLANK(J118),0,4)</f>
        <v>0</v>
      </c>
      <c r="Q118" s="488" t="e">
        <f ca="1">Q117</f>
        <v>#DIV/0!</v>
      </c>
      <c r="R118" s="489" t="e">
        <f ca="1">R116</f>
        <v>#DIV/0!</v>
      </c>
      <c r="S118" s="496">
        <f>$J118*$C118/100</f>
        <v>0</v>
      </c>
      <c r="T118" s="489" t="e">
        <f ca="1">($L$110-SUM($J$91:$N$94)*$V$124-SUM($T$116,$T$117))/$C$118*100</f>
        <v>#DIV/0!</v>
      </c>
      <c r="U118" s="499">
        <f>$J118*$C118/100</f>
        <v>0</v>
      </c>
      <c r="V118" s="499">
        <f>$J118*$C118/100</f>
        <v>0</v>
      </c>
      <c r="W118" s="493"/>
      <c r="X118" s="2695"/>
      <c r="Y118" s="2695"/>
      <c r="Z118" s="2695"/>
      <c r="AA118" s="493"/>
      <c r="AB118" s="493"/>
      <c r="AC118" s="493"/>
      <c r="AD118" s="493"/>
      <c r="AE118" s="493"/>
      <c r="AF118" s="1178"/>
      <c r="AG118" s="380"/>
      <c r="AH118" s="380"/>
      <c r="AI118" s="380"/>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c r="BS118" s="314"/>
      <c r="BT118" s="314"/>
      <c r="BU118" s="314"/>
      <c r="BV118" s="821"/>
    </row>
    <row r="119" spans="1:74" s="84" customFormat="1" ht="12.75" customHeight="1" thickBot="1" x14ac:dyDescent="0.25">
      <c r="A119" s="520" t="s">
        <v>491</v>
      </c>
      <c r="B119" s="1395"/>
      <c r="C119" s="2572">
        <f>SUM(C116:F118)</f>
        <v>0</v>
      </c>
      <c r="D119" s="2573"/>
      <c r="E119" s="2573"/>
      <c r="F119" s="2574"/>
      <c r="G119" s="2603">
        <f>$L119</f>
        <v>0</v>
      </c>
      <c r="H119" s="2604"/>
      <c r="I119" s="2605"/>
      <c r="J119" s="2681"/>
      <c r="K119" s="2682"/>
      <c r="L119" s="2676">
        <f>IF(C119=0,0,($L$110-SUM($J$91:$N$94)*$V$124)/$C$119*100)</f>
        <v>0</v>
      </c>
      <c r="M119" s="2677"/>
      <c r="N119" s="2678"/>
      <c r="O119" s="314"/>
      <c r="P119" s="493"/>
      <c r="Q119" s="493"/>
      <c r="R119" s="493"/>
      <c r="S119" s="493"/>
      <c r="T119" s="493"/>
      <c r="U119" s="493"/>
      <c r="V119" s="493"/>
      <c r="W119" s="493"/>
      <c r="X119" s="493"/>
      <c r="Y119" s="493"/>
      <c r="Z119" s="493"/>
      <c r="AA119" s="493"/>
      <c r="AB119" s="493"/>
      <c r="AC119" s="493"/>
      <c r="AD119" s="493"/>
      <c r="AE119" s="1178"/>
      <c r="AF119" s="380"/>
      <c r="AG119" s="380"/>
      <c r="AH119" s="380"/>
      <c r="AI119" s="381"/>
      <c r="AJ119" s="381"/>
      <c r="AK119" s="381"/>
      <c r="AL119" s="381"/>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row>
    <row r="120" spans="1:74" s="84" customFormat="1" ht="12.9" customHeight="1" x14ac:dyDescent="0.2">
      <c r="A120" s="534" t="s">
        <v>487</v>
      </c>
      <c r="B120" s="534"/>
      <c r="P120" s="1178"/>
      <c r="R120" s="381"/>
      <c r="S120" s="381"/>
      <c r="T120" s="381"/>
      <c r="U120" s="381"/>
      <c r="V120" s="381"/>
      <c r="W120" s="381"/>
      <c r="X120" s="381"/>
      <c r="Y120" s="381"/>
      <c r="Z120" s="381"/>
      <c r="AA120" s="1178"/>
      <c r="AB120" s="1178"/>
      <c r="AC120" s="1178"/>
      <c r="AD120" s="1178"/>
      <c r="AE120" s="1178"/>
      <c r="AF120" s="1178"/>
      <c r="AG120" s="380"/>
      <c r="AH120" s="380"/>
      <c r="AI120" s="380"/>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row>
    <row r="121" spans="1:74" s="381" customFormat="1" ht="12.9" customHeight="1" x14ac:dyDescent="0.2">
      <c r="N121" s="673"/>
      <c r="P121" s="1244" t="s">
        <v>483</v>
      </c>
      <c r="Q121" s="539"/>
      <c r="R121" s="539"/>
      <c r="S121" s="539"/>
      <c r="T121" s="539"/>
      <c r="U121" s="539"/>
      <c r="V121" s="539"/>
      <c r="AA121" s="1178"/>
      <c r="AB121" s="1178"/>
      <c r="AC121" s="1178"/>
      <c r="AD121" s="1178"/>
      <c r="AE121" s="1178"/>
      <c r="AF121" s="1178"/>
      <c r="AG121" s="380"/>
      <c r="AH121" s="380"/>
      <c r="AI121" s="380"/>
    </row>
    <row r="122" spans="1:74" s="381" customFormat="1" ht="12.9" customHeight="1" x14ac:dyDescent="0.2">
      <c r="N122" s="673"/>
      <c r="AA122" s="1178"/>
      <c r="AB122" s="1178"/>
      <c r="AC122" s="1178"/>
      <c r="AD122" s="1178"/>
      <c r="AE122" s="1178"/>
      <c r="AF122" s="1178"/>
      <c r="AG122" s="380"/>
      <c r="AH122" s="380"/>
      <c r="AI122" s="380"/>
    </row>
    <row r="123" spans="1:74" s="381" customFormat="1" ht="10.9" x14ac:dyDescent="0.2">
      <c r="N123" s="673"/>
      <c r="P123" s="789" t="s">
        <v>522</v>
      </c>
      <c r="Q123" s="790"/>
      <c r="R123" s="790"/>
      <c r="S123" s="790"/>
      <c r="AA123" s="1178"/>
      <c r="AB123" s="1178"/>
      <c r="AC123" s="1178"/>
      <c r="AD123" s="1178"/>
      <c r="AE123" s="1178"/>
      <c r="AF123" s="1178"/>
      <c r="AG123" s="380"/>
      <c r="AH123" s="380"/>
      <c r="AI123" s="380"/>
    </row>
    <row r="124" spans="1:74" s="381" customFormat="1" ht="10.9" x14ac:dyDescent="0.2">
      <c r="P124" s="536" t="s">
        <v>523</v>
      </c>
      <c r="T124" s="2869">
        <f>MAX(T126-T140,0)</f>
        <v>0</v>
      </c>
      <c r="U124" s="2869"/>
      <c r="V124" s="670">
        <f>IF(T126=0,0,T124/T126)</f>
        <v>0</v>
      </c>
      <c r="AA124" s="1178"/>
      <c r="AB124" s="1178"/>
      <c r="AC124" s="1178"/>
      <c r="AD124" s="1178"/>
      <c r="AE124" s="1178"/>
      <c r="AF124" s="1178"/>
      <c r="AG124" s="380"/>
      <c r="AH124" s="380"/>
      <c r="AI124" s="380"/>
    </row>
    <row r="125" spans="1:74" s="381" customFormat="1" ht="10.9" x14ac:dyDescent="0.2">
      <c r="P125" s="536" t="s">
        <v>524</v>
      </c>
      <c r="T125" s="2868">
        <f>MAX(T126-T124,0)</f>
        <v>0</v>
      </c>
      <c r="U125" s="2868"/>
      <c r="V125" s="793">
        <f>IF(T126=0,0,T125/T126)</f>
        <v>0</v>
      </c>
      <c r="AA125" s="1178"/>
      <c r="AB125" s="1178"/>
      <c r="AC125" s="1178"/>
      <c r="AD125" s="1178"/>
      <c r="AE125" s="1178"/>
      <c r="AF125" s="1178"/>
      <c r="AG125" s="380"/>
      <c r="AH125" s="380"/>
      <c r="AI125" s="380"/>
    </row>
    <row r="126" spans="1:74" s="381" customFormat="1" ht="10.9" x14ac:dyDescent="0.2">
      <c r="P126" s="791" t="s">
        <v>532</v>
      </c>
      <c r="Q126" s="792"/>
      <c r="R126" s="792"/>
      <c r="S126" s="792"/>
      <c r="T126" s="2870">
        <f>EV_Var2!$E$67</f>
        <v>0</v>
      </c>
      <c r="U126" s="2870"/>
      <c r="V126" s="794">
        <f>IF(T126=0,0,T126/T126)</f>
        <v>0</v>
      </c>
      <c r="AA126" s="1178"/>
      <c r="AB126" s="1178"/>
      <c r="AC126" s="1178"/>
      <c r="AD126" s="1178"/>
      <c r="AE126" s="1178"/>
      <c r="AF126" s="1178"/>
      <c r="AG126" s="380"/>
      <c r="AH126" s="380"/>
      <c r="AI126" s="380"/>
    </row>
    <row r="127" spans="1:74" s="381" customFormat="1" ht="10.9" x14ac:dyDescent="0.2">
      <c r="AA127" s="1178"/>
      <c r="AB127" s="1178"/>
      <c r="AC127" s="1178"/>
      <c r="AD127" s="1178"/>
      <c r="AE127" s="1178"/>
      <c r="AF127" s="1178"/>
      <c r="AG127" s="380"/>
      <c r="AH127" s="380"/>
      <c r="AI127" s="380"/>
    </row>
    <row r="128" spans="1:74" s="381" customFormat="1" ht="10.9" x14ac:dyDescent="0.2">
      <c r="P128" s="789" t="s">
        <v>525</v>
      </c>
      <c r="Q128" s="790"/>
      <c r="R128" s="790"/>
      <c r="S128" s="790"/>
      <c r="AA128" s="1178"/>
      <c r="AB128" s="1178"/>
      <c r="AC128" s="1178"/>
      <c r="AD128" s="1178"/>
      <c r="AE128" s="1178"/>
      <c r="AF128" s="1178"/>
      <c r="AG128" s="380"/>
      <c r="AH128" s="380"/>
      <c r="AI128" s="380"/>
    </row>
    <row r="129" spans="1:69" s="381" customFormat="1" ht="10.9" x14ac:dyDescent="0.2">
      <c r="P129" s="669" t="s">
        <v>534</v>
      </c>
      <c r="Q129" s="796"/>
      <c r="R129" s="796"/>
      <c r="S129" s="796"/>
      <c r="T129" s="2869">
        <f>IF(T124&gt;0,T132-T131,(T132-T131)-(T140-T125))</f>
        <v>0</v>
      </c>
      <c r="U129" s="2869"/>
      <c r="V129" s="672">
        <f>IF($T$132=0,0,T129/$T$132)</f>
        <v>0</v>
      </c>
      <c r="Z129" s="1203"/>
      <c r="AA129" s="1203"/>
      <c r="AB129" s="1178"/>
      <c r="AC129" s="1178"/>
      <c r="AD129" s="1178"/>
      <c r="AE129" s="1178"/>
      <c r="AF129" s="1178"/>
      <c r="AG129" s="380"/>
      <c r="AH129" s="380"/>
      <c r="AI129" s="380"/>
    </row>
    <row r="130" spans="1:69" s="381" customFormat="1" x14ac:dyDescent="0.2">
      <c r="A130" s="821"/>
      <c r="B130" s="1376"/>
      <c r="C130" s="821"/>
      <c r="D130" s="821"/>
      <c r="E130" s="821"/>
      <c r="F130" s="821"/>
      <c r="G130" s="821"/>
      <c r="H130" s="821"/>
      <c r="P130" s="536" t="s">
        <v>524</v>
      </c>
      <c r="Q130" s="535"/>
      <c r="R130" s="535"/>
      <c r="S130" s="535"/>
      <c r="T130" s="2871">
        <f>T131-T129</f>
        <v>0</v>
      </c>
      <c r="U130" s="2871"/>
      <c r="V130" s="1245">
        <f>IF($T$132=0,0,T130/$T$132)</f>
        <v>0</v>
      </c>
      <c r="Z130" s="1203"/>
      <c r="AA130" s="1203"/>
      <c r="AB130" s="1178"/>
      <c r="AC130" s="1178"/>
      <c r="AD130" s="1178"/>
      <c r="AE130" s="1178"/>
      <c r="AF130" s="1178"/>
      <c r="AG130" s="380"/>
      <c r="AH130" s="380"/>
      <c r="AI130" s="380"/>
    </row>
    <row r="131" spans="1:69" s="381" customFormat="1" x14ac:dyDescent="0.2">
      <c r="A131" s="821"/>
      <c r="B131" s="1376"/>
      <c r="C131" s="821"/>
      <c r="D131" s="821"/>
      <c r="E131" s="821"/>
      <c r="F131" s="821"/>
      <c r="G131" s="821"/>
      <c r="H131" s="821"/>
      <c r="P131" s="560" t="s">
        <v>526</v>
      </c>
      <c r="Q131" s="790"/>
      <c r="R131" s="790"/>
      <c r="S131" s="790"/>
      <c r="T131" s="2872">
        <f>EV_Var2!$M$73</f>
        <v>0</v>
      </c>
      <c r="U131" s="2872"/>
      <c r="V131" s="671">
        <f>IF($T$132=0,0,T131/$T$132)</f>
        <v>0</v>
      </c>
      <c r="Z131" s="1203"/>
      <c r="AA131" s="1203"/>
      <c r="AB131" s="1178"/>
      <c r="AC131" s="1178"/>
      <c r="AD131" s="1178"/>
      <c r="AE131" s="1178"/>
      <c r="AF131" s="1178"/>
      <c r="AG131" s="380"/>
      <c r="AH131" s="380"/>
      <c r="AI131" s="380"/>
    </row>
    <row r="132" spans="1:69" s="381" customFormat="1" x14ac:dyDescent="0.2">
      <c r="A132" s="821"/>
      <c r="B132" s="1376"/>
      <c r="C132" s="821"/>
      <c r="D132" s="821"/>
      <c r="E132" s="821"/>
      <c r="F132" s="821"/>
      <c r="G132" s="821"/>
      <c r="H132" s="821"/>
      <c r="P132" s="791" t="s">
        <v>529</v>
      </c>
      <c r="Q132" s="792"/>
      <c r="R132" s="792"/>
      <c r="S132" s="792"/>
      <c r="T132" s="2866">
        <f>EV_Var2!$M$70+EV_Var2!$M$60</f>
        <v>0</v>
      </c>
      <c r="U132" s="2866"/>
      <c r="V132" s="794">
        <f>IF($T$132=0,0,T132/$T$132)</f>
        <v>0</v>
      </c>
      <c r="Z132" s="1203"/>
      <c r="AA132" s="1203"/>
      <c r="AB132" s="1178"/>
      <c r="AC132" s="1178"/>
      <c r="AD132" s="1178"/>
      <c r="AE132" s="1178"/>
      <c r="AF132" s="1178"/>
      <c r="AG132" s="380"/>
      <c r="AH132" s="380"/>
      <c r="AI132" s="380"/>
    </row>
    <row r="133" spans="1:69" s="381" customFormat="1" x14ac:dyDescent="0.2">
      <c r="A133" s="821"/>
      <c r="B133" s="1376"/>
      <c r="C133" s="821"/>
      <c r="D133" s="821"/>
      <c r="E133" s="821"/>
      <c r="F133" s="821"/>
      <c r="G133" s="821"/>
      <c r="H133" s="821"/>
      <c r="P133" s="536"/>
      <c r="Q133" s="535"/>
      <c r="R133" s="535"/>
      <c r="S133" s="535"/>
      <c r="T133" s="1246"/>
      <c r="U133" s="1246"/>
      <c r="V133" s="797"/>
      <c r="Z133" s="1203"/>
      <c r="AA133" s="1203"/>
      <c r="AB133" s="1178"/>
      <c r="AC133" s="1178"/>
      <c r="AD133" s="1178"/>
      <c r="AE133" s="1178"/>
      <c r="AF133" s="1178"/>
      <c r="AG133" s="380"/>
      <c r="AH133" s="380"/>
      <c r="AI133" s="380"/>
    </row>
    <row r="134" spans="1:69" s="381" customFormat="1" x14ac:dyDescent="0.2">
      <c r="A134" s="821"/>
      <c r="B134" s="1376"/>
      <c r="C134" s="821"/>
      <c r="D134" s="821"/>
      <c r="E134" s="821"/>
      <c r="F134" s="821"/>
      <c r="G134" s="821"/>
      <c r="H134" s="821"/>
      <c r="P134" s="560" t="s">
        <v>530</v>
      </c>
      <c r="Q134" s="790"/>
      <c r="R134" s="790"/>
      <c r="S134" s="790"/>
      <c r="T134" s="2867">
        <f>T132-T131</f>
        <v>0</v>
      </c>
      <c r="U134" s="2867">
        <f>T132-T131</f>
        <v>0</v>
      </c>
      <c r="V134" s="671"/>
      <c r="AA134" s="1178"/>
      <c r="AB134" s="1178"/>
      <c r="AC134" s="1178"/>
      <c r="AD134" s="1178"/>
      <c r="AE134" s="1178"/>
      <c r="AF134" s="1178"/>
      <c r="AG134" s="380"/>
      <c r="AH134" s="380"/>
      <c r="AI134" s="380"/>
    </row>
    <row r="135" spans="1:69" s="381" customFormat="1" x14ac:dyDescent="0.2">
      <c r="A135" s="821"/>
      <c r="B135" s="1376"/>
      <c r="C135" s="821"/>
      <c r="D135" s="821"/>
      <c r="E135" s="821"/>
      <c r="F135" s="821"/>
      <c r="G135" s="821"/>
      <c r="H135" s="821"/>
      <c r="P135" s="791" t="s">
        <v>531</v>
      </c>
      <c r="Q135" s="792"/>
      <c r="R135" s="792"/>
      <c r="S135" s="792"/>
      <c r="T135" s="2866">
        <f>T132+T126</f>
        <v>0</v>
      </c>
      <c r="U135" s="2866"/>
      <c r="V135" s="794"/>
      <c r="Z135" s="1203"/>
      <c r="AA135" s="1203"/>
      <c r="AB135" s="1178"/>
      <c r="AC135" s="1178"/>
      <c r="AD135" s="1178"/>
      <c r="AE135" s="1178"/>
      <c r="AF135" s="1178"/>
      <c r="AG135" s="380"/>
      <c r="AH135" s="380"/>
      <c r="AI135" s="380"/>
    </row>
    <row r="136" spans="1:69" s="381" customFormat="1" x14ac:dyDescent="0.2">
      <c r="A136" s="821"/>
      <c r="B136" s="1376"/>
      <c r="C136" s="821"/>
      <c r="D136" s="821"/>
      <c r="E136" s="821"/>
      <c r="F136" s="821"/>
      <c r="G136" s="821"/>
      <c r="H136" s="821"/>
      <c r="P136" s="791" t="s">
        <v>533</v>
      </c>
      <c r="Q136" s="792"/>
      <c r="R136" s="792"/>
      <c r="S136" s="792"/>
      <c r="T136" s="2866">
        <f>T135-T131</f>
        <v>0</v>
      </c>
      <c r="U136" s="2866"/>
      <c r="V136" s="794"/>
      <c r="Z136" s="1203"/>
      <c r="AA136" s="1203"/>
      <c r="AB136" s="1178"/>
      <c r="AC136" s="1178"/>
      <c r="AD136" s="1178"/>
      <c r="AE136" s="1178"/>
      <c r="AF136" s="1178"/>
      <c r="AG136" s="380"/>
      <c r="AH136" s="380"/>
      <c r="AI136" s="380"/>
    </row>
    <row r="137" spans="1:69" s="381" customFormat="1" x14ac:dyDescent="0.2">
      <c r="A137" s="821"/>
      <c r="B137" s="1376"/>
      <c r="C137" s="821"/>
      <c r="D137" s="821"/>
      <c r="E137" s="821"/>
      <c r="F137" s="821"/>
      <c r="G137" s="821"/>
      <c r="H137" s="821"/>
      <c r="Z137" s="1203"/>
      <c r="AA137" s="1203"/>
      <c r="AB137" s="1178"/>
      <c r="AC137" s="1178"/>
      <c r="AD137" s="1178"/>
      <c r="AE137" s="1178"/>
      <c r="AF137" s="1178"/>
      <c r="AG137" s="380"/>
      <c r="AH137" s="380"/>
      <c r="AI137" s="380"/>
    </row>
    <row r="138" spans="1:69" s="381" customFormat="1" ht="10.9" x14ac:dyDescent="0.2">
      <c r="P138" s="789" t="s">
        <v>31</v>
      </c>
      <c r="Q138" s="790"/>
      <c r="R138" s="790"/>
      <c r="S138" s="790"/>
      <c r="T138" s="790"/>
      <c r="U138" s="790"/>
      <c r="V138" s="790"/>
      <c r="Z138" s="1203"/>
      <c r="AA138" s="1203"/>
      <c r="AB138" s="1178"/>
      <c r="AC138" s="1178"/>
      <c r="AD138" s="1178"/>
      <c r="AE138" s="1178"/>
      <c r="AF138" s="1178"/>
      <c r="AG138" s="380"/>
      <c r="AH138" s="380"/>
      <c r="AI138" s="380"/>
    </row>
    <row r="139" spans="1:69" s="381" customFormat="1" ht="10.9" x14ac:dyDescent="0.2">
      <c r="P139" s="536" t="s">
        <v>527</v>
      </c>
      <c r="T139" s="2868">
        <f>EV_Var2!$S$72</f>
        <v>0</v>
      </c>
      <c r="U139" s="2868"/>
      <c r="V139" s="537" t="e">
        <f>T139/$T$141</f>
        <v>#DIV/0!</v>
      </c>
      <c r="Z139" s="1203"/>
      <c r="AA139" s="1203"/>
      <c r="AB139" s="1178"/>
      <c r="AC139" s="1178"/>
      <c r="AD139" s="1178"/>
      <c r="AE139" s="1178"/>
      <c r="AF139" s="1178"/>
      <c r="AG139" s="380"/>
      <c r="AH139" s="380"/>
      <c r="AI139" s="380"/>
    </row>
    <row r="140" spans="1:69" s="381" customFormat="1" ht="10.9" x14ac:dyDescent="0.2">
      <c r="A140" s="535"/>
      <c r="B140" s="535"/>
      <c r="M140" s="535"/>
      <c r="N140" s="535"/>
      <c r="O140" s="535"/>
      <c r="P140" s="536" t="s">
        <v>528</v>
      </c>
      <c r="T140" s="2868">
        <f>SUM(EV_Var2!$M$62,EV_Var2!$M$65)</f>
        <v>0</v>
      </c>
      <c r="U140" s="2868"/>
      <c r="V140" s="537" t="e">
        <f>T140/$T$141</f>
        <v>#DIV/0!</v>
      </c>
      <c r="Z140" s="1203"/>
      <c r="AA140" s="1203"/>
      <c r="AB140" s="1178"/>
      <c r="AC140" s="1178"/>
      <c r="AD140" s="1178"/>
      <c r="AE140" s="1178"/>
      <c r="AF140" s="1178"/>
      <c r="AG140" s="380"/>
      <c r="AH140" s="380"/>
      <c r="AI140" s="380"/>
    </row>
    <row r="141" spans="1:69" s="381" customFormat="1" ht="10.9" x14ac:dyDescent="0.2">
      <c r="A141" s="535"/>
      <c r="B141" s="535"/>
      <c r="M141" s="535"/>
      <c r="N141" s="535"/>
      <c r="O141" s="535"/>
      <c r="P141" s="791" t="s">
        <v>482</v>
      </c>
      <c r="Q141" s="1247"/>
      <c r="R141" s="1247"/>
      <c r="S141" s="1247"/>
      <c r="T141" s="2866">
        <f>SUM(T139:U140)</f>
        <v>0</v>
      </c>
      <c r="U141" s="2866"/>
      <c r="V141" s="794" t="e">
        <f>T141/$T$141</f>
        <v>#DIV/0!</v>
      </c>
      <c r="Z141" s="1203"/>
      <c r="AA141" s="1203"/>
      <c r="AB141" s="1178"/>
      <c r="AC141" s="1178"/>
      <c r="AD141" s="1178"/>
      <c r="AE141" s="1178"/>
      <c r="AF141" s="1178"/>
      <c r="AG141" s="380"/>
      <c r="AH141" s="380"/>
      <c r="AI141" s="380"/>
    </row>
    <row r="142" spans="1:69" x14ac:dyDescent="0.2">
      <c r="G142" s="83"/>
      <c r="J142" s="86"/>
      <c r="T142" s="1178"/>
      <c r="U142" s="1210"/>
      <c r="W142" s="83"/>
      <c r="X142" s="83"/>
      <c r="Y142" s="83"/>
      <c r="Z142" s="314"/>
      <c r="AA142" s="314"/>
      <c r="AG142" s="380"/>
      <c r="AJ142" s="381"/>
      <c r="BQ142" s="83"/>
    </row>
    <row r="143" spans="1:69" x14ac:dyDescent="0.2">
      <c r="G143" s="83"/>
      <c r="J143" s="86"/>
      <c r="T143" s="1178"/>
      <c r="U143" s="1210"/>
      <c r="W143" s="83"/>
      <c r="X143" s="83"/>
      <c r="Y143" s="83"/>
      <c r="Z143" s="314"/>
      <c r="AA143" s="314"/>
      <c r="AG143" s="380"/>
      <c r="AJ143" s="381"/>
      <c r="BQ143" s="83"/>
    </row>
    <row r="144" spans="1:69" x14ac:dyDescent="0.2">
      <c r="G144" s="83"/>
      <c r="J144" s="86"/>
      <c r="P144" s="314"/>
      <c r="Q144" s="314"/>
      <c r="R144" s="314"/>
      <c r="S144" s="314"/>
      <c r="T144" s="314"/>
      <c r="U144" s="314"/>
      <c r="V144" s="314"/>
      <c r="W144" s="314"/>
      <c r="X144" s="83"/>
      <c r="Y144" s="83"/>
      <c r="Z144" s="314"/>
      <c r="AA144" s="314"/>
      <c r="AG144" s="380"/>
      <c r="AJ144" s="381"/>
      <c r="BQ144" s="83"/>
    </row>
    <row r="145" spans="7:69" x14ac:dyDescent="0.2">
      <c r="G145" s="83"/>
      <c r="J145" s="86"/>
      <c r="P145" s="314"/>
      <c r="Q145" s="314"/>
      <c r="R145" s="314"/>
      <c r="S145" s="314"/>
      <c r="T145" s="314"/>
      <c r="U145" s="314"/>
      <c r="V145" s="314"/>
      <c r="W145" s="314"/>
      <c r="X145" s="83"/>
      <c r="Y145" s="83"/>
      <c r="Z145" s="314"/>
      <c r="AA145" s="314"/>
      <c r="AG145" s="380"/>
      <c r="AJ145" s="381"/>
      <c r="BQ145" s="83"/>
    </row>
    <row r="146" spans="7:69" x14ac:dyDescent="0.2">
      <c r="G146" s="83"/>
      <c r="J146" s="86"/>
      <c r="P146" s="314"/>
      <c r="Q146" s="314"/>
      <c r="R146" s="314"/>
      <c r="S146" s="314"/>
      <c r="T146" s="314"/>
      <c r="U146" s="314"/>
      <c r="V146" s="314"/>
      <c r="W146" s="314"/>
      <c r="X146" s="83"/>
      <c r="Y146" s="83"/>
      <c r="Z146" s="314"/>
      <c r="AA146" s="314"/>
      <c r="AG146" s="380"/>
      <c r="AJ146" s="381"/>
      <c r="BQ146" s="83"/>
    </row>
    <row r="147" spans="7:69" x14ac:dyDescent="0.2">
      <c r="G147" s="83"/>
      <c r="J147" s="86"/>
      <c r="P147" s="314"/>
      <c r="Q147" s="314"/>
      <c r="R147" s="314"/>
      <c r="S147" s="314"/>
      <c r="T147" s="314"/>
      <c r="U147" s="314"/>
      <c r="V147" s="314"/>
      <c r="W147" s="314"/>
      <c r="X147" s="83"/>
      <c r="Y147" s="83"/>
      <c r="Z147" s="314"/>
      <c r="AA147" s="314"/>
      <c r="AG147" s="380"/>
      <c r="AJ147" s="381"/>
      <c r="BQ147" s="83"/>
    </row>
    <row r="148" spans="7:69" x14ac:dyDescent="0.2">
      <c r="G148" s="83"/>
      <c r="J148" s="86"/>
      <c r="P148" s="314"/>
      <c r="Q148" s="314"/>
      <c r="R148" s="314"/>
      <c r="S148" s="314"/>
      <c r="T148" s="314"/>
      <c r="U148" s="314"/>
      <c r="V148" s="314"/>
      <c r="W148" s="314"/>
      <c r="X148" s="83"/>
      <c r="Y148" s="83"/>
      <c r="Z148" s="314"/>
      <c r="AA148" s="314"/>
      <c r="AG148" s="380"/>
      <c r="AJ148" s="381"/>
      <c r="BQ148" s="83"/>
    </row>
    <row r="149" spans="7:69" x14ac:dyDescent="0.2">
      <c r="P149" s="314"/>
      <c r="Q149" s="314"/>
      <c r="R149" s="314"/>
      <c r="S149" s="314"/>
      <c r="T149" s="314"/>
      <c r="U149" s="314"/>
      <c r="V149" s="314"/>
      <c r="W149" s="314"/>
      <c r="X149" s="83"/>
      <c r="Y149" s="83"/>
      <c r="Z149" s="314"/>
      <c r="AA149" s="314"/>
      <c r="AB149" s="314"/>
    </row>
    <row r="150" spans="7:69" x14ac:dyDescent="0.2">
      <c r="P150" s="314"/>
      <c r="Q150" s="314"/>
      <c r="R150" s="314"/>
      <c r="S150" s="314"/>
      <c r="T150" s="314"/>
      <c r="U150" s="314"/>
      <c r="V150" s="314"/>
      <c r="W150" s="314"/>
      <c r="X150" s="83"/>
      <c r="Y150" s="83"/>
      <c r="Z150" s="314"/>
      <c r="AA150" s="314"/>
      <c r="AB150" s="314"/>
    </row>
    <row r="151" spans="7:69" x14ac:dyDescent="0.2">
      <c r="P151" s="314"/>
      <c r="Q151" s="314"/>
      <c r="R151" s="314"/>
      <c r="S151" s="314"/>
      <c r="T151" s="314"/>
      <c r="U151" s="314"/>
      <c r="V151" s="314"/>
      <c r="W151" s="314"/>
      <c r="X151" s="83"/>
      <c r="Y151" s="83"/>
      <c r="Z151" s="314"/>
      <c r="AA151" s="314"/>
      <c r="AB151" s="314"/>
    </row>
    <row r="152" spans="7:69" x14ac:dyDescent="0.2">
      <c r="P152" s="314"/>
      <c r="Q152" s="314"/>
      <c r="R152" s="314"/>
      <c r="S152" s="314"/>
      <c r="T152" s="314"/>
      <c r="U152" s="314"/>
      <c r="V152" s="314"/>
      <c r="W152" s="314"/>
      <c r="X152" s="83"/>
      <c r="Y152" s="83"/>
      <c r="Z152" s="314"/>
      <c r="AA152" s="314"/>
      <c r="AB152" s="314"/>
    </row>
    <row r="153" spans="7:69" x14ac:dyDescent="0.2">
      <c r="P153" s="314"/>
      <c r="Q153" s="314"/>
      <c r="R153" s="314"/>
      <c r="S153" s="314"/>
      <c r="T153" s="314"/>
      <c r="U153" s="314"/>
      <c r="V153" s="314"/>
      <c r="W153" s="314"/>
      <c r="X153" s="83"/>
      <c r="Y153" s="83"/>
      <c r="Z153" s="314"/>
      <c r="AA153" s="314"/>
      <c r="AB153" s="314"/>
    </row>
    <row r="154" spans="7:69" x14ac:dyDescent="0.2">
      <c r="P154" s="314"/>
      <c r="Q154" s="314"/>
      <c r="R154" s="314"/>
      <c r="S154" s="314"/>
      <c r="T154" s="314"/>
      <c r="U154" s="314"/>
      <c r="V154" s="314"/>
      <c r="W154" s="314"/>
      <c r="X154" s="83"/>
      <c r="Y154" s="83"/>
      <c r="Z154" s="314"/>
      <c r="AA154" s="314"/>
      <c r="AB154" s="314"/>
    </row>
    <row r="155" spans="7:69" x14ac:dyDescent="0.2">
      <c r="P155" s="314"/>
      <c r="Q155" s="314"/>
      <c r="R155" s="314"/>
      <c r="S155" s="314"/>
      <c r="T155" s="314"/>
      <c r="U155" s="314"/>
      <c r="V155" s="314"/>
      <c r="W155" s="314"/>
      <c r="X155" s="83"/>
      <c r="Y155" s="83"/>
      <c r="Z155" s="314"/>
      <c r="AA155" s="314"/>
      <c r="AB155" s="314"/>
    </row>
    <row r="156" spans="7:69" x14ac:dyDescent="0.2">
      <c r="P156" s="314"/>
      <c r="Q156" s="314"/>
      <c r="R156" s="314"/>
      <c r="S156" s="314"/>
      <c r="T156" s="314"/>
      <c r="U156" s="314"/>
      <c r="V156" s="314"/>
      <c r="W156" s="314"/>
      <c r="X156" s="314"/>
      <c r="Y156" s="314"/>
      <c r="Z156" s="314"/>
      <c r="AA156" s="314"/>
      <c r="AB156" s="314"/>
    </row>
    <row r="157" spans="7:69" x14ac:dyDescent="0.2">
      <c r="P157" s="314"/>
      <c r="Q157" s="314"/>
      <c r="R157" s="314"/>
      <c r="S157" s="314"/>
      <c r="T157" s="314"/>
      <c r="U157" s="314"/>
      <c r="V157" s="314"/>
      <c r="W157" s="314"/>
      <c r="X157" s="314"/>
      <c r="Y157" s="314"/>
      <c r="Z157" s="314"/>
      <c r="AA157" s="314"/>
      <c r="AB157" s="314"/>
    </row>
    <row r="158" spans="7:69" x14ac:dyDescent="0.2">
      <c r="P158" s="314"/>
      <c r="Q158" s="314"/>
      <c r="R158" s="314"/>
      <c r="S158" s="314"/>
      <c r="T158" s="314"/>
      <c r="U158" s="314"/>
      <c r="V158" s="314"/>
      <c r="W158" s="314"/>
      <c r="X158" s="314"/>
      <c r="Y158" s="314"/>
      <c r="Z158" s="314"/>
      <c r="AA158" s="314"/>
      <c r="AB158" s="314"/>
    </row>
    <row r="159" spans="7:69" x14ac:dyDescent="0.2">
      <c r="P159" s="314"/>
      <c r="Q159" s="314"/>
      <c r="R159" s="314"/>
      <c r="S159" s="314"/>
      <c r="T159" s="314"/>
      <c r="U159" s="314"/>
      <c r="V159" s="314"/>
      <c r="W159" s="314"/>
      <c r="X159" s="314"/>
      <c r="Y159" s="314"/>
      <c r="Z159" s="314"/>
      <c r="AA159" s="314"/>
      <c r="AB159" s="314"/>
    </row>
    <row r="160" spans="7:69" x14ac:dyDescent="0.2">
      <c r="P160" s="314"/>
      <c r="Q160" s="314"/>
      <c r="R160" s="314"/>
      <c r="S160" s="314"/>
      <c r="T160" s="314"/>
      <c r="U160" s="314"/>
      <c r="V160" s="314"/>
      <c r="W160" s="314"/>
      <c r="X160" s="314"/>
      <c r="Y160" s="314"/>
      <c r="Z160" s="314"/>
      <c r="AA160" s="314"/>
      <c r="AB160" s="314"/>
    </row>
    <row r="161" spans="16:28" x14ac:dyDescent="0.2">
      <c r="P161" s="314"/>
      <c r="Q161" s="314"/>
      <c r="R161" s="314"/>
      <c r="S161" s="314"/>
      <c r="T161" s="314"/>
      <c r="U161" s="314"/>
      <c r="V161" s="314"/>
      <c r="W161" s="314"/>
      <c r="X161" s="314"/>
      <c r="Y161" s="314"/>
      <c r="Z161" s="314"/>
      <c r="AA161" s="314"/>
      <c r="AB161" s="314"/>
    </row>
    <row r="162" spans="16:28" x14ac:dyDescent="0.2">
      <c r="P162" s="314"/>
      <c r="Q162" s="314"/>
      <c r="R162" s="314"/>
      <c r="S162" s="314"/>
      <c r="T162" s="314"/>
      <c r="U162" s="314"/>
      <c r="V162" s="314"/>
      <c r="W162" s="314"/>
      <c r="X162" s="314"/>
      <c r="Y162" s="314"/>
      <c r="Z162" s="314"/>
      <c r="AA162" s="314"/>
      <c r="AB162" s="314"/>
    </row>
    <row r="163" spans="16:28" x14ac:dyDescent="0.2">
      <c r="P163" s="314"/>
      <c r="Q163" s="314"/>
      <c r="R163" s="314"/>
      <c r="S163" s="314"/>
      <c r="T163" s="314"/>
      <c r="U163" s="314"/>
      <c r="V163" s="314"/>
      <c r="W163" s="314"/>
      <c r="X163" s="314"/>
      <c r="Y163" s="314"/>
      <c r="Z163" s="314"/>
      <c r="AA163" s="314"/>
      <c r="AB163" s="314"/>
    </row>
    <row r="164" spans="16:28" x14ac:dyDescent="0.2">
      <c r="P164" s="314"/>
      <c r="Q164" s="314"/>
      <c r="R164" s="314"/>
      <c r="S164" s="314"/>
      <c r="T164" s="314"/>
      <c r="U164" s="314"/>
      <c r="V164" s="314"/>
      <c r="W164" s="314"/>
    </row>
    <row r="165" spans="16:28" x14ac:dyDescent="0.2">
      <c r="P165" s="314"/>
      <c r="Q165" s="314"/>
      <c r="R165" s="314"/>
      <c r="S165" s="314"/>
      <c r="T165" s="314"/>
      <c r="U165" s="314"/>
      <c r="V165" s="314"/>
      <c r="W165" s="314"/>
    </row>
    <row r="166" spans="16:28" x14ac:dyDescent="0.2">
      <c r="P166" s="314"/>
      <c r="Q166" s="314"/>
      <c r="R166" s="314"/>
      <c r="S166" s="314"/>
      <c r="T166" s="314"/>
      <c r="U166" s="314"/>
      <c r="V166" s="314"/>
      <c r="W166" s="314"/>
    </row>
    <row r="167" spans="16:28" ht="12.9" customHeight="1" x14ac:dyDescent="0.2">
      <c r="P167" s="314"/>
      <c r="Q167" s="314"/>
      <c r="R167" s="314"/>
      <c r="S167" s="314"/>
      <c r="T167" s="314"/>
      <c r="U167" s="314"/>
      <c r="V167" s="314"/>
      <c r="W167" s="314"/>
    </row>
  </sheetData>
  <sheetProtection algorithmName="SHA-512" hashValue="74+75Ez1xjjnfA/URnxBY3RpwFh9D4O4A3xP5A7Ei+DGPfD8P0v/7mwxlr6wwqi/SEGpfliISNVKB+jiFMnjdA==" saltValue="7QS/Z9X2PCmSydzl7s5zBQ==" spinCount="100000" sheet="1" objects="1" scenarios="1" selectLockedCells="1"/>
  <mergeCells count="384">
    <mergeCell ref="P104:Q104"/>
    <mergeCell ref="P105:Q105"/>
    <mergeCell ref="Q64:Q65"/>
    <mergeCell ref="P64:P65"/>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P106:Q106"/>
    <mergeCell ref="P107:Q107"/>
    <mergeCell ref="P88:Q88"/>
    <mergeCell ref="C118:F118"/>
    <mergeCell ref="G118:I118"/>
    <mergeCell ref="J118:K118"/>
    <mergeCell ref="L118:N118"/>
    <mergeCell ref="X118:Z118"/>
    <mergeCell ref="C119:F119"/>
    <mergeCell ref="G119:I119"/>
    <mergeCell ref="J119:K119"/>
    <mergeCell ref="L119:N119"/>
    <mergeCell ref="C116:F116"/>
    <mergeCell ref="G116:I116"/>
    <mergeCell ref="J116:K116"/>
    <mergeCell ref="L116:N116"/>
    <mergeCell ref="C117:F117"/>
    <mergeCell ref="G117:I117"/>
    <mergeCell ref="J117:K117"/>
    <mergeCell ref="L117:N117"/>
    <mergeCell ref="G110:K110"/>
    <mergeCell ref="L110:N110"/>
    <mergeCell ref="G114:N114"/>
    <mergeCell ref="G115:I115"/>
    <mergeCell ref="J115:K115"/>
    <mergeCell ref="L115:N115"/>
    <mergeCell ref="C114:F114"/>
    <mergeCell ref="C115:F115"/>
    <mergeCell ref="G108:I108"/>
    <mergeCell ref="J108:K108"/>
    <mergeCell ref="L108:N108"/>
    <mergeCell ref="C109:D109"/>
    <mergeCell ref="J109:K109"/>
    <mergeCell ref="L109:N109"/>
    <mergeCell ref="E104:F104"/>
    <mergeCell ref="G104:I104"/>
    <mergeCell ref="J104:K104"/>
    <mergeCell ref="L104:N104"/>
    <mergeCell ref="E105:F105"/>
    <mergeCell ref="G105:I105"/>
    <mergeCell ref="J105:K105"/>
    <mergeCell ref="L105:N105"/>
    <mergeCell ref="E106:F106"/>
    <mergeCell ref="G106:I106"/>
    <mergeCell ref="J106:K106"/>
    <mergeCell ref="L106:N106"/>
    <mergeCell ref="E107:F107"/>
    <mergeCell ref="G107:I107"/>
    <mergeCell ref="J107:K107"/>
    <mergeCell ref="L107:N107"/>
    <mergeCell ref="E102:F102"/>
    <mergeCell ref="G102:I102"/>
    <mergeCell ref="J102:K102"/>
    <mergeCell ref="L102:N102"/>
    <mergeCell ref="P102:Q102"/>
    <mergeCell ref="E103:F103"/>
    <mergeCell ref="G103:I103"/>
    <mergeCell ref="J103:K103"/>
    <mergeCell ref="L103:N103"/>
    <mergeCell ref="P103:Q103"/>
    <mergeCell ref="E101:F101"/>
    <mergeCell ref="G101:I101"/>
    <mergeCell ref="J101:K101"/>
    <mergeCell ref="L101:N101"/>
    <mergeCell ref="P101:Q101"/>
    <mergeCell ref="E99:F99"/>
    <mergeCell ref="G99:I99"/>
    <mergeCell ref="J99:K99"/>
    <mergeCell ref="L99:N99"/>
    <mergeCell ref="P99:Q99"/>
    <mergeCell ref="E100:F100"/>
    <mergeCell ref="G100:I100"/>
    <mergeCell ref="J100:K100"/>
    <mergeCell ref="L100:N100"/>
    <mergeCell ref="P100:Q100"/>
    <mergeCell ref="E95:F95"/>
    <mergeCell ref="G95:I95"/>
    <mergeCell ref="J95:K95"/>
    <mergeCell ref="L95:N95"/>
    <mergeCell ref="P95:Q95"/>
    <mergeCell ref="E96:F96"/>
    <mergeCell ref="G96:I96"/>
    <mergeCell ref="J96:K96"/>
    <mergeCell ref="L96:N96"/>
    <mergeCell ref="P96:Q96"/>
    <mergeCell ref="E93:F93"/>
    <mergeCell ref="G93:I93"/>
    <mergeCell ref="J93:K93"/>
    <mergeCell ref="L93:N93"/>
    <mergeCell ref="P93:Q93"/>
    <mergeCell ref="E94:F94"/>
    <mergeCell ref="G94:I94"/>
    <mergeCell ref="J94:K94"/>
    <mergeCell ref="L94:N94"/>
    <mergeCell ref="P94:Q94"/>
    <mergeCell ref="E91:F91"/>
    <mergeCell ref="G91:I91"/>
    <mergeCell ref="J91:K91"/>
    <mergeCell ref="L91:N91"/>
    <mergeCell ref="P91:Q91"/>
    <mergeCell ref="E92:F92"/>
    <mergeCell ref="G92:I92"/>
    <mergeCell ref="J92:K92"/>
    <mergeCell ref="L92:N92"/>
    <mergeCell ref="P92:Q92"/>
    <mergeCell ref="E89:F89"/>
    <mergeCell ref="G89:I89"/>
    <mergeCell ref="J89:K89"/>
    <mergeCell ref="L89:N89"/>
    <mergeCell ref="P89:Q89"/>
    <mergeCell ref="E90:F90"/>
    <mergeCell ref="G90:I90"/>
    <mergeCell ref="J90:K90"/>
    <mergeCell ref="L90:N90"/>
    <mergeCell ref="P90:Q90"/>
    <mergeCell ref="E86:F86"/>
    <mergeCell ref="G86:I86"/>
    <mergeCell ref="J86:K86"/>
    <mergeCell ref="L86:N86"/>
    <mergeCell ref="P86:Q86"/>
    <mergeCell ref="P87:Q87"/>
    <mergeCell ref="E87:F87"/>
    <mergeCell ref="G87:I87"/>
    <mergeCell ref="J87:K87"/>
    <mergeCell ref="L87:N87"/>
    <mergeCell ref="C77:D77"/>
    <mergeCell ref="E77:F77"/>
    <mergeCell ref="G77:I77"/>
    <mergeCell ref="J77:K77"/>
    <mergeCell ref="L77:N77"/>
    <mergeCell ref="C78:D78"/>
    <mergeCell ref="E78:F78"/>
    <mergeCell ref="E88:F88"/>
    <mergeCell ref="G88:I88"/>
    <mergeCell ref="J88:K88"/>
    <mergeCell ref="L88:N88"/>
    <mergeCell ref="D79:F79"/>
    <mergeCell ref="H79:I79"/>
    <mergeCell ref="J79:K79"/>
    <mergeCell ref="L79:N79"/>
    <mergeCell ref="G78:I78"/>
    <mergeCell ref="J78:K78"/>
    <mergeCell ref="L78:N78"/>
    <mergeCell ref="M81:N81"/>
    <mergeCell ref="E83:F83"/>
    <mergeCell ref="M83:N83"/>
    <mergeCell ref="E85:F85"/>
    <mergeCell ref="G85:K85"/>
    <mergeCell ref="L85:N85"/>
    <mergeCell ref="C75:D75"/>
    <mergeCell ref="E75:F75"/>
    <mergeCell ref="G75:I75"/>
    <mergeCell ref="J75:K75"/>
    <mergeCell ref="L75:N75"/>
    <mergeCell ref="C76:D76"/>
    <mergeCell ref="E76:F76"/>
    <mergeCell ref="G76:I76"/>
    <mergeCell ref="J76:K76"/>
    <mergeCell ref="L76:N76"/>
    <mergeCell ref="C73:D73"/>
    <mergeCell ref="E73:F73"/>
    <mergeCell ref="G73:I73"/>
    <mergeCell ref="J73:K73"/>
    <mergeCell ref="L73:N73"/>
    <mergeCell ref="C74:D74"/>
    <mergeCell ref="E74:F74"/>
    <mergeCell ref="G74:I74"/>
    <mergeCell ref="J74:K74"/>
    <mergeCell ref="L74:N74"/>
    <mergeCell ref="C66:D66"/>
    <mergeCell ref="E66:F66"/>
    <mergeCell ref="G66:I66"/>
    <mergeCell ref="J66:K66"/>
    <mergeCell ref="L66:N66"/>
    <mergeCell ref="C67:D67"/>
    <mergeCell ref="E67:F67"/>
    <mergeCell ref="G67:I67"/>
    <mergeCell ref="J67:K67"/>
    <mergeCell ref="L67:N67"/>
    <mergeCell ref="C65:D65"/>
    <mergeCell ref="E65:F65"/>
    <mergeCell ref="G65:I65"/>
    <mergeCell ref="J65:K65"/>
    <mergeCell ref="L65:N65"/>
    <mergeCell ref="C64:D64"/>
    <mergeCell ref="E64:F64"/>
    <mergeCell ref="G64:I64"/>
    <mergeCell ref="J64:K64"/>
    <mergeCell ref="L64:N64"/>
    <mergeCell ref="C62:D62"/>
    <mergeCell ref="E62:F62"/>
    <mergeCell ref="G62:I62"/>
    <mergeCell ref="J62:K62"/>
    <mergeCell ref="L62:N62"/>
    <mergeCell ref="C63:D63"/>
    <mergeCell ref="E63:F63"/>
    <mergeCell ref="G63:I63"/>
    <mergeCell ref="J63:K63"/>
    <mergeCell ref="L63:N63"/>
    <mergeCell ref="C61:D61"/>
    <mergeCell ref="E61:F61"/>
    <mergeCell ref="G61:I61"/>
    <mergeCell ref="J61:K61"/>
    <mergeCell ref="L61:N61"/>
    <mergeCell ref="E54:F54"/>
    <mergeCell ref="C55:E55"/>
    <mergeCell ref="F55:G55"/>
    <mergeCell ref="C56:D56"/>
    <mergeCell ref="E58:F59"/>
    <mergeCell ref="G58:I59"/>
    <mergeCell ref="E60:F60"/>
    <mergeCell ref="G60:I60"/>
    <mergeCell ref="J60:K60"/>
    <mergeCell ref="L60:N60"/>
    <mergeCell ref="B45:D45"/>
    <mergeCell ref="E45:F45"/>
    <mergeCell ref="B46:D46"/>
    <mergeCell ref="E46:F46"/>
    <mergeCell ref="E47:F47"/>
    <mergeCell ref="J58:K59"/>
    <mergeCell ref="L58:N59"/>
    <mergeCell ref="E53:F53"/>
    <mergeCell ref="E51:F52"/>
    <mergeCell ref="J51:J52"/>
    <mergeCell ref="H54:I54"/>
    <mergeCell ref="L54:M54"/>
    <mergeCell ref="G45:N45"/>
    <mergeCell ref="G46:N46"/>
    <mergeCell ref="G51:G52"/>
    <mergeCell ref="K51:N52"/>
    <mergeCell ref="L53:M53"/>
    <mergeCell ref="H51:I52"/>
    <mergeCell ref="H53:I53"/>
    <mergeCell ref="L37:M37"/>
    <mergeCell ref="H38:I38"/>
    <mergeCell ref="L38:M38"/>
    <mergeCell ref="H39:I39"/>
    <mergeCell ref="L39:M39"/>
    <mergeCell ref="G44:N44"/>
    <mergeCell ref="E34:F34"/>
    <mergeCell ref="E35:F35"/>
    <mergeCell ref="E32:F32"/>
    <mergeCell ref="L32:M32"/>
    <mergeCell ref="H33:I33"/>
    <mergeCell ref="L33:M33"/>
    <mergeCell ref="H34:I34"/>
    <mergeCell ref="L34:M34"/>
    <mergeCell ref="H35:I35"/>
    <mergeCell ref="L35:M35"/>
    <mergeCell ref="H36:I36"/>
    <mergeCell ref="L36:M36"/>
    <mergeCell ref="E39:F39"/>
    <mergeCell ref="B43:D43"/>
    <mergeCell ref="E43:F43"/>
    <mergeCell ref="C1:H1"/>
    <mergeCell ref="E13:F13"/>
    <mergeCell ref="E14:F14"/>
    <mergeCell ref="E11:F12"/>
    <mergeCell ref="B44:D44"/>
    <mergeCell ref="E44:F44"/>
    <mergeCell ref="E37:F37"/>
    <mergeCell ref="E38:F38"/>
    <mergeCell ref="H32:I32"/>
    <mergeCell ref="H37:I37"/>
    <mergeCell ref="B11:D11"/>
    <mergeCell ref="A14:D14"/>
    <mergeCell ref="H14:I14"/>
    <mergeCell ref="E28:F28"/>
    <mergeCell ref="G11:G12"/>
    <mergeCell ref="H22:I22"/>
    <mergeCell ref="H27:I27"/>
    <mergeCell ref="E15:F15"/>
    <mergeCell ref="E31:F31"/>
    <mergeCell ref="E25:F25"/>
    <mergeCell ref="E26:F26"/>
    <mergeCell ref="P9:S9"/>
    <mergeCell ref="Q11:S13"/>
    <mergeCell ref="P14:S14"/>
    <mergeCell ref="P26:P27"/>
    <mergeCell ref="E17:F17"/>
    <mergeCell ref="E18:F18"/>
    <mergeCell ref="E16:F16"/>
    <mergeCell ref="E19:F19"/>
    <mergeCell ref="E20:F20"/>
    <mergeCell ref="E27:F27"/>
    <mergeCell ref="E22:F22"/>
    <mergeCell ref="E23:F23"/>
    <mergeCell ref="E24:F24"/>
    <mergeCell ref="E21:F21"/>
    <mergeCell ref="H18:I18"/>
    <mergeCell ref="L18:M18"/>
    <mergeCell ref="H19:I19"/>
    <mergeCell ref="L19:M19"/>
    <mergeCell ref="H20:I20"/>
    <mergeCell ref="L20:M20"/>
    <mergeCell ref="H21:I21"/>
    <mergeCell ref="L21:M21"/>
    <mergeCell ref="K11:N12"/>
    <mergeCell ref="L14:M14"/>
    <mergeCell ref="C72:D72"/>
    <mergeCell ref="E72:F72"/>
    <mergeCell ref="G72:I72"/>
    <mergeCell ref="J72:K72"/>
    <mergeCell ref="L72:N72"/>
    <mergeCell ref="C70:D70"/>
    <mergeCell ref="E70:F70"/>
    <mergeCell ref="G70:I70"/>
    <mergeCell ref="J70:K70"/>
    <mergeCell ref="L70:N70"/>
    <mergeCell ref="C71:D71"/>
    <mergeCell ref="E71:F71"/>
    <mergeCell ref="G71:I71"/>
    <mergeCell ref="J71:K71"/>
    <mergeCell ref="L71:N71"/>
    <mergeCell ref="C68:D68"/>
    <mergeCell ref="E68:F68"/>
    <mergeCell ref="G68:I68"/>
    <mergeCell ref="J68:K68"/>
    <mergeCell ref="L68:N68"/>
    <mergeCell ref="C69:D69"/>
    <mergeCell ref="E69:F69"/>
    <mergeCell ref="G69:I69"/>
    <mergeCell ref="J69:K69"/>
    <mergeCell ref="L69:N69"/>
    <mergeCell ref="L13:M13"/>
    <mergeCell ref="H15:I15"/>
    <mergeCell ref="L15:M15"/>
    <mergeCell ref="H16:I16"/>
    <mergeCell ref="L16:M16"/>
    <mergeCell ref="H17:I17"/>
    <mergeCell ref="L17:M17"/>
    <mergeCell ref="H11:I12"/>
    <mergeCell ref="H13:I13"/>
    <mergeCell ref="J11:J12"/>
    <mergeCell ref="L22:M22"/>
    <mergeCell ref="H23:I23"/>
    <mergeCell ref="L23:M23"/>
    <mergeCell ref="H24:I24"/>
    <mergeCell ref="L24:M24"/>
    <mergeCell ref="H25:I25"/>
    <mergeCell ref="L25:M25"/>
    <mergeCell ref="H26:I26"/>
    <mergeCell ref="L26:M26"/>
    <mergeCell ref="E97:F97"/>
    <mergeCell ref="G97:I97"/>
    <mergeCell ref="J97:K97"/>
    <mergeCell ref="L97:N97"/>
    <mergeCell ref="P97:Q97"/>
    <mergeCell ref="E98:F98"/>
    <mergeCell ref="G98:I98"/>
    <mergeCell ref="L27:M27"/>
    <mergeCell ref="H28:I28"/>
    <mergeCell ref="L28:M28"/>
    <mergeCell ref="H29:I29"/>
    <mergeCell ref="L29:M29"/>
    <mergeCell ref="H30:I30"/>
    <mergeCell ref="L30:M30"/>
    <mergeCell ref="H31:I31"/>
    <mergeCell ref="L31:M31"/>
    <mergeCell ref="J98:K98"/>
    <mergeCell ref="L98:N98"/>
    <mergeCell ref="P98:Q98"/>
    <mergeCell ref="Q26:S27"/>
    <mergeCell ref="E29:F29"/>
    <mergeCell ref="E30:F30"/>
    <mergeCell ref="E36:F36"/>
    <mergeCell ref="E33:F33"/>
  </mergeCells>
  <conditionalFormatting sqref="C118">
    <cfRule type="cellIs" dxfId="733" priority="125" operator="lessThan">
      <formula>0</formula>
    </cfRule>
  </conditionalFormatting>
  <conditionalFormatting sqref="E83:F83">
    <cfRule type="expression" dxfId="732" priority="42">
      <formula>IF(ISBLANK($M$83),FALSE,TRUE)</formula>
    </cfRule>
  </conditionalFormatting>
  <conditionalFormatting sqref="L116:N118">
    <cfRule type="expression" dxfId="731" priority="40">
      <formula>IF(ISBLANK($J116),FALSE,TRUE)</formula>
    </cfRule>
  </conditionalFormatting>
  <conditionalFormatting sqref="J116:K118">
    <cfRule type="expression" dxfId="730" priority="39">
      <formula>IF($C116&lt;&gt;0,TRUE,FALSE)</formula>
    </cfRule>
  </conditionalFormatting>
  <conditionalFormatting sqref="L116:N118">
    <cfRule type="expression" dxfId="729" priority="18">
      <formula>IF(ISBLANK($J116),FALSE,TRUE)</formula>
    </cfRule>
  </conditionalFormatting>
  <conditionalFormatting sqref="J116:K118">
    <cfRule type="expression" dxfId="728" priority="17">
      <formula>IF($C116&lt;&gt;0,TRUE,FALSE)</formula>
    </cfRule>
  </conditionalFormatting>
  <conditionalFormatting sqref="A14:N14">
    <cfRule type="expression" dxfId="727" priority="128">
      <formula>$X$12</formula>
    </cfRule>
  </conditionalFormatting>
  <conditionalFormatting sqref="H15:N38">
    <cfRule type="expression" dxfId="726" priority="136">
      <formula>$X$11</formula>
    </cfRule>
  </conditionalFormatting>
  <conditionalFormatting sqref="K15">
    <cfRule type="expression" dxfId="725" priority="11">
      <formula>L15&lt;&gt;0</formula>
    </cfRule>
  </conditionalFormatting>
  <conditionalFormatting sqref="K16:K38">
    <cfRule type="expression" dxfId="724" priority="10">
      <formula>L16&lt;&gt;0</formula>
    </cfRule>
  </conditionalFormatting>
  <conditionalFormatting sqref="C118">
    <cfRule type="cellIs" dxfId="723" priority="6" operator="lessThan">
      <formula>0</formula>
    </cfRule>
  </conditionalFormatting>
  <conditionalFormatting sqref="L116:N118">
    <cfRule type="expression" dxfId="722" priority="5">
      <formula>IF(ISBLANK($J116),FALSE,TRUE)</formula>
    </cfRule>
  </conditionalFormatting>
  <conditionalFormatting sqref="J116:K118">
    <cfRule type="expression" dxfId="721" priority="4">
      <formula>IF($C116&lt;&gt;0,TRUE,FALSE)</formula>
    </cfRule>
  </conditionalFormatting>
  <conditionalFormatting sqref="A15:G38">
    <cfRule type="expression" dxfId="720" priority="2">
      <formula>$X$11</formula>
    </cfRule>
  </conditionalFormatting>
  <conditionalFormatting sqref="A15:G16">
    <cfRule type="expression" dxfId="719" priority="1">
      <formula>$X$11</formula>
    </cfRule>
  </conditionalFormatting>
  <dataValidations count="5">
    <dataValidation type="list" allowBlank="1" showInputMessage="1" showErrorMessage="1" sqref="B11">
      <formula1>$U$11:$U$12</formula1>
    </dataValidation>
    <dataValidation allowBlank="1" showInputMessage="1" showErrorMessage="1" errorTitle="Fehlerhafte Eingabe" error="Auswahl der Berücksichtigung Förderbeiträge aus Drop-Down selektieren." sqref="D88"/>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formula1>IF(COUNTIF($J$116:$J$118,"")-1&gt;=COUNTIF($C$116:$C$118,0),TRUE,FALSE)</formula1>
    </dataValidation>
    <dataValidation type="custom" allowBlank="1" showInputMessage="1" showErrorMessage="1" errorTitle="Eingabe ausserhalb Bereich" error="Bitte wählen Sie eine Betrachtungsdauer zwischen 1 und 50 Jahren." sqref="M83:N83">
      <formula1>IF(AND(M83&gt;0,M83&lt;=50),TRUE,FALSE)</formula1>
    </dataValidation>
    <dataValidation type="decimal" allowBlank="1" showInputMessage="1" showErrorMessage="1" error="Wert muss zwischen 0 und 100 liegen" sqref="C66 C64 C62 C68">
      <formula1>0</formula1>
      <formula2>1</formula2>
    </dataValidation>
  </dataValidations>
  <hyperlinks>
    <hyperlink ref="G2" location="Neu_in_Version" display="i"/>
  </hyperlinks>
  <pageMargins left="0.70866141732283472" right="0.70866141732283472" top="0.39370078740157483" bottom="0.98425196850393704" header="0.39370078740157483" footer="0.39370078740157483"/>
  <pageSetup paperSize="9" scale="81" firstPageNumber="3" fitToHeight="0" orientation="portrait" r:id="rId1"/>
  <headerFooter scaleWithDoc="0">
    <oddFooter>&amp;L&amp;8Das Amt für Hochbauten ist eine Dienstabteilung des
Hochbaudepartements der Stadt Zürich&amp;CSeite &amp;P/&amp;N&amp;6
                                                          &amp;D/&amp;F&amp;R&amp;G</oddFooter>
  </headerFooter>
  <rowBreaks count="1" manualBreakCount="1">
    <brk id="80" max="12" man="1"/>
  </rowBreaks>
  <drawing r:id="rId2"/>
  <legacyDrawing r:id="rId3"/>
  <legacyDrawingHF r:id="rId4"/>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theme="9" tint="-0.499984740745262"/>
    <outlinePr summaryBelow="0"/>
    <pageSetUpPr fitToPage="1"/>
  </sheetPr>
  <dimension ref="A1:CA431"/>
  <sheetViews>
    <sheetView showGridLines="0" showZeros="0" zoomScaleNormal="100" zoomScaleSheetLayoutView="100" workbookViewId="0">
      <pane ySplit="13" topLeftCell="A14" activePane="bottomLeft" state="frozen"/>
      <selection activeCell="B369" sqref="B369:C370"/>
      <selection pane="bottomLeft" activeCell="B44" sqref="B44:D44"/>
    </sheetView>
  </sheetViews>
  <sheetFormatPr baseColWidth="10" defaultColWidth="11.375" defaultRowHeight="12.9" customHeight="1" x14ac:dyDescent="0.2"/>
  <cols>
    <col min="1" max="1" width="25.375" style="86" customWidth="1"/>
    <col min="2" max="2" width="12.375" style="84" customWidth="1"/>
    <col min="3" max="4" width="5.75" style="84" customWidth="1"/>
    <col min="5" max="5" width="6.875" style="84" customWidth="1"/>
    <col min="6" max="6" width="7.75" style="84" customWidth="1"/>
    <col min="7" max="8" width="4.875" style="83" customWidth="1"/>
    <col min="9" max="9" width="7.75" style="83" customWidth="1"/>
    <col min="10" max="10" width="9.75" style="86" customWidth="1"/>
    <col min="11" max="12" width="3.375" style="86" customWidth="1"/>
    <col min="13" max="13" width="9.75" style="86" customWidth="1"/>
    <col min="14" max="14" width="4.25" style="86" customWidth="1"/>
    <col min="15" max="15" width="15.75" style="86" customWidth="1"/>
    <col min="16" max="16" width="7.375" style="270" customWidth="1"/>
    <col min="17" max="17" width="7.25" style="270" customWidth="1"/>
    <col min="18" max="18" width="8.25" style="270" customWidth="1"/>
    <col min="19" max="19" width="12.125" style="278" customWidth="1"/>
    <col min="20" max="20" width="11.625" style="270" customWidth="1"/>
    <col min="21" max="21" width="10.125" style="270" customWidth="1"/>
    <col min="22" max="22" width="11.625" style="270" customWidth="1"/>
    <col min="23" max="23" width="11" style="270" customWidth="1"/>
    <col min="24" max="24" width="10.125" style="270" customWidth="1"/>
    <col min="25" max="25" width="8.625" style="270" customWidth="1"/>
    <col min="26" max="26" width="10.125" style="270" customWidth="1"/>
    <col min="27" max="32" width="8.625" style="270" customWidth="1"/>
    <col min="33" max="35" width="8.625" style="380" customWidth="1"/>
    <col min="36" max="68" width="8.625" style="381" customWidth="1"/>
    <col min="69" max="69" width="5" style="83" customWidth="1"/>
    <col min="70" max="16384" width="11.375" style="83"/>
  </cols>
  <sheetData>
    <row r="1" spans="1:73" s="1110" customFormat="1" ht="56.25" customHeight="1" x14ac:dyDescent="0.2">
      <c r="A1" s="1131"/>
      <c r="B1" s="2705"/>
      <c r="C1" s="2705"/>
      <c r="D1" s="2705"/>
      <c r="E1" s="2705"/>
      <c r="F1" s="2705"/>
      <c r="G1" s="2705"/>
      <c r="H1" s="313"/>
      <c r="I1" s="313"/>
      <c r="J1" s="313"/>
      <c r="K1" s="313"/>
      <c r="L1" s="313"/>
      <c r="M1" s="313"/>
      <c r="N1" s="1117"/>
      <c r="O1" s="313"/>
      <c r="P1" s="295"/>
      <c r="Q1" s="274"/>
      <c r="R1" s="437"/>
      <c r="S1" s="437"/>
      <c r="T1" s="437"/>
      <c r="U1" s="437"/>
      <c r="V1" s="437"/>
      <c r="W1" s="437"/>
      <c r="X1" s="437"/>
      <c r="Y1" s="437"/>
      <c r="Z1" s="437"/>
      <c r="AA1" s="437"/>
      <c r="AB1" s="437"/>
      <c r="AC1" s="437"/>
      <c r="AD1" s="437"/>
      <c r="AE1" s="296"/>
      <c r="AF1" s="296"/>
      <c r="AG1" s="438"/>
      <c r="AH1" s="438"/>
      <c r="AI1" s="438"/>
      <c r="AJ1" s="438"/>
      <c r="AK1" s="438"/>
      <c r="AL1" s="438"/>
      <c r="AM1" s="438"/>
      <c r="AN1" s="438"/>
      <c r="AO1" s="438"/>
      <c r="AP1" s="438"/>
      <c r="AQ1" s="438"/>
      <c r="AR1" s="438"/>
      <c r="AS1" s="438"/>
      <c r="AT1" s="438"/>
      <c r="AU1" s="438"/>
      <c r="AV1" s="438"/>
      <c r="AW1" s="438"/>
      <c r="AX1" s="438"/>
      <c r="AY1" s="438"/>
      <c r="AZ1" s="438"/>
      <c r="BA1" s="438"/>
      <c r="BB1" s="438"/>
      <c r="BC1" s="438"/>
      <c r="BD1" s="438"/>
      <c r="BE1" s="438"/>
      <c r="BF1" s="438"/>
      <c r="BG1" s="438"/>
      <c r="BH1" s="438"/>
      <c r="BI1" s="438"/>
      <c r="BJ1" s="438"/>
      <c r="BK1" s="438"/>
      <c r="BL1" s="438"/>
      <c r="BM1" s="438"/>
      <c r="BN1" s="438"/>
      <c r="BO1" s="438"/>
      <c r="BP1" s="438"/>
    </row>
    <row r="2" spans="1:73" s="1110" customFormat="1" ht="13.6" customHeight="1" x14ac:dyDescent="0.25">
      <c r="A2" s="1132" t="str">
        <f>CONCATENATE("Variantenvergleich Energiesysteme - Version ",Versionsinfo!$B$4)</f>
        <v>Variantenvergleich Energiesysteme - Version 2.2</v>
      </c>
      <c r="B2" s="314"/>
      <c r="C2" s="314"/>
      <c r="D2" s="314"/>
      <c r="E2" s="1535"/>
      <c r="F2" s="1536" t="s">
        <v>684</v>
      </c>
      <c r="G2" s="313"/>
      <c r="H2" s="313"/>
      <c r="I2" s="313"/>
      <c r="J2" s="313"/>
      <c r="K2" s="313"/>
      <c r="L2" s="313"/>
      <c r="M2" s="313"/>
      <c r="N2" s="1117"/>
      <c r="O2" s="199"/>
      <c r="P2" s="199"/>
      <c r="Q2" s="199"/>
      <c r="R2" s="199"/>
      <c r="S2" s="199"/>
      <c r="T2" s="439"/>
      <c r="U2" s="440"/>
      <c r="V2" s="437"/>
      <c r="W2" s="437"/>
      <c r="X2" s="437"/>
      <c r="Y2" s="437"/>
      <c r="Z2" s="437"/>
      <c r="AA2" s="437"/>
      <c r="AB2" s="437"/>
      <c r="AC2" s="437"/>
      <c r="AD2" s="437"/>
      <c r="AE2" s="296"/>
      <c r="AF2" s="296"/>
      <c r="AG2" s="438"/>
      <c r="AH2" s="438"/>
      <c r="AI2" s="438"/>
      <c r="AJ2" s="438"/>
      <c r="AK2" s="438"/>
      <c r="AL2" s="438"/>
      <c r="AM2" s="438"/>
      <c r="AN2" s="438"/>
      <c r="AO2" s="438"/>
      <c r="AP2" s="438"/>
      <c r="AQ2" s="438"/>
      <c r="AR2" s="438"/>
      <c r="AS2" s="438"/>
      <c r="AT2" s="438"/>
      <c r="AU2" s="438"/>
      <c r="AV2" s="438"/>
      <c r="AW2" s="438"/>
      <c r="AX2" s="438"/>
      <c r="AY2" s="438"/>
      <c r="AZ2" s="438"/>
      <c r="BA2" s="438"/>
      <c r="BB2" s="438"/>
      <c r="BC2" s="438"/>
      <c r="BD2" s="438"/>
      <c r="BE2" s="438"/>
      <c r="BF2" s="438"/>
      <c r="BG2" s="438"/>
      <c r="BH2" s="438"/>
      <c r="BI2" s="438"/>
      <c r="BJ2" s="438"/>
      <c r="BK2" s="438"/>
      <c r="BL2" s="438"/>
      <c r="BM2" s="438"/>
      <c r="BN2" s="438"/>
      <c r="BO2" s="438"/>
      <c r="BP2" s="438"/>
      <c r="BQ2" s="199"/>
      <c r="BR2" s="199"/>
      <c r="BS2" s="199"/>
      <c r="BT2" s="199"/>
      <c r="BU2" s="199"/>
    </row>
    <row r="3" spans="1:73" s="1110" customFormat="1" ht="12.75" customHeight="1" x14ac:dyDescent="0.2">
      <c r="A3" s="1133" t="s">
        <v>178</v>
      </c>
      <c r="B3" s="314"/>
      <c r="C3" s="314"/>
      <c r="D3" s="314"/>
      <c r="E3" s="314"/>
      <c r="F3" s="314"/>
      <c r="G3" s="314"/>
      <c r="H3" s="314"/>
      <c r="I3" s="314"/>
      <c r="J3" s="314"/>
      <c r="K3" s="314"/>
      <c r="L3" s="314"/>
      <c r="M3" s="314"/>
      <c r="O3" s="199"/>
      <c r="P3" s="199"/>
      <c r="Q3" s="199"/>
      <c r="R3" s="199"/>
      <c r="S3" s="199"/>
      <c r="T3" s="296"/>
      <c r="U3" s="296"/>
      <c r="V3" s="296"/>
      <c r="W3" s="296"/>
      <c r="X3" s="296"/>
      <c r="Y3" s="296"/>
      <c r="Z3" s="296"/>
      <c r="AA3" s="296"/>
      <c r="AB3" s="296"/>
      <c r="AC3" s="296"/>
      <c r="AD3" s="296"/>
      <c r="AE3" s="296"/>
      <c r="AF3" s="296"/>
      <c r="AG3" s="438"/>
      <c r="AH3" s="438"/>
      <c r="AI3" s="438"/>
      <c r="AJ3" s="438"/>
      <c r="AK3" s="438"/>
      <c r="AL3" s="438"/>
      <c r="AM3" s="438"/>
      <c r="AN3" s="438"/>
      <c r="AO3" s="438"/>
      <c r="AP3" s="438"/>
      <c r="AQ3" s="438"/>
      <c r="AR3" s="438"/>
      <c r="AS3" s="438"/>
      <c r="AT3" s="438"/>
      <c r="AU3" s="438"/>
      <c r="AV3" s="438"/>
      <c r="AW3" s="438"/>
      <c r="AX3" s="438"/>
      <c r="AY3" s="438"/>
      <c r="AZ3" s="438"/>
      <c r="BA3" s="438"/>
      <c r="BB3" s="438"/>
      <c r="BC3" s="438"/>
      <c r="BD3" s="438"/>
      <c r="BE3" s="438"/>
      <c r="BF3" s="438"/>
      <c r="BG3" s="438"/>
      <c r="BH3" s="438"/>
      <c r="BI3" s="438"/>
      <c r="BJ3" s="438"/>
      <c r="BK3" s="438"/>
      <c r="BL3" s="438"/>
      <c r="BM3" s="438"/>
      <c r="BN3" s="438"/>
      <c r="BO3" s="438"/>
      <c r="BP3" s="438"/>
      <c r="BQ3" s="199"/>
      <c r="BR3" s="199"/>
      <c r="BS3" s="199"/>
      <c r="BT3" s="199"/>
      <c r="BU3" s="199"/>
    </row>
    <row r="4" spans="1:73" s="1110" customFormat="1" ht="23.95" customHeight="1" x14ac:dyDescent="0.2">
      <c r="A4" s="314"/>
      <c r="B4" s="314"/>
      <c r="C4" s="314"/>
      <c r="D4" s="314"/>
      <c r="E4" s="314"/>
      <c r="F4" s="314"/>
      <c r="G4" s="314"/>
      <c r="H4" s="314"/>
      <c r="I4" s="314"/>
      <c r="J4" s="314"/>
      <c r="K4" s="314"/>
      <c r="L4" s="314"/>
      <c r="M4" s="314"/>
      <c r="O4" s="314"/>
      <c r="P4" s="296"/>
      <c r="Q4" s="275"/>
      <c r="R4" s="551"/>
      <c r="S4" s="296"/>
      <c r="T4" s="296"/>
      <c r="U4" s="296"/>
      <c r="V4" s="296"/>
      <c r="W4" s="296"/>
      <c r="X4" s="296"/>
      <c r="Y4" s="296"/>
      <c r="Z4" s="296"/>
      <c r="AA4" s="296"/>
      <c r="AB4" s="296"/>
      <c r="AC4" s="296"/>
      <c r="AD4" s="296"/>
      <c r="AE4" s="296"/>
      <c r="AF4" s="296"/>
      <c r="AG4" s="438"/>
      <c r="AH4" s="438"/>
      <c r="AI4" s="438"/>
      <c r="AJ4" s="438"/>
      <c r="AK4" s="438"/>
      <c r="AL4" s="438"/>
      <c r="AM4" s="438"/>
      <c r="AN4" s="438"/>
      <c r="AO4" s="438"/>
      <c r="AP4" s="438"/>
      <c r="AQ4" s="438"/>
      <c r="AR4" s="438"/>
      <c r="AS4" s="438"/>
      <c r="AT4" s="438"/>
      <c r="AU4" s="438"/>
      <c r="AV4" s="438"/>
      <c r="AW4" s="438"/>
      <c r="AX4" s="438"/>
      <c r="AY4" s="438"/>
      <c r="AZ4" s="438"/>
      <c r="BA4" s="438"/>
      <c r="BB4" s="438"/>
      <c r="BC4" s="438"/>
      <c r="BD4" s="438"/>
      <c r="BE4" s="438"/>
      <c r="BF4" s="438"/>
      <c r="BG4" s="438"/>
      <c r="BH4" s="438"/>
      <c r="BI4" s="438"/>
      <c r="BJ4" s="438"/>
      <c r="BK4" s="438"/>
      <c r="BL4" s="438"/>
      <c r="BM4" s="438"/>
      <c r="BN4" s="438"/>
      <c r="BO4" s="438"/>
      <c r="BP4" s="438"/>
    </row>
    <row r="5" spans="1:73" s="108" customFormat="1" ht="12.9" customHeight="1" x14ac:dyDescent="0.2">
      <c r="A5" s="1308">
        <f>Projektdaten!C8</f>
        <v>0</v>
      </c>
      <c r="K5" s="164"/>
      <c r="L5" s="164"/>
      <c r="M5" s="164">
        <f>Projektdaten!I8</f>
        <v>0</v>
      </c>
      <c r="O5" s="164"/>
      <c r="P5" s="270"/>
      <c r="Q5" s="276"/>
      <c r="R5" s="1110"/>
      <c r="S5" s="278"/>
      <c r="T5" s="270"/>
      <c r="U5" s="270"/>
      <c r="V5" s="270"/>
      <c r="W5" s="270"/>
      <c r="X5" s="270"/>
      <c r="Y5" s="270"/>
      <c r="Z5" s="270"/>
      <c r="AA5" s="270"/>
      <c r="AB5" s="270"/>
      <c r="AC5" s="270"/>
      <c r="AD5" s="270"/>
      <c r="AE5" s="270"/>
      <c r="AF5" s="270"/>
      <c r="AG5" s="380"/>
      <c r="AH5" s="380"/>
      <c r="AI5" s="380"/>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row>
    <row r="6" spans="1:73" ht="5.3" customHeight="1" x14ac:dyDescent="0.2"/>
    <row r="7" spans="1:73" s="106" customFormat="1" ht="14.95" customHeight="1" x14ac:dyDescent="0.3">
      <c r="A7" s="521" t="s">
        <v>556</v>
      </c>
      <c r="B7" s="343">
        <f>EV_Var2!$E$6</f>
        <v>0</v>
      </c>
      <c r="C7" s="343"/>
      <c r="D7" s="343"/>
      <c r="E7" s="165"/>
      <c r="F7" s="165"/>
      <c r="G7" s="1134"/>
      <c r="H7" s="1134"/>
      <c r="I7" s="1135"/>
      <c r="J7" s="1135"/>
      <c r="K7" s="1135"/>
      <c r="L7" s="1135"/>
      <c r="M7" s="1135"/>
      <c r="O7" s="315"/>
      <c r="P7" s="297"/>
      <c r="Q7" s="279"/>
      <c r="R7" s="441"/>
      <c r="S7" s="272"/>
      <c r="T7" s="442"/>
      <c r="U7" s="400"/>
      <c r="V7" s="442"/>
      <c r="W7" s="442"/>
      <c r="X7" s="442"/>
      <c r="Y7" s="442"/>
      <c r="Z7" s="442"/>
      <c r="AA7" s="443"/>
      <c r="AB7" s="443"/>
      <c r="AC7" s="443"/>
      <c r="AD7" s="443"/>
      <c r="AE7" s="443"/>
      <c r="AF7" s="443"/>
      <c r="AG7" s="444"/>
      <c r="AH7" s="444"/>
      <c r="AI7" s="444"/>
      <c r="AJ7" s="445"/>
      <c r="AK7" s="445"/>
      <c r="AL7" s="446"/>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row>
    <row r="8" spans="1:73" s="104" customFormat="1" ht="5.95" customHeight="1" x14ac:dyDescent="0.3">
      <c r="A8" s="105"/>
      <c r="G8" s="31" t="s">
        <v>12</v>
      </c>
      <c r="H8" s="31"/>
      <c r="I8" s="84"/>
      <c r="J8" s="84"/>
      <c r="K8" s="84"/>
      <c r="L8" s="84"/>
      <c r="M8" s="84"/>
      <c r="N8" s="84"/>
      <c r="O8" s="84"/>
      <c r="P8" s="270"/>
      <c r="Q8" s="280"/>
      <c r="R8" s="281"/>
      <c r="S8" s="272"/>
      <c r="T8" s="271"/>
      <c r="U8" s="271"/>
      <c r="V8" s="271"/>
      <c r="W8" s="271"/>
      <c r="X8" s="271"/>
      <c r="Y8" s="271"/>
      <c r="Z8" s="271"/>
      <c r="AA8" s="270"/>
      <c r="AB8" s="270"/>
      <c r="AC8" s="270"/>
      <c r="AD8" s="270"/>
      <c r="AE8" s="270"/>
      <c r="AF8" s="270"/>
      <c r="AG8" s="380"/>
      <c r="AH8" s="380"/>
      <c r="AI8" s="380"/>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row>
    <row r="9" spans="1:73" ht="17.350000000000001" customHeight="1" x14ac:dyDescent="0.25">
      <c r="A9" s="1108" t="s">
        <v>729</v>
      </c>
      <c r="H9" s="317" t="s">
        <v>757</v>
      </c>
      <c r="I9" s="318">
        <f>IF(ISBLANK(Grunddaten!$V$5),Grunddaten!$U$5,Grunddaten!$V$5)</f>
        <v>2.5000000000000001E-2</v>
      </c>
      <c r="J9" s="1124" t="s">
        <v>568</v>
      </c>
      <c r="K9" s="103"/>
      <c r="L9" s="103"/>
      <c r="M9" s="103"/>
      <c r="N9" s="103"/>
      <c r="O9" s="103"/>
      <c r="P9" s="282"/>
      <c r="Q9" s="271"/>
      <c r="R9" s="283"/>
      <c r="S9" s="272"/>
      <c r="T9" s="271"/>
      <c r="U9" s="271"/>
      <c r="V9" s="271"/>
      <c r="W9" s="271"/>
      <c r="X9" s="271"/>
      <c r="Y9" s="271"/>
      <c r="Z9" s="271"/>
    </row>
    <row r="10" spans="1:73" ht="2.25" customHeight="1" thickBot="1" x14ac:dyDescent="0.25">
      <c r="N10" s="1369"/>
      <c r="O10" s="1366"/>
      <c r="P10" s="1366"/>
      <c r="Q10" s="271"/>
      <c r="R10" s="271"/>
      <c r="S10" s="272"/>
      <c r="T10" s="271"/>
      <c r="U10" s="271"/>
      <c r="V10" s="271"/>
      <c r="W10" s="271"/>
      <c r="X10" s="271"/>
      <c r="Y10" s="271"/>
      <c r="Z10" s="271"/>
    </row>
    <row r="11" spans="1:73" s="382" customFormat="1" ht="11.25" customHeight="1" x14ac:dyDescent="0.2">
      <c r="A11" s="388" t="s">
        <v>318</v>
      </c>
      <c r="B11" s="1403" t="s">
        <v>319</v>
      </c>
      <c r="C11" s="1404"/>
      <c r="D11" s="1404"/>
      <c r="E11" s="2482" t="s">
        <v>651</v>
      </c>
      <c r="F11" s="2483"/>
      <c r="G11" s="2482" t="s">
        <v>653</v>
      </c>
      <c r="H11" s="2483"/>
      <c r="I11" s="2714" t="s">
        <v>654</v>
      </c>
      <c r="J11" s="2714" t="s">
        <v>730</v>
      </c>
      <c r="K11" s="2756" t="s">
        <v>743</v>
      </c>
      <c r="L11" s="2757"/>
      <c r="M11" s="2758"/>
      <c r="N11" s="1466"/>
      <c r="O11" s="1366"/>
      <c r="P11" s="1366"/>
      <c r="Q11" s="285"/>
      <c r="R11" s="285"/>
      <c r="S11" s="280"/>
      <c r="T11" s="271"/>
      <c r="U11" s="271"/>
      <c r="V11" s="271"/>
      <c r="W11" s="271"/>
      <c r="X11" s="271"/>
      <c r="Y11" s="271"/>
      <c r="Z11" s="270"/>
      <c r="AA11" s="270"/>
      <c r="AB11" s="270"/>
      <c r="AC11" s="270"/>
      <c r="AD11" s="270"/>
      <c r="AE11" s="270"/>
      <c r="AF11" s="380"/>
      <c r="AG11" s="380"/>
      <c r="AH11" s="380"/>
      <c r="AI11" s="381"/>
      <c r="AJ11" s="381"/>
    </row>
    <row r="12" spans="1:73" s="382" customFormat="1" ht="11.25" customHeight="1" x14ac:dyDescent="0.2">
      <c r="A12" s="389"/>
      <c r="B12" s="691"/>
      <c r="C12" s="555"/>
      <c r="D12" s="555"/>
      <c r="E12" s="2484"/>
      <c r="F12" s="2485"/>
      <c r="G12" s="2484"/>
      <c r="H12" s="2485"/>
      <c r="I12" s="2715"/>
      <c r="J12" s="2715"/>
      <c r="K12" s="2759"/>
      <c r="L12" s="2760"/>
      <c r="M12" s="2761"/>
      <c r="N12" s="1466"/>
      <c r="O12" s="1366"/>
      <c r="P12" s="1366"/>
      <c r="Q12" s="285"/>
      <c r="R12" s="285"/>
      <c r="S12" s="280"/>
      <c r="T12" s="271"/>
      <c r="U12" s="271"/>
      <c r="V12" s="271"/>
      <c r="W12" s="271"/>
      <c r="X12" s="271"/>
      <c r="Y12" s="271"/>
      <c r="Z12" s="270"/>
      <c r="AA12" s="270"/>
      <c r="AB12" s="270"/>
      <c r="AC12" s="270"/>
      <c r="AD12" s="270"/>
      <c r="AE12" s="270"/>
      <c r="AF12" s="380"/>
      <c r="AG12" s="380"/>
      <c r="AH12" s="380"/>
      <c r="AI12" s="381"/>
      <c r="AJ12" s="381"/>
    </row>
    <row r="13" spans="1:73" s="382" customFormat="1" ht="11.25" customHeight="1" thickBot="1" x14ac:dyDescent="0.25">
      <c r="A13" s="1370"/>
      <c r="B13" s="1371"/>
      <c r="C13" s="1372"/>
      <c r="D13" s="1372"/>
      <c r="E13" s="2609" t="s">
        <v>652</v>
      </c>
      <c r="F13" s="2613"/>
      <c r="G13" s="2528" t="s">
        <v>29</v>
      </c>
      <c r="H13" s="2711"/>
      <c r="I13" s="2780"/>
      <c r="J13" s="693" t="s">
        <v>655</v>
      </c>
      <c r="K13" s="2609" t="s">
        <v>677</v>
      </c>
      <c r="L13" s="2613"/>
      <c r="M13" s="392" t="s">
        <v>655</v>
      </c>
      <c r="N13" s="1369"/>
      <c r="O13" s="1366"/>
      <c r="P13" s="1366"/>
      <c r="Q13" s="285"/>
      <c r="R13" s="285"/>
      <c r="S13" s="280"/>
      <c r="T13" s="271"/>
      <c r="U13" s="271"/>
      <c r="V13" s="271"/>
      <c r="W13" s="271"/>
      <c r="X13" s="271"/>
      <c r="Y13" s="271"/>
      <c r="Z13" s="270"/>
      <c r="AA13" s="270"/>
      <c r="AB13" s="270"/>
      <c r="AC13" s="270"/>
      <c r="AD13" s="270"/>
      <c r="AE13" s="270"/>
      <c r="AF13" s="380"/>
      <c r="AG13" s="380"/>
      <c r="AH13" s="380"/>
      <c r="AI13" s="381"/>
      <c r="AJ13" s="381"/>
    </row>
    <row r="14" spans="1:73" s="382" customFormat="1" ht="13.6" customHeight="1" x14ac:dyDescent="0.2">
      <c r="A14" s="2777" t="s">
        <v>640</v>
      </c>
      <c r="B14" s="2778"/>
      <c r="C14" s="2778"/>
      <c r="D14" s="2778"/>
      <c r="E14" s="2778"/>
      <c r="F14" s="2778"/>
      <c r="G14" s="2778"/>
      <c r="H14" s="2778"/>
      <c r="I14" s="2778"/>
      <c r="J14" s="2778"/>
      <c r="K14" s="2778"/>
      <c r="L14" s="2778"/>
      <c r="M14" s="2779"/>
      <c r="N14" s="1369"/>
      <c r="O14" s="1366"/>
      <c r="P14" s="1366"/>
      <c r="Q14" s="285"/>
      <c r="R14" s="285"/>
      <c r="S14" s="280"/>
      <c r="T14" s="271"/>
      <c r="U14" s="271"/>
      <c r="V14" s="271"/>
      <c r="W14" s="271"/>
      <c r="X14" s="271"/>
      <c r="Y14" s="271"/>
      <c r="Z14" s="270"/>
      <c r="AA14" s="270"/>
      <c r="AB14" s="270"/>
      <c r="AC14" s="270"/>
      <c r="AD14" s="270"/>
      <c r="AE14" s="270"/>
      <c r="AF14" s="380"/>
      <c r="AG14" s="380"/>
      <c r="AH14" s="380"/>
      <c r="AI14" s="381"/>
      <c r="AJ14" s="381"/>
    </row>
    <row r="15" spans="1:73" s="88" customFormat="1" ht="12.1" customHeight="1" x14ac:dyDescent="0.2">
      <c r="A15" s="1013" t="str">
        <f>A44</f>
        <v>1. Wärmequelle Baumeister</v>
      </c>
      <c r="B15" s="2847">
        <f>B44</f>
        <v>0</v>
      </c>
      <c r="C15" s="2848">
        <f>C44</f>
        <v>0</v>
      </c>
      <c r="D15" s="2849">
        <f>D44</f>
        <v>0</v>
      </c>
      <c r="E15" s="2781">
        <f>E44</f>
        <v>0</v>
      </c>
      <c r="F15" s="2782"/>
      <c r="G15" s="2774"/>
      <c r="H15" s="2775"/>
      <c r="I15" s="2776"/>
      <c r="J15" s="1405">
        <f>J44</f>
        <v>0</v>
      </c>
      <c r="K15" s="2799" t="str">
        <f t="shared" ref="K15:K37" si="0">IF(E15=0,"",M15/E15*100)</f>
        <v/>
      </c>
      <c r="L15" s="2800"/>
      <c r="M15" s="1451">
        <f>M44</f>
        <v>0</v>
      </c>
      <c r="N15" s="1297"/>
      <c r="O15" s="1294"/>
      <c r="P15" s="1294"/>
      <c r="Q15" s="1294"/>
      <c r="R15" s="287"/>
      <c r="S15" s="280"/>
      <c r="T15" s="280"/>
      <c r="U15" s="280"/>
      <c r="V15" s="280"/>
      <c r="W15" s="280"/>
      <c r="X15" s="280"/>
      <c r="Y15" s="280"/>
      <c r="Z15" s="284"/>
      <c r="AA15" s="284"/>
      <c r="AB15" s="284"/>
      <c r="AC15" s="284"/>
      <c r="AD15" s="284"/>
      <c r="AE15" s="284"/>
      <c r="AF15" s="447"/>
      <c r="AG15" s="447"/>
      <c r="AH15" s="447"/>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row>
    <row r="16" spans="1:73" s="88" customFormat="1" ht="12.1" customHeight="1" x14ac:dyDescent="0.2">
      <c r="A16" s="1013" t="str">
        <f>A59</f>
        <v>2. Wärmequelle Technisch</v>
      </c>
      <c r="B16" s="2801">
        <f>B59</f>
        <v>0</v>
      </c>
      <c r="C16" s="2802"/>
      <c r="D16" s="2803"/>
      <c r="E16" s="2751">
        <f>E59</f>
        <v>0</v>
      </c>
      <c r="F16" s="2752"/>
      <c r="G16" s="2753"/>
      <c r="H16" s="2754"/>
      <c r="I16" s="2755"/>
      <c r="J16" s="1414">
        <f>J59</f>
        <v>0</v>
      </c>
      <c r="K16" s="2762" t="str">
        <f t="shared" si="0"/>
        <v/>
      </c>
      <c r="L16" s="2763"/>
      <c r="M16" s="1452">
        <f>M59</f>
        <v>0</v>
      </c>
      <c r="N16" s="1297"/>
      <c r="O16" s="1294"/>
      <c r="P16" s="1294"/>
      <c r="Q16" s="1294"/>
      <c r="R16" s="287"/>
      <c r="S16" s="280"/>
      <c r="T16" s="280"/>
      <c r="U16" s="280"/>
      <c r="V16" s="280"/>
      <c r="W16" s="280"/>
      <c r="X16" s="280"/>
      <c r="Y16" s="280"/>
      <c r="Z16" s="284"/>
      <c r="AA16" s="284"/>
      <c r="AB16" s="284"/>
      <c r="AC16" s="284"/>
      <c r="AD16" s="284"/>
      <c r="AE16" s="284"/>
      <c r="AF16" s="447"/>
      <c r="AG16" s="447"/>
      <c r="AH16" s="447"/>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row>
    <row r="17" spans="1:67" s="88" customFormat="1" ht="12.1" customHeight="1" x14ac:dyDescent="0.2">
      <c r="A17" s="1013" t="str">
        <f>A74</f>
        <v>3. Energiezulieferung</v>
      </c>
      <c r="B17" s="2801">
        <f>B74</f>
        <v>0</v>
      </c>
      <c r="C17" s="2802"/>
      <c r="D17" s="2803"/>
      <c r="E17" s="2751">
        <f>E74</f>
        <v>0</v>
      </c>
      <c r="F17" s="2752"/>
      <c r="G17" s="2753"/>
      <c r="H17" s="2754"/>
      <c r="I17" s="2755"/>
      <c r="J17" s="1414">
        <f>J74</f>
        <v>0</v>
      </c>
      <c r="K17" s="2762" t="str">
        <f t="shared" si="0"/>
        <v/>
      </c>
      <c r="L17" s="2763"/>
      <c r="M17" s="1452">
        <f>M74</f>
        <v>0</v>
      </c>
      <c r="N17" s="1297"/>
      <c r="O17" s="1294"/>
      <c r="P17" s="1294"/>
      <c r="Q17" s="1294"/>
      <c r="R17" s="287"/>
      <c r="S17" s="280"/>
      <c r="T17" s="280"/>
      <c r="U17" s="280"/>
      <c r="V17" s="280"/>
      <c r="W17" s="280"/>
      <c r="X17" s="280"/>
      <c r="Y17" s="280"/>
      <c r="Z17" s="284"/>
      <c r="AA17" s="284"/>
      <c r="AB17" s="284"/>
      <c r="AC17" s="284"/>
      <c r="AD17" s="284"/>
      <c r="AE17" s="284"/>
      <c r="AF17" s="447"/>
      <c r="AG17" s="447"/>
      <c r="AH17" s="447"/>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row>
    <row r="18" spans="1:67" s="88" customFormat="1" ht="12.1" customHeight="1" x14ac:dyDescent="0.2">
      <c r="A18" s="1013" t="str">
        <f>A89</f>
        <v>4. Wärme- / Kälteerzeugung</v>
      </c>
      <c r="B18" s="2801">
        <f>B89</f>
        <v>0</v>
      </c>
      <c r="C18" s="2802"/>
      <c r="D18" s="2803"/>
      <c r="E18" s="2751">
        <f>E89</f>
        <v>0</v>
      </c>
      <c r="F18" s="2752"/>
      <c r="G18" s="2753"/>
      <c r="H18" s="2754"/>
      <c r="I18" s="2755"/>
      <c r="J18" s="1414">
        <f>J89</f>
        <v>0</v>
      </c>
      <c r="K18" s="2762" t="str">
        <f t="shared" si="0"/>
        <v/>
      </c>
      <c r="L18" s="2763"/>
      <c r="M18" s="1452">
        <f>M89</f>
        <v>0</v>
      </c>
      <c r="N18" s="1297"/>
      <c r="O18" s="1294"/>
      <c r="P18" s="1294"/>
      <c r="Q18" s="1294"/>
      <c r="R18" s="287"/>
      <c r="S18" s="280"/>
      <c r="T18" s="280"/>
      <c r="U18" s="280"/>
      <c r="V18" s="280"/>
      <c r="W18" s="280"/>
      <c r="X18" s="280"/>
      <c r="Y18" s="280"/>
      <c r="Z18" s="284"/>
      <c r="AA18" s="284"/>
      <c r="AB18" s="284"/>
      <c r="AC18" s="284"/>
      <c r="AD18" s="284"/>
      <c r="AE18" s="284"/>
      <c r="AF18" s="447"/>
      <c r="AG18" s="447"/>
      <c r="AH18" s="447"/>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row>
    <row r="19" spans="1:67" s="88" customFormat="1" ht="12.1" customHeight="1" x14ac:dyDescent="0.2">
      <c r="A19" s="1013" t="str">
        <f>A106</f>
        <v>5. Kaminanlage</v>
      </c>
      <c r="B19" s="2801">
        <f>B106</f>
        <v>0</v>
      </c>
      <c r="C19" s="2802"/>
      <c r="D19" s="2803"/>
      <c r="E19" s="2751">
        <f>E106</f>
        <v>0</v>
      </c>
      <c r="F19" s="2752"/>
      <c r="G19" s="2753"/>
      <c r="H19" s="2754"/>
      <c r="I19" s="2755"/>
      <c r="J19" s="1414">
        <f>J106</f>
        <v>0</v>
      </c>
      <c r="K19" s="2762" t="str">
        <f t="shared" si="0"/>
        <v/>
      </c>
      <c r="L19" s="2763"/>
      <c r="M19" s="1452">
        <f>M106</f>
        <v>0</v>
      </c>
      <c r="N19" s="1297"/>
      <c r="O19" s="1294"/>
      <c r="P19" s="1294"/>
      <c r="Q19" s="1294"/>
      <c r="R19" s="287"/>
      <c r="S19" s="280"/>
      <c r="T19" s="280"/>
      <c r="U19" s="280"/>
      <c r="V19" s="280"/>
      <c r="W19" s="280"/>
      <c r="X19" s="280"/>
      <c r="Y19" s="280"/>
      <c r="Z19" s="284"/>
      <c r="AA19" s="284"/>
      <c r="AB19" s="284"/>
      <c r="AC19" s="284"/>
      <c r="AD19" s="284"/>
      <c r="AE19" s="284"/>
      <c r="AF19" s="447"/>
      <c r="AG19" s="447"/>
      <c r="AH19" s="447"/>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row>
    <row r="20" spans="1:67" s="88" customFormat="1" ht="12.1" customHeight="1" x14ac:dyDescent="0.2">
      <c r="A20" s="1013" t="str">
        <f>A121</f>
        <v>6. Wärmeverteilung</v>
      </c>
      <c r="B20" s="2801">
        <f>B121</f>
        <v>0</v>
      </c>
      <c r="C20" s="2802"/>
      <c r="D20" s="2803"/>
      <c r="E20" s="2751">
        <f>E121</f>
        <v>0</v>
      </c>
      <c r="F20" s="2752"/>
      <c r="G20" s="2753"/>
      <c r="H20" s="2754"/>
      <c r="I20" s="2755"/>
      <c r="J20" s="1414">
        <f>J121</f>
        <v>0</v>
      </c>
      <c r="K20" s="2762" t="str">
        <f t="shared" si="0"/>
        <v/>
      </c>
      <c r="L20" s="2763"/>
      <c r="M20" s="1452">
        <f>M121</f>
        <v>0</v>
      </c>
      <c r="N20" s="1297"/>
      <c r="O20" s="1294"/>
      <c r="P20" s="1294"/>
      <c r="Q20" s="1294"/>
      <c r="R20" s="287"/>
      <c r="S20" s="280"/>
      <c r="T20" s="280"/>
      <c r="U20" s="280"/>
      <c r="V20" s="280"/>
      <c r="W20" s="280"/>
      <c r="X20" s="280"/>
      <c r="Y20" s="280"/>
      <c r="Z20" s="284"/>
      <c r="AA20" s="284"/>
      <c r="AB20" s="284"/>
      <c r="AC20" s="284"/>
      <c r="AD20" s="284"/>
      <c r="AE20" s="284"/>
      <c r="AF20" s="447"/>
      <c r="AG20" s="447"/>
      <c r="AH20" s="447"/>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row>
    <row r="21" spans="1:67" s="88" customFormat="1" ht="12.1" customHeight="1" x14ac:dyDescent="0.2">
      <c r="A21" s="1013" t="str">
        <f>A136</f>
        <v>7. Wärme- / Kälteabgabe</v>
      </c>
      <c r="B21" s="2801">
        <f>B136</f>
        <v>0</v>
      </c>
      <c r="C21" s="2802"/>
      <c r="D21" s="2803"/>
      <c r="E21" s="2751">
        <f>E136</f>
        <v>0</v>
      </c>
      <c r="F21" s="2752"/>
      <c r="G21" s="2753"/>
      <c r="H21" s="2754"/>
      <c r="I21" s="2755"/>
      <c r="J21" s="1414">
        <f>J136</f>
        <v>0</v>
      </c>
      <c r="K21" s="2762" t="str">
        <f t="shared" si="0"/>
        <v/>
      </c>
      <c r="L21" s="2763"/>
      <c r="M21" s="1452">
        <f>M136</f>
        <v>0</v>
      </c>
      <c r="N21" s="1297"/>
      <c r="O21" s="1294"/>
      <c r="P21" s="1294"/>
      <c r="Q21" s="1294"/>
      <c r="R21" s="287"/>
      <c r="S21" s="280"/>
      <c r="T21" s="280"/>
      <c r="U21" s="280"/>
      <c r="V21" s="280"/>
      <c r="W21" s="280"/>
      <c r="X21" s="280"/>
      <c r="Y21" s="280"/>
      <c r="Z21" s="284"/>
      <c r="AA21" s="284"/>
      <c r="AB21" s="284"/>
      <c r="AC21" s="284"/>
      <c r="AD21" s="284"/>
      <c r="AE21" s="284"/>
      <c r="AF21" s="447"/>
      <c r="AG21" s="447"/>
      <c r="AH21" s="447"/>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row>
    <row r="22" spans="1:67" s="88" customFormat="1" ht="12.1" customHeight="1" x14ac:dyDescent="0.2">
      <c r="A22" s="1013" t="str">
        <f>A151</f>
        <v>8. Sicherheit</v>
      </c>
      <c r="B22" s="2801">
        <f>B151</f>
        <v>0</v>
      </c>
      <c r="C22" s="2802"/>
      <c r="D22" s="2803"/>
      <c r="E22" s="2751">
        <f>E151</f>
        <v>0</v>
      </c>
      <c r="F22" s="2752"/>
      <c r="G22" s="2753"/>
      <c r="H22" s="2754"/>
      <c r="I22" s="2755"/>
      <c r="J22" s="1414">
        <f>J151</f>
        <v>0</v>
      </c>
      <c r="K22" s="2762" t="str">
        <f t="shared" si="0"/>
        <v/>
      </c>
      <c r="L22" s="2763"/>
      <c r="M22" s="1452">
        <f>M151</f>
        <v>0</v>
      </c>
      <c r="N22" s="1297"/>
      <c r="O22" s="1294"/>
      <c r="P22" s="1294"/>
      <c r="Q22" s="1294"/>
      <c r="R22" s="287"/>
      <c r="S22" s="280"/>
      <c r="T22" s="280"/>
      <c r="U22" s="280"/>
      <c r="V22" s="280"/>
      <c r="W22" s="280"/>
      <c r="X22" s="280"/>
      <c r="Y22" s="280"/>
      <c r="Z22" s="284"/>
      <c r="AA22" s="284"/>
      <c r="AB22" s="284"/>
      <c r="AC22" s="284"/>
      <c r="AD22" s="284"/>
      <c r="AE22" s="284"/>
      <c r="AF22" s="447"/>
      <c r="AG22" s="447"/>
      <c r="AH22" s="447"/>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row>
    <row r="23" spans="1:67" s="88" customFormat="1" ht="12.1" customHeight="1" x14ac:dyDescent="0.2">
      <c r="A23" s="1013" t="str">
        <f>A166</f>
        <v>9. Sanitär</v>
      </c>
      <c r="B23" s="2801">
        <f>B166</f>
        <v>0</v>
      </c>
      <c r="C23" s="2802"/>
      <c r="D23" s="2803"/>
      <c r="E23" s="2751">
        <f>E166</f>
        <v>0</v>
      </c>
      <c r="F23" s="2752"/>
      <c r="G23" s="2753"/>
      <c r="H23" s="2754"/>
      <c r="I23" s="2755"/>
      <c r="J23" s="1414">
        <f>J166</f>
        <v>0</v>
      </c>
      <c r="K23" s="2762" t="str">
        <f t="shared" si="0"/>
        <v/>
      </c>
      <c r="L23" s="2763"/>
      <c r="M23" s="1452">
        <f>M166</f>
        <v>0</v>
      </c>
      <c r="N23" s="1297"/>
      <c r="O23" s="1294"/>
      <c r="P23" s="1294"/>
      <c r="Q23" s="1294"/>
      <c r="R23" s="287"/>
      <c r="S23" s="280"/>
      <c r="T23" s="280"/>
      <c r="U23" s="280"/>
      <c r="V23" s="280"/>
      <c r="W23" s="280"/>
      <c r="X23" s="280"/>
      <c r="Y23" s="280"/>
      <c r="Z23" s="284"/>
      <c r="AA23" s="284"/>
      <c r="AB23" s="284"/>
      <c r="AC23" s="284"/>
      <c r="AD23" s="284"/>
      <c r="AE23" s="284"/>
      <c r="AF23" s="447"/>
      <c r="AG23" s="447"/>
      <c r="AH23" s="447"/>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row>
    <row r="24" spans="1:67" s="88" customFormat="1" ht="12.1" customHeight="1" x14ac:dyDescent="0.2">
      <c r="A24" s="1013" t="str">
        <f>A181</f>
        <v>10. Lüftung</v>
      </c>
      <c r="B24" s="2801">
        <f>B181</f>
        <v>0</v>
      </c>
      <c r="C24" s="2802"/>
      <c r="D24" s="2803"/>
      <c r="E24" s="2751">
        <f>E181</f>
        <v>0</v>
      </c>
      <c r="F24" s="2752"/>
      <c r="G24" s="2753"/>
      <c r="H24" s="2754"/>
      <c r="I24" s="2755"/>
      <c r="J24" s="1414">
        <f>J181</f>
        <v>0</v>
      </c>
      <c r="K24" s="2762" t="str">
        <f t="shared" si="0"/>
        <v/>
      </c>
      <c r="L24" s="2763"/>
      <c r="M24" s="1452">
        <f>M181</f>
        <v>0</v>
      </c>
      <c r="N24" s="1297"/>
      <c r="O24" s="1294"/>
      <c r="P24" s="1294"/>
      <c r="Q24" s="1294"/>
      <c r="R24" s="287"/>
      <c r="S24" s="280"/>
      <c r="T24" s="280"/>
      <c r="U24" s="280"/>
      <c r="V24" s="280"/>
      <c r="W24" s="280"/>
      <c r="X24" s="280"/>
      <c r="Y24" s="280"/>
      <c r="Z24" s="284"/>
      <c r="AA24" s="284"/>
      <c r="AB24" s="284"/>
      <c r="AC24" s="284"/>
      <c r="AD24" s="284"/>
      <c r="AE24" s="284"/>
      <c r="AF24" s="447"/>
      <c r="AG24" s="447"/>
      <c r="AH24" s="447"/>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row>
    <row r="25" spans="1:67" s="88" customFormat="1" ht="12.1" customHeight="1" x14ac:dyDescent="0.2">
      <c r="A25" s="1013" t="str">
        <f>A196</f>
        <v>11. Metallbauarbeiten</v>
      </c>
      <c r="B25" s="2801">
        <f>B196</f>
        <v>0</v>
      </c>
      <c r="C25" s="2802"/>
      <c r="D25" s="2803"/>
      <c r="E25" s="2751">
        <f>E196</f>
        <v>0</v>
      </c>
      <c r="F25" s="2752"/>
      <c r="G25" s="2753"/>
      <c r="H25" s="2754"/>
      <c r="I25" s="2755"/>
      <c r="J25" s="1414">
        <f>J196</f>
        <v>0</v>
      </c>
      <c r="K25" s="2762" t="str">
        <f t="shared" si="0"/>
        <v/>
      </c>
      <c r="L25" s="2763"/>
      <c r="M25" s="1452">
        <f>M196</f>
        <v>0</v>
      </c>
      <c r="N25" s="1297"/>
      <c r="O25" s="1294"/>
      <c r="P25" s="1294"/>
      <c r="Q25" s="1294"/>
      <c r="R25" s="287"/>
      <c r="S25" s="280"/>
      <c r="T25" s="280"/>
      <c r="U25" s="280"/>
      <c r="V25" s="280"/>
      <c r="W25" s="280"/>
      <c r="X25" s="280"/>
      <c r="Y25" s="280"/>
      <c r="Z25" s="284"/>
      <c r="AA25" s="284"/>
      <c r="AB25" s="284"/>
      <c r="AC25" s="284"/>
      <c r="AD25" s="284"/>
      <c r="AE25" s="284"/>
      <c r="AF25" s="447"/>
      <c r="AG25" s="447"/>
      <c r="AH25" s="447"/>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row>
    <row r="26" spans="1:67" s="88" customFormat="1" ht="12.1" customHeight="1" x14ac:dyDescent="0.2">
      <c r="A26" s="1013" t="str">
        <f>A211</f>
        <v>12. Bauliches Zentrale</v>
      </c>
      <c r="B26" s="2801">
        <f>B211</f>
        <v>0</v>
      </c>
      <c r="C26" s="2802"/>
      <c r="D26" s="2803"/>
      <c r="E26" s="2751">
        <f>E211</f>
        <v>0</v>
      </c>
      <c r="F26" s="2752"/>
      <c r="G26" s="2753"/>
      <c r="H26" s="2754"/>
      <c r="I26" s="2755"/>
      <c r="J26" s="1414">
        <f>J211</f>
        <v>0</v>
      </c>
      <c r="K26" s="2762" t="str">
        <f t="shared" si="0"/>
        <v/>
      </c>
      <c r="L26" s="2763"/>
      <c r="M26" s="1452">
        <f>M211</f>
        <v>0</v>
      </c>
      <c r="N26" s="1297"/>
      <c r="O26" s="1294"/>
      <c r="P26" s="1294"/>
      <c r="Q26" s="1294"/>
      <c r="R26" s="287"/>
      <c r="S26" s="280"/>
      <c r="T26" s="280"/>
      <c r="U26" s="280"/>
      <c r="V26" s="280"/>
      <c r="W26" s="280"/>
      <c r="X26" s="280"/>
      <c r="Y26" s="280"/>
      <c r="Z26" s="284"/>
      <c r="AA26" s="284"/>
      <c r="AB26" s="284"/>
      <c r="AC26" s="284"/>
      <c r="AD26" s="284"/>
      <c r="AE26" s="284"/>
      <c r="AF26" s="447"/>
      <c r="AG26" s="447"/>
      <c r="AH26" s="447"/>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row>
    <row r="27" spans="1:67" s="88" customFormat="1" ht="12.1" customHeight="1" x14ac:dyDescent="0.2">
      <c r="A27" s="1013" t="str">
        <f>A226</f>
        <v>13. Wärmeverbund Baumeister</v>
      </c>
      <c r="B27" s="2801">
        <f>B226</f>
        <v>0</v>
      </c>
      <c r="C27" s="2802"/>
      <c r="D27" s="2803"/>
      <c r="E27" s="2751">
        <f>E226</f>
        <v>0</v>
      </c>
      <c r="F27" s="2752"/>
      <c r="G27" s="2753"/>
      <c r="H27" s="2754"/>
      <c r="I27" s="2755"/>
      <c r="J27" s="1414">
        <f>J226</f>
        <v>0</v>
      </c>
      <c r="K27" s="2762" t="str">
        <f t="shared" si="0"/>
        <v/>
      </c>
      <c r="L27" s="2763"/>
      <c r="M27" s="1452">
        <f>M226</f>
        <v>0</v>
      </c>
      <c r="N27" s="1297"/>
      <c r="O27" s="1294"/>
      <c r="P27" s="1294"/>
      <c r="Q27" s="1294"/>
      <c r="R27" s="287"/>
      <c r="S27" s="280"/>
      <c r="T27" s="280"/>
      <c r="U27" s="280"/>
      <c r="V27" s="280"/>
      <c r="W27" s="280"/>
      <c r="X27" s="280"/>
      <c r="Y27" s="280"/>
      <c r="Z27" s="284"/>
      <c r="AA27" s="284"/>
      <c r="AB27" s="284"/>
      <c r="AC27" s="284"/>
      <c r="AD27" s="284"/>
      <c r="AE27" s="284"/>
      <c r="AF27" s="447"/>
      <c r="AG27" s="447"/>
      <c r="AH27" s="447"/>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row>
    <row r="28" spans="1:67" s="88" customFormat="1" ht="12.1" customHeight="1" x14ac:dyDescent="0.2">
      <c r="A28" s="1013" t="str">
        <f>A241</f>
        <v>14. Wärmeverbund Leitungen</v>
      </c>
      <c r="B28" s="2801">
        <f>B241</f>
        <v>0</v>
      </c>
      <c r="C28" s="2802"/>
      <c r="D28" s="2803"/>
      <c r="E28" s="2751">
        <f>E241</f>
        <v>0</v>
      </c>
      <c r="F28" s="2752"/>
      <c r="G28" s="2753"/>
      <c r="H28" s="2754"/>
      <c r="I28" s="2755"/>
      <c r="J28" s="1414">
        <f>J241</f>
        <v>0</v>
      </c>
      <c r="K28" s="2762" t="str">
        <f t="shared" si="0"/>
        <v/>
      </c>
      <c r="L28" s="2763"/>
      <c r="M28" s="1452">
        <f>M241</f>
        <v>0</v>
      </c>
      <c r="N28" s="1297"/>
      <c r="O28" s="1294"/>
      <c r="P28" s="1294"/>
      <c r="Q28" s="1294"/>
      <c r="R28" s="287"/>
      <c r="S28" s="280"/>
      <c r="T28" s="280"/>
      <c r="U28" s="280"/>
      <c r="V28" s="280"/>
      <c r="W28" s="280"/>
      <c r="X28" s="280"/>
      <c r="Y28" s="280"/>
      <c r="Z28" s="284"/>
      <c r="AA28" s="284"/>
      <c r="AB28" s="284"/>
      <c r="AC28" s="284"/>
      <c r="AD28" s="284"/>
      <c r="AE28" s="284"/>
      <c r="AF28" s="447"/>
      <c r="AG28" s="447"/>
      <c r="AH28" s="447"/>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row>
    <row r="29" spans="1:67" s="88" customFormat="1" ht="12.1" customHeight="1" x14ac:dyDescent="0.2">
      <c r="A29" s="1013" t="str">
        <f>A256</f>
        <v>15. MSRL</v>
      </c>
      <c r="B29" s="2801">
        <f>B256</f>
        <v>0</v>
      </c>
      <c r="C29" s="2802"/>
      <c r="D29" s="2803"/>
      <c r="E29" s="2751">
        <f>E256</f>
        <v>0</v>
      </c>
      <c r="F29" s="2752"/>
      <c r="G29" s="2753"/>
      <c r="H29" s="2754"/>
      <c r="I29" s="2755"/>
      <c r="J29" s="1414">
        <f>J256</f>
        <v>0</v>
      </c>
      <c r="K29" s="2762" t="str">
        <f t="shared" si="0"/>
        <v/>
      </c>
      <c r="L29" s="2763"/>
      <c r="M29" s="1452">
        <f>M256</f>
        <v>0</v>
      </c>
      <c r="N29" s="1297"/>
      <c r="O29" s="1294"/>
      <c r="P29" s="1294"/>
      <c r="Q29" s="1294"/>
      <c r="R29" s="287"/>
      <c r="S29" s="280"/>
      <c r="T29" s="280"/>
      <c r="U29" s="280"/>
      <c r="V29" s="280"/>
      <c r="W29" s="280"/>
      <c r="X29" s="280"/>
      <c r="Y29" s="280"/>
      <c r="Z29" s="284"/>
      <c r="AA29" s="284"/>
      <c r="AB29" s="284"/>
      <c r="AC29" s="284"/>
      <c r="AD29" s="284"/>
      <c r="AE29" s="284"/>
      <c r="AF29" s="447"/>
      <c r="AG29" s="447"/>
      <c r="AH29" s="447"/>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row>
    <row r="30" spans="1:67" s="88" customFormat="1" ht="12.1" customHeight="1" x14ac:dyDescent="0.2">
      <c r="A30" s="1013" t="str">
        <f>A271</f>
        <v>16. Elektro</v>
      </c>
      <c r="B30" s="2801">
        <f>B271</f>
        <v>0</v>
      </c>
      <c r="C30" s="2802"/>
      <c r="D30" s="2803"/>
      <c r="E30" s="2751">
        <f>E271</f>
        <v>0</v>
      </c>
      <c r="F30" s="2752"/>
      <c r="G30" s="2753"/>
      <c r="H30" s="2754"/>
      <c r="I30" s="2755"/>
      <c r="J30" s="1414">
        <f>J271</f>
        <v>0</v>
      </c>
      <c r="K30" s="2762" t="str">
        <f t="shared" si="0"/>
        <v/>
      </c>
      <c r="L30" s="2763"/>
      <c r="M30" s="1452">
        <f>M271</f>
        <v>0</v>
      </c>
      <c r="N30" s="1297"/>
      <c r="O30" s="1294"/>
      <c r="P30" s="1294"/>
      <c r="Q30" s="1294"/>
      <c r="R30" s="287"/>
      <c r="S30" s="280"/>
      <c r="T30" s="280"/>
      <c r="U30" s="280"/>
      <c r="V30" s="280"/>
      <c r="W30" s="280"/>
      <c r="X30" s="280"/>
      <c r="Y30" s="280"/>
      <c r="Z30" s="284"/>
      <c r="AA30" s="284"/>
      <c r="AB30" s="284"/>
      <c r="AC30" s="284"/>
      <c r="AD30" s="284"/>
      <c r="AE30" s="284"/>
      <c r="AF30" s="447"/>
      <c r="AG30" s="447"/>
      <c r="AH30" s="447"/>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row>
    <row r="31" spans="1:67" s="88" customFormat="1" ht="12.1" customHeight="1" x14ac:dyDescent="0.2">
      <c r="A31" s="1013" t="str">
        <f>+A286</f>
        <v>17. Baumeister</v>
      </c>
      <c r="B31" s="2801">
        <f>+B286</f>
        <v>0</v>
      </c>
      <c r="C31" s="2802"/>
      <c r="D31" s="2803"/>
      <c r="E31" s="2751">
        <f>+E286</f>
        <v>0</v>
      </c>
      <c r="F31" s="2752"/>
      <c r="G31" s="2753"/>
      <c r="H31" s="2754"/>
      <c r="I31" s="2755"/>
      <c r="J31" s="1414">
        <f>+J286</f>
        <v>0</v>
      </c>
      <c r="K31" s="2762" t="str">
        <f t="shared" si="0"/>
        <v/>
      </c>
      <c r="L31" s="2763"/>
      <c r="M31" s="1452">
        <f>+M286</f>
        <v>0</v>
      </c>
      <c r="N31" s="1297"/>
      <c r="O31" s="1294"/>
      <c r="P31" s="1294"/>
      <c r="Q31" s="1294"/>
      <c r="R31" s="287"/>
      <c r="S31" s="280"/>
      <c r="T31" s="280"/>
      <c r="U31" s="280"/>
      <c r="V31" s="280"/>
      <c r="W31" s="280"/>
      <c r="X31" s="280"/>
      <c r="Y31" s="280"/>
      <c r="Z31" s="284"/>
      <c r="AA31" s="284"/>
      <c r="AB31" s="284"/>
      <c r="AC31" s="284"/>
      <c r="AD31" s="284"/>
      <c r="AE31" s="284"/>
      <c r="AF31" s="447"/>
      <c r="AG31" s="447"/>
      <c r="AH31" s="447"/>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row>
    <row r="32" spans="1:67" s="88" customFormat="1" ht="12.1" customHeight="1" x14ac:dyDescent="0.2">
      <c r="A32" s="1013" t="str">
        <f>A301</f>
        <v>18. Weiteres (ohne Baumeister)</v>
      </c>
      <c r="B32" s="2801">
        <f>B301</f>
        <v>0</v>
      </c>
      <c r="C32" s="2802"/>
      <c r="D32" s="2803"/>
      <c r="E32" s="2751">
        <f>E301</f>
        <v>0</v>
      </c>
      <c r="F32" s="2752"/>
      <c r="G32" s="2753"/>
      <c r="H32" s="2754"/>
      <c r="I32" s="2755"/>
      <c r="J32" s="1414">
        <f>J301</f>
        <v>0</v>
      </c>
      <c r="K32" s="2762" t="str">
        <f t="shared" si="0"/>
        <v/>
      </c>
      <c r="L32" s="2763"/>
      <c r="M32" s="1452">
        <f>M301</f>
        <v>0</v>
      </c>
      <c r="N32" s="1297"/>
      <c r="O32" s="1294"/>
      <c r="P32" s="1294"/>
      <c r="Q32" s="1294"/>
      <c r="R32" s="287"/>
      <c r="S32" s="280"/>
      <c r="T32" s="280"/>
      <c r="U32" s="280"/>
      <c r="V32" s="280"/>
      <c r="W32" s="280"/>
      <c r="X32" s="280"/>
      <c r="Y32" s="280"/>
      <c r="Z32" s="284"/>
      <c r="AA32" s="284"/>
      <c r="AB32" s="284"/>
      <c r="AC32" s="284"/>
      <c r="AD32" s="284"/>
      <c r="AE32" s="284"/>
      <c r="AF32" s="447"/>
      <c r="AG32" s="447"/>
      <c r="AH32" s="447"/>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row>
    <row r="33" spans="1:68" s="88" customFormat="1" ht="12.1" customHeight="1" x14ac:dyDescent="0.2">
      <c r="A33" s="1013" t="str">
        <f>A316</f>
        <v>19. Baunebenkosten</v>
      </c>
      <c r="B33" s="2801">
        <f>B316</f>
        <v>0</v>
      </c>
      <c r="C33" s="2802"/>
      <c r="D33" s="2803"/>
      <c r="E33" s="2751">
        <f>E316</f>
        <v>0</v>
      </c>
      <c r="F33" s="2752"/>
      <c r="G33" s="2753"/>
      <c r="H33" s="2754"/>
      <c r="I33" s="2755"/>
      <c r="J33" s="1414">
        <f>J316</f>
        <v>0</v>
      </c>
      <c r="K33" s="2762" t="str">
        <f t="shared" si="0"/>
        <v/>
      </c>
      <c r="L33" s="2763"/>
      <c r="M33" s="1452">
        <f>M316</f>
        <v>0</v>
      </c>
      <c r="N33" s="1297"/>
      <c r="O33" s="1294"/>
      <c r="P33" s="1294"/>
      <c r="Q33" s="1294"/>
      <c r="R33" s="287"/>
      <c r="S33" s="280"/>
      <c r="T33" s="280"/>
      <c r="U33" s="280"/>
      <c r="V33" s="280"/>
      <c r="W33" s="280"/>
      <c r="X33" s="280"/>
      <c r="Y33" s="280"/>
      <c r="Z33" s="284"/>
      <c r="AA33" s="284"/>
      <c r="AB33" s="284"/>
      <c r="AC33" s="284"/>
      <c r="AD33" s="284"/>
      <c r="AE33" s="284"/>
      <c r="AF33" s="447"/>
      <c r="AG33" s="447"/>
      <c r="AH33" s="447"/>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row>
    <row r="34" spans="1:68" s="88" customFormat="1" ht="12.1" customHeight="1" x14ac:dyDescent="0.2">
      <c r="A34" s="1013" t="str">
        <f>A331</f>
        <v>20. Unvorhergesehenes</v>
      </c>
      <c r="B34" s="2801">
        <f>B331</f>
        <v>0</v>
      </c>
      <c r="C34" s="2802"/>
      <c r="D34" s="2803"/>
      <c r="E34" s="2751">
        <f>E331</f>
        <v>0</v>
      </c>
      <c r="F34" s="2752"/>
      <c r="G34" s="2753"/>
      <c r="H34" s="2754"/>
      <c r="I34" s="2755"/>
      <c r="J34" s="1414">
        <f>J331</f>
        <v>0</v>
      </c>
      <c r="K34" s="2762" t="str">
        <f t="shared" si="0"/>
        <v/>
      </c>
      <c r="L34" s="2763"/>
      <c r="M34" s="1452">
        <f>M331</f>
        <v>0</v>
      </c>
      <c r="N34" s="1297"/>
      <c r="O34" s="1294"/>
      <c r="P34" s="1294"/>
      <c r="Q34" s="1294"/>
      <c r="R34" s="287"/>
      <c r="S34" s="280"/>
      <c r="T34" s="280"/>
      <c r="U34" s="280"/>
      <c r="V34" s="280"/>
      <c r="W34" s="280"/>
      <c r="X34" s="280"/>
      <c r="Y34" s="280"/>
      <c r="Z34" s="284"/>
      <c r="AA34" s="284"/>
      <c r="AB34" s="284"/>
      <c r="AC34" s="284"/>
      <c r="AD34" s="284"/>
      <c r="AE34" s="284"/>
      <c r="AF34" s="447"/>
      <c r="AG34" s="447"/>
      <c r="AH34" s="447"/>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row>
    <row r="35" spans="1:68" s="88" customFormat="1" ht="12.1" customHeight="1" x14ac:dyDescent="0.2">
      <c r="A35" s="1013" t="str">
        <f>A347</f>
        <v>21. Honorare / Nebenkosten</v>
      </c>
      <c r="B35" s="2801">
        <f>B347</f>
        <v>0</v>
      </c>
      <c r="C35" s="2802"/>
      <c r="D35" s="2803"/>
      <c r="E35" s="2751">
        <f>E347</f>
        <v>0</v>
      </c>
      <c r="F35" s="2752"/>
      <c r="G35" s="2753"/>
      <c r="H35" s="2754"/>
      <c r="I35" s="2755"/>
      <c r="J35" s="1414">
        <f>J347</f>
        <v>0</v>
      </c>
      <c r="K35" s="2762" t="str">
        <f t="shared" si="0"/>
        <v/>
      </c>
      <c r="L35" s="2763"/>
      <c r="M35" s="1452">
        <f>M347</f>
        <v>0</v>
      </c>
      <c r="N35" s="1297"/>
      <c r="O35" s="1294"/>
      <c r="P35" s="1294"/>
      <c r="Q35" s="1294"/>
      <c r="R35" s="287"/>
      <c r="S35" s="280"/>
      <c r="T35" s="280"/>
      <c r="U35" s="280"/>
      <c r="V35" s="280"/>
      <c r="W35" s="280"/>
      <c r="X35" s="280"/>
      <c r="Y35" s="280"/>
      <c r="Z35" s="284"/>
      <c r="AA35" s="284"/>
      <c r="AB35" s="284"/>
      <c r="AC35" s="284"/>
      <c r="AD35" s="284"/>
      <c r="AE35" s="284"/>
      <c r="AF35" s="447"/>
      <c r="AG35" s="447"/>
      <c r="AH35" s="447"/>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row>
    <row r="36" spans="1:68" s="88" customFormat="1" ht="12.1" customHeight="1" x14ac:dyDescent="0.2">
      <c r="A36" s="1085" t="str">
        <f>A408</f>
        <v>22. Betriebsführung</v>
      </c>
      <c r="B36" s="2804">
        <f>B408</f>
        <v>0</v>
      </c>
      <c r="C36" s="2805"/>
      <c r="D36" s="2806"/>
      <c r="E36" s="2793">
        <f>E408</f>
        <v>0</v>
      </c>
      <c r="F36" s="2794"/>
      <c r="G36" s="2771"/>
      <c r="H36" s="2772"/>
      <c r="I36" s="2773"/>
      <c r="J36" s="1415">
        <f>J408</f>
        <v>0</v>
      </c>
      <c r="K36" s="2797" t="str">
        <f t="shared" si="0"/>
        <v/>
      </c>
      <c r="L36" s="2798"/>
      <c r="M36" s="1453">
        <f>M408</f>
        <v>0</v>
      </c>
      <c r="N36" s="1297"/>
      <c r="O36" s="1294"/>
      <c r="P36" s="1294"/>
      <c r="Q36" s="1294"/>
      <c r="R36" s="287"/>
      <c r="S36" s="280"/>
      <c r="T36" s="280"/>
      <c r="U36" s="280"/>
      <c r="V36" s="280"/>
      <c r="W36" s="280"/>
      <c r="X36" s="280"/>
      <c r="Y36" s="280"/>
      <c r="Z36" s="284"/>
      <c r="AA36" s="284"/>
      <c r="AB36" s="284"/>
      <c r="AC36" s="284"/>
      <c r="AD36" s="284"/>
      <c r="AE36" s="284"/>
      <c r="AF36" s="447"/>
      <c r="AG36" s="447"/>
      <c r="AH36" s="447"/>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row>
    <row r="37" spans="1:68" s="93" customFormat="1" ht="14.1" customHeight="1" thickBot="1" x14ac:dyDescent="0.3">
      <c r="A37" s="1305" t="s">
        <v>599</v>
      </c>
      <c r="B37" s="1319"/>
      <c r="C37" s="1320"/>
      <c r="D37" s="1321"/>
      <c r="E37" s="2795">
        <f>E414</f>
        <v>0</v>
      </c>
      <c r="F37" s="2796"/>
      <c r="G37" s="2766"/>
      <c r="H37" s="2767"/>
      <c r="I37" s="2768"/>
      <c r="J37" s="1416">
        <f>J414</f>
        <v>0</v>
      </c>
      <c r="K37" s="2769" t="str">
        <f t="shared" si="0"/>
        <v/>
      </c>
      <c r="L37" s="2770"/>
      <c r="M37" s="1454">
        <f>M414</f>
        <v>0</v>
      </c>
      <c r="N37" s="868"/>
      <c r="O37" s="152"/>
      <c r="P37" s="152"/>
      <c r="Q37" s="152"/>
      <c r="R37" s="1316"/>
      <c r="S37" s="281"/>
      <c r="T37" s="281"/>
      <c r="U37" s="281"/>
      <c r="V37" s="281"/>
      <c r="W37" s="281"/>
      <c r="X37" s="281"/>
      <c r="Y37" s="281"/>
      <c r="Z37" s="1317"/>
      <c r="AA37" s="1317"/>
      <c r="AB37" s="1317"/>
      <c r="AC37" s="1317"/>
      <c r="AD37" s="1317"/>
      <c r="AE37" s="1317"/>
      <c r="AF37" s="1318"/>
      <c r="AG37" s="1318"/>
      <c r="AH37" s="1318"/>
    </row>
    <row r="38" spans="1:68" s="104" customFormat="1" ht="10.55" customHeight="1" x14ac:dyDescent="0.3">
      <c r="A38" s="105"/>
      <c r="G38" s="31" t="s">
        <v>12</v>
      </c>
      <c r="H38" s="31"/>
      <c r="I38" s="84"/>
      <c r="J38" s="84"/>
      <c r="K38" s="84"/>
      <c r="L38" s="84"/>
      <c r="M38" s="84"/>
      <c r="N38" s="84"/>
      <c r="O38" s="1294"/>
      <c r="P38" s="1294"/>
      <c r="Q38" s="1294"/>
      <c r="R38" s="281"/>
      <c r="S38" s="272"/>
      <c r="T38" s="271"/>
      <c r="U38" s="271"/>
      <c r="V38" s="271"/>
      <c r="W38" s="271"/>
      <c r="X38" s="271"/>
      <c r="Y38" s="271"/>
      <c r="Z38" s="271"/>
      <c r="AA38" s="270"/>
      <c r="AB38" s="270"/>
      <c r="AC38" s="270"/>
      <c r="AD38" s="270"/>
      <c r="AE38" s="270"/>
      <c r="AF38" s="270"/>
      <c r="AG38" s="380"/>
      <c r="AH38" s="380"/>
      <c r="AI38" s="380"/>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row>
    <row r="39" spans="1:68" ht="17.350000000000001" customHeight="1" x14ac:dyDescent="0.25">
      <c r="A39" s="1108" t="s">
        <v>736</v>
      </c>
      <c r="H39" s="317"/>
      <c r="I39" s="318"/>
      <c r="J39" s="1124"/>
      <c r="K39" s="103"/>
      <c r="L39" s="103"/>
      <c r="M39" s="103"/>
      <c r="N39" s="103"/>
      <c r="O39" s="103"/>
      <c r="P39" s="282"/>
      <c r="Q39" s="271"/>
      <c r="R39" s="283"/>
      <c r="S39" s="272"/>
      <c r="T39" s="271"/>
      <c r="U39" s="271"/>
      <c r="V39" s="271"/>
      <c r="W39" s="271"/>
      <c r="X39" s="271"/>
      <c r="Y39" s="271"/>
      <c r="Z39" s="271"/>
    </row>
    <row r="40" spans="1:68" ht="2.25" customHeight="1" thickBot="1" x14ac:dyDescent="0.25">
      <c r="N40" s="1110"/>
      <c r="Q40" s="271"/>
      <c r="R40" s="271"/>
      <c r="S40" s="272"/>
      <c r="T40" s="271"/>
      <c r="U40" s="271"/>
      <c r="V40" s="271"/>
      <c r="W40" s="271"/>
      <c r="X40" s="271"/>
      <c r="Y40" s="271"/>
      <c r="Z40" s="271"/>
    </row>
    <row r="41" spans="1:68" s="382" customFormat="1" ht="11.25" customHeight="1" x14ac:dyDescent="0.2">
      <c r="A41" s="388" t="s">
        <v>318</v>
      </c>
      <c r="B41" s="1113" t="s">
        <v>319</v>
      </c>
      <c r="C41" s="1114"/>
      <c r="D41" s="1114"/>
      <c r="E41" s="2482" t="s">
        <v>651</v>
      </c>
      <c r="F41" s="2483"/>
      <c r="G41" s="2482" t="s">
        <v>653</v>
      </c>
      <c r="H41" s="2483"/>
      <c r="I41" s="2714" t="s">
        <v>654</v>
      </c>
      <c r="J41" s="2714" t="s">
        <v>730</v>
      </c>
      <c r="K41" s="2756" t="s">
        <v>743</v>
      </c>
      <c r="L41" s="2757"/>
      <c r="M41" s="2758"/>
      <c r="N41" s="1110"/>
      <c r="O41" s="383" t="s">
        <v>451</v>
      </c>
      <c r="P41" s="681"/>
      <c r="Q41" s="285"/>
      <c r="R41" s="285"/>
      <c r="S41" s="280"/>
      <c r="T41" s="271"/>
      <c r="U41" s="271"/>
      <c r="V41" s="271"/>
      <c r="W41" s="271"/>
      <c r="X41" s="271"/>
      <c r="Y41" s="271"/>
      <c r="Z41" s="270"/>
      <c r="AA41" s="270"/>
      <c r="AB41" s="270"/>
      <c r="AC41" s="270"/>
      <c r="AD41" s="270"/>
      <c r="AE41" s="270"/>
      <c r="AF41" s="380"/>
      <c r="AG41" s="380"/>
      <c r="AH41" s="380"/>
      <c r="AI41" s="381"/>
      <c r="AJ41" s="381"/>
    </row>
    <row r="42" spans="1:68" s="382" customFormat="1" ht="11.25" customHeight="1" x14ac:dyDescent="0.2">
      <c r="A42" s="389"/>
      <c r="B42" s="691"/>
      <c r="C42" s="555"/>
      <c r="D42" s="555"/>
      <c r="E42" s="2484"/>
      <c r="F42" s="2485"/>
      <c r="G42" s="2484"/>
      <c r="H42" s="2485"/>
      <c r="I42" s="2715"/>
      <c r="J42" s="2715"/>
      <c r="K42" s="2759"/>
      <c r="L42" s="2760"/>
      <c r="M42" s="2761"/>
      <c r="N42" s="1110"/>
      <c r="O42" s="384" t="s">
        <v>755</v>
      </c>
      <c r="P42" s="681"/>
      <c r="Q42" s="285"/>
      <c r="R42" s="285"/>
      <c r="S42" s="280"/>
      <c r="T42" s="271"/>
      <c r="U42" s="271"/>
      <c r="V42" s="271"/>
      <c r="W42" s="271"/>
      <c r="X42" s="271"/>
      <c r="Y42" s="271"/>
      <c r="Z42" s="270"/>
      <c r="AA42" s="270"/>
      <c r="AB42" s="270"/>
      <c r="AC42" s="270"/>
      <c r="AD42" s="270"/>
      <c r="AE42" s="270"/>
      <c r="AF42" s="380"/>
      <c r="AG42" s="380"/>
      <c r="AH42" s="380"/>
      <c r="AI42" s="381"/>
      <c r="AJ42" s="381"/>
    </row>
    <row r="43" spans="1:68" s="382" customFormat="1" ht="11.25" customHeight="1" x14ac:dyDescent="0.2">
      <c r="A43" s="389"/>
      <c r="B43" s="692"/>
      <c r="C43" s="92"/>
      <c r="D43" s="92"/>
      <c r="E43" s="2609" t="s">
        <v>652</v>
      </c>
      <c r="F43" s="2613"/>
      <c r="G43" s="2528" t="s">
        <v>29</v>
      </c>
      <c r="H43" s="2711"/>
      <c r="I43" s="2780"/>
      <c r="J43" s="693" t="s">
        <v>655</v>
      </c>
      <c r="K43" s="2609" t="s">
        <v>677</v>
      </c>
      <c r="L43" s="2613"/>
      <c r="M43" s="392" t="s">
        <v>655</v>
      </c>
      <c r="N43" s="1110"/>
      <c r="O43" s="385" t="s">
        <v>29</v>
      </c>
      <c r="P43" s="681"/>
      <c r="Q43" s="285"/>
      <c r="R43" s="285"/>
      <c r="S43" s="280"/>
      <c r="T43" s="271"/>
      <c r="U43" s="271"/>
      <c r="V43" s="271"/>
      <c r="W43" s="271"/>
      <c r="X43" s="271"/>
      <c r="Y43" s="271"/>
      <c r="Z43" s="270"/>
      <c r="AA43" s="270"/>
      <c r="AB43" s="270"/>
      <c r="AC43" s="270"/>
      <c r="AD43" s="270"/>
      <c r="AE43" s="270"/>
      <c r="AF43" s="380"/>
      <c r="AG43" s="380"/>
      <c r="AH43" s="380"/>
      <c r="AI43" s="381"/>
      <c r="AJ43" s="381"/>
    </row>
    <row r="44" spans="1:68" s="88" customFormat="1" ht="10.55" customHeight="1" x14ac:dyDescent="0.2">
      <c r="A44" s="1145" t="s">
        <v>320</v>
      </c>
      <c r="B44" s="2783"/>
      <c r="C44" s="2784"/>
      <c r="D44" s="2785"/>
      <c r="E44" s="2786">
        <f>SUM(E45:E57)</f>
        <v>0</v>
      </c>
      <c r="F44" s="2787"/>
      <c r="G44" s="2788"/>
      <c r="H44" s="2789"/>
      <c r="I44" s="1435">
        <f>IF(E44=0,0,J44/E44)</f>
        <v>0</v>
      </c>
      <c r="J44" s="1411">
        <f>SUM(J45:J57)</f>
        <v>0</v>
      </c>
      <c r="K44" s="2749">
        <f>IF(E44=0,0,M44/E44*100)</f>
        <v>0</v>
      </c>
      <c r="L44" s="2750"/>
      <c r="M44" s="1412">
        <f>SUM(M45:M57)</f>
        <v>0</v>
      </c>
      <c r="N44" s="1110"/>
      <c r="O44" s="386">
        <f t="shared" ref="O44:O58" si="1">IF(ISBLANK(H44),G44,H44)</f>
        <v>0</v>
      </c>
      <c r="P44" s="682"/>
      <c r="Q44" s="286"/>
      <c r="R44" s="287"/>
      <c r="S44" s="280"/>
      <c r="T44" s="280"/>
      <c r="U44" s="280"/>
      <c r="V44" s="280"/>
      <c r="W44" s="280"/>
      <c r="X44" s="280"/>
      <c r="Y44" s="280"/>
      <c r="Z44" s="284"/>
      <c r="AA44" s="284"/>
      <c r="AB44" s="284"/>
      <c r="AC44" s="284"/>
      <c r="AD44" s="284"/>
      <c r="AE44" s="284"/>
      <c r="AF44" s="447"/>
      <c r="AG44" s="447"/>
      <c r="AH44" s="447"/>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row>
    <row r="45" spans="1:68" s="88" customFormat="1" ht="10.55" customHeight="1" x14ac:dyDescent="0.2">
      <c r="A45" s="1013" t="s">
        <v>321</v>
      </c>
      <c r="B45" s="2790"/>
      <c r="C45" s="2791"/>
      <c r="D45" s="2792"/>
      <c r="E45" s="2734"/>
      <c r="F45" s="2735"/>
      <c r="G45" s="1785">
        <v>30</v>
      </c>
      <c r="H45" s="524"/>
      <c r="I45" s="1409">
        <f t="shared" ref="I45:I58" si="2">IF($O45&gt;0,-PMT(($I$9),$O45,1),0)</f>
        <v>4.7777640736176463E-2</v>
      </c>
      <c r="J45" s="1421">
        <f t="shared" ref="J45:J57" si="3">ROUND(E45*I45,0)</f>
        <v>0</v>
      </c>
      <c r="K45" s="678">
        <v>1.5</v>
      </c>
      <c r="L45" s="1002"/>
      <c r="M45" s="1428">
        <f t="shared" ref="M45:M58" si="4">ROUND(E45/100*IF(ISBLANK(L45),K45,L45),0)</f>
        <v>0</v>
      </c>
      <c r="N45" s="1110"/>
      <c r="O45" s="674">
        <f t="shared" si="1"/>
        <v>30</v>
      </c>
      <c r="P45" s="682"/>
      <c r="Q45" s="286"/>
      <c r="R45" s="287"/>
      <c r="S45" s="280"/>
      <c r="T45" s="280"/>
      <c r="U45" s="280"/>
      <c r="V45" s="280"/>
      <c r="W45" s="280"/>
      <c r="X45" s="280"/>
      <c r="Y45" s="280"/>
      <c r="Z45" s="284"/>
      <c r="AA45" s="284"/>
      <c r="AB45" s="284"/>
      <c r="AC45" s="284"/>
      <c r="AD45" s="284"/>
      <c r="AE45" s="284"/>
      <c r="AF45" s="447"/>
      <c r="AG45" s="447"/>
      <c r="AH45" s="447"/>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row>
    <row r="46" spans="1:68" s="88" customFormat="1" ht="10.55" customHeight="1" x14ac:dyDescent="0.2">
      <c r="A46" s="1013" t="s">
        <v>322</v>
      </c>
      <c r="B46" s="2807"/>
      <c r="C46" s="2808"/>
      <c r="D46" s="2809"/>
      <c r="E46" s="2561"/>
      <c r="F46" s="2562"/>
      <c r="G46" s="1785">
        <v>30</v>
      </c>
      <c r="H46" s="524"/>
      <c r="I46" s="1409">
        <f t="shared" si="2"/>
        <v>4.7777640736176463E-2</v>
      </c>
      <c r="J46" s="1421">
        <f t="shared" si="3"/>
        <v>0</v>
      </c>
      <c r="K46" s="678">
        <v>2</v>
      </c>
      <c r="L46" s="1002"/>
      <c r="M46" s="1428">
        <f t="shared" si="4"/>
        <v>0</v>
      </c>
      <c r="N46" s="1110"/>
      <c r="O46" s="674">
        <f t="shared" si="1"/>
        <v>30</v>
      </c>
      <c r="P46" s="682"/>
      <c r="Q46" s="286"/>
      <c r="R46" s="287"/>
      <c r="S46" s="280"/>
      <c r="T46" s="280"/>
      <c r="U46" s="280"/>
      <c r="V46" s="280"/>
      <c r="W46" s="280"/>
      <c r="X46" s="280"/>
      <c r="Y46" s="280"/>
      <c r="Z46" s="284"/>
      <c r="AA46" s="284"/>
      <c r="AB46" s="284"/>
      <c r="AC46" s="284"/>
      <c r="AD46" s="284"/>
      <c r="AE46" s="284"/>
      <c r="AF46" s="447"/>
      <c r="AG46" s="447"/>
      <c r="AH46" s="447"/>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row>
    <row r="47" spans="1:68" s="88" customFormat="1" ht="10.55" customHeight="1" x14ac:dyDescent="0.2">
      <c r="A47" s="1013" t="s">
        <v>455</v>
      </c>
      <c r="B47" s="2807"/>
      <c r="C47" s="2808"/>
      <c r="D47" s="2809"/>
      <c r="E47" s="2561"/>
      <c r="F47" s="2562"/>
      <c r="G47" s="1785">
        <v>30</v>
      </c>
      <c r="H47" s="524"/>
      <c r="I47" s="1409">
        <f t="shared" si="2"/>
        <v>4.7777640736176463E-2</v>
      </c>
      <c r="J47" s="1421">
        <f t="shared" si="3"/>
        <v>0</v>
      </c>
      <c r="K47" s="678">
        <v>2</v>
      </c>
      <c r="L47" s="1002"/>
      <c r="M47" s="1428">
        <f t="shared" si="4"/>
        <v>0</v>
      </c>
      <c r="N47" s="1110"/>
      <c r="O47" s="674">
        <f t="shared" si="1"/>
        <v>30</v>
      </c>
      <c r="P47" s="682"/>
      <c r="Q47" s="286"/>
      <c r="R47" s="287"/>
      <c r="S47" s="280"/>
      <c r="T47" s="280"/>
      <c r="U47" s="280"/>
      <c r="V47" s="280"/>
      <c r="W47" s="280"/>
      <c r="X47" s="280"/>
      <c r="Y47" s="280"/>
      <c r="Z47" s="284"/>
      <c r="AA47" s="284"/>
      <c r="AB47" s="284"/>
      <c r="AC47" s="284"/>
      <c r="AD47" s="284"/>
      <c r="AE47" s="284"/>
      <c r="AF47" s="447"/>
      <c r="AG47" s="447"/>
      <c r="AH47" s="447"/>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c r="BO47" s="382"/>
    </row>
    <row r="48" spans="1:68" s="88" customFormat="1" ht="10.55" customHeight="1" x14ac:dyDescent="0.2">
      <c r="A48" s="1013" t="s">
        <v>825</v>
      </c>
      <c r="B48" s="2807"/>
      <c r="C48" s="2808"/>
      <c r="D48" s="2809"/>
      <c r="E48" s="2561"/>
      <c r="F48" s="2562"/>
      <c r="G48" s="1785">
        <v>30</v>
      </c>
      <c r="H48" s="524"/>
      <c r="I48" s="1409">
        <f t="shared" si="2"/>
        <v>4.7777640736176463E-2</v>
      </c>
      <c r="J48" s="1421">
        <f t="shared" si="3"/>
        <v>0</v>
      </c>
      <c r="K48" s="678">
        <v>0.5</v>
      </c>
      <c r="L48" s="1002"/>
      <c r="M48" s="1428">
        <f t="shared" si="4"/>
        <v>0</v>
      </c>
      <c r="N48" s="1110"/>
      <c r="O48" s="674">
        <f t="shared" si="1"/>
        <v>30</v>
      </c>
      <c r="P48" s="682"/>
      <c r="Q48" s="286"/>
      <c r="R48" s="287"/>
      <c r="S48" s="280"/>
      <c r="T48" s="280"/>
      <c r="U48" s="280"/>
      <c r="V48" s="280"/>
      <c r="W48" s="280"/>
      <c r="X48" s="280"/>
      <c r="Y48" s="280"/>
      <c r="Z48" s="284"/>
      <c r="AA48" s="284"/>
      <c r="AB48" s="284"/>
      <c r="AC48" s="284"/>
      <c r="AD48" s="284"/>
      <c r="AE48" s="284"/>
      <c r="AF48" s="447"/>
      <c r="AG48" s="447"/>
      <c r="AH48" s="447"/>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c r="BO48" s="382"/>
    </row>
    <row r="49" spans="1:67" s="88" customFormat="1" ht="10.55" customHeight="1" x14ac:dyDescent="0.2">
      <c r="A49" s="1013" t="s">
        <v>456</v>
      </c>
      <c r="B49" s="2807"/>
      <c r="C49" s="2808"/>
      <c r="D49" s="2809"/>
      <c r="E49" s="2561"/>
      <c r="F49" s="2562"/>
      <c r="G49" s="1785">
        <v>30</v>
      </c>
      <c r="H49" s="524"/>
      <c r="I49" s="1409">
        <f t="shared" si="2"/>
        <v>4.7777640736176463E-2</v>
      </c>
      <c r="J49" s="1421">
        <f t="shared" si="3"/>
        <v>0</v>
      </c>
      <c r="K49" s="678">
        <v>0</v>
      </c>
      <c r="L49" s="1002"/>
      <c r="M49" s="1428">
        <f t="shared" si="4"/>
        <v>0</v>
      </c>
      <c r="N49" s="1110"/>
      <c r="O49" s="674">
        <f t="shared" si="1"/>
        <v>30</v>
      </c>
      <c r="P49" s="682"/>
      <c r="Q49" s="286"/>
      <c r="R49" s="287"/>
      <c r="S49" s="280"/>
      <c r="T49" s="280"/>
      <c r="U49" s="280"/>
      <c r="V49" s="280"/>
      <c r="W49" s="280"/>
      <c r="X49" s="280"/>
      <c r="Y49" s="280"/>
      <c r="Z49" s="284"/>
      <c r="AA49" s="284"/>
      <c r="AB49" s="284"/>
      <c r="AC49" s="284"/>
      <c r="AD49" s="284"/>
      <c r="AE49" s="284"/>
      <c r="AF49" s="447"/>
      <c r="AG49" s="447"/>
      <c r="AH49" s="447"/>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c r="BN49" s="382"/>
      <c r="BO49" s="382"/>
    </row>
    <row r="50" spans="1:67" s="88" customFormat="1" ht="10.55" customHeight="1" x14ac:dyDescent="0.2">
      <c r="A50" s="1013" t="s">
        <v>323</v>
      </c>
      <c r="B50" s="2807"/>
      <c r="C50" s="2808"/>
      <c r="D50" s="2809"/>
      <c r="E50" s="2561"/>
      <c r="F50" s="2562"/>
      <c r="G50" s="1785">
        <v>30</v>
      </c>
      <c r="H50" s="524"/>
      <c r="I50" s="1409">
        <f t="shared" si="2"/>
        <v>4.7777640736176463E-2</v>
      </c>
      <c r="J50" s="1421">
        <f t="shared" si="3"/>
        <v>0</v>
      </c>
      <c r="K50" s="678">
        <v>1.5</v>
      </c>
      <c r="L50" s="1002"/>
      <c r="M50" s="1428">
        <f t="shared" si="4"/>
        <v>0</v>
      </c>
      <c r="N50" s="1110"/>
      <c r="O50" s="674">
        <f t="shared" si="1"/>
        <v>30</v>
      </c>
      <c r="P50" s="682"/>
      <c r="Q50" s="286"/>
      <c r="R50" s="287"/>
      <c r="S50" s="280"/>
      <c r="T50" s="280"/>
      <c r="U50" s="280"/>
      <c r="V50" s="280"/>
      <c r="W50" s="280"/>
      <c r="X50" s="280"/>
      <c r="Y50" s="280"/>
      <c r="Z50" s="284"/>
      <c r="AA50" s="284"/>
      <c r="AB50" s="284"/>
      <c r="AC50" s="284"/>
      <c r="AD50" s="284"/>
      <c r="AE50" s="284"/>
      <c r="AF50" s="447"/>
      <c r="AG50" s="447"/>
      <c r="AH50" s="447"/>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row>
    <row r="51" spans="1:67" s="88" customFormat="1" ht="10.55" customHeight="1" x14ac:dyDescent="0.2">
      <c r="A51" s="1013" t="s">
        <v>826</v>
      </c>
      <c r="B51" s="2807"/>
      <c r="C51" s="2808"/>
      <c r="D51" s="2809"/>
      <c r="E51" s="2561"/>
      <c r="F51" s="2562"/>
      <c r="G51" s="1785">
        <v>30</v>
      </c>
      <c r="H51" s="524"/>
      <c r="I51" s="1409">
        <f t="shared" si="2"/>
        <v>4.7777640736176463E-2</v>
      </c>
      <c r="J51" s="1421">
        <f t="shared" si="3"/>
        <v>0</v>
      </c>
      <c r="K51" s="678">
        <v>2.5</v>
      </c>
      <c r="L51" s="1002"/>
      <c r="M51" s="1428">
        <f t="shared" si="4"/>
        <v>0</v>
      </c>
      <c r="N51" s="1110"/>
      <c r="O51" s="674">
        <f t="shared" si="1"/>
        <v>30</v>
      </c>
      <c r="P51" s="682"/>
      <c r="Q51" s="286"/>
      <c r="R51" s="287"/>
      <c r="S51" s="280"/>
      <c r="T51" s="280"/>
      <c r="U51" s="280"/>
      <c r="V51" s="280"/>
      <c r="W51" s="280"/>
      <c r="X51" s="280"/>
      <c r="Y51" s="280"/>
      <c r="Z51" s="284"/>
      <c r="AA51" s="284"/>
      <c r="AB51" s="284"/>
      <c r="AC51" s="284"/>
      <c r="AD51" s="284"/>
      <c r="AE51" s="284"/>
      <c r="AF51" s="447"/>
      <c r="AG51" s="447"/>
      <c r="AH51" s="447"/>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row>
    <row r="52" spans="1:67" s="88" customFormat="1" ht="10.55" customHeight="1" x14ac:dyDescent="0.2">
      <c r="A52" s="675"/>
      <c r="B52" s="2807"/>
      <c r="C52" s="2808"/>
      <c r="D52" s="2809"/>
      <c r="E52" s="2561"/>
      <c r="F52" s="2562"/>
      <c r="G52" s="1015"/>
      <c r="H52" s="524"/>
      <c r="I52" s="1409">
        <f t="shared" si="2"/>
        <v>0</v>
      </c>
      <c r="J52" s="1421">
        <f t="shared" si="3"/>
        <v>0</v>
      </c>
      <c r="K52" s="679"/>
      <c r="L52" s="1002"/>
      <c r="M52" s="1428">
        <f t="shared" si="4"/>
        <v>0</v>
      </c>
      <c r="N52" s="1110"/>
      <c r="O52" s="674">
        <f t="shared" si="1"/>
        <v>0</v>
      </c>
      <c r="P52" s="682"/>
      <c r="Q52" s="286"/>
      <c r="R52" s="287"/>
      <c r="S52" s="280"/>
      <c r="T52" s="280"/>
      <c r="U52" s="280"/>
      <c r="V52" s="280"/>
      <c r="W52" s="280"/>
      <c r="X52" s="280"/>
      <c r="Y52" s="280"/>
      <c r="Z52" s="284"/>
      <c r="AA52" s="284"/>
      <c r="AB52" s="284"/>
      <c r="AC52" s="284"/>
      <c r="AD52" s="284"/>
      <c r="AE52" s="284"/>
      <c r="AF52" s="447"/>
      <c r="AG52" s="447"/>
      <c r="AH52" s="447"/>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row>
    <row r="53" spans="1:67" s="88" customFormat="1" ht="10.55" customHeight="1" x14ac:dyDescent="0.2">
      <c r="A53" s="675"/>
      <c r="B53" s="2807"/>
      <c r="C53" s="2808"/>
      <c r="D53" s="2809"/>
      <c r="E53" s="2561"/>
      <c r="F53" s="2562"/>
      <c r="G53" s="1015"/>
      <c r="H53" s="524"/>
      <c r="I53" s="1409">
        <f t="shared" si="2"/>
        <v>0</v>
      </c>
      <c r="J53" s="1421">
        <f t="shared" si="3"/>
        <v>0</v>
      </c>
      <c r="K53" s="679"/>
      <c r="L53" s="1002"/>
      <c r="M53" s="1428">
        <f t="shared" si="4"/>
        <v>0</v>
      </c>
      <c r="N53" s="1110"/>
      <c r="O53" s="674">
        <f t="shared" si="1"/>
        <v>0</v>
      </c>
      <c r="P53" s="682"/>
      <c r="Q53" s="286"/>
      <c r="R53" s="287"/>
      <c r="S53" s="280"/>
      <c r="T53" s="280"/>
      <c r="U53" s="280"/>
      <c r="V53" s="280"/>
      <c r="W53" s="280"/>
      <c r="X53" s="280"/>
      <c r="Y53" s="280"/>
      <c r="Z53" s="284"/>
      <c r="AA53" s="284"/>
      <c r="AB53" s="284"/>
      <c r="AC53" s="284"/>
      <c r="AD53" s="284"/>
      <c r="AE53" s="284"/>
      <c r="AF53" s="447"/>
      <c r="AG53" s="447"/>
      <c r="AH53" s="447"/>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row>
    <row r="54" spans="1:67" s="88" customFormat="1" ht="10.55" customHeight="1" x14ac:dyDescent="0.2">
      <c r="A54" s="675"/>
      <c r="B54" s="2807"/>
      <c r="C54" s="2808"/>
      <c r="D54" s="2809"/>
      <c r="E54" s="2561"/>
      <c r="F54" s="2562"/>
      <c r="G54" s="1015"/>
      <c r="H54" s="524"/>
      <c r="I54" s="1409">
        <f t="shared" si="2"/>
        <v>0</v>
      </c>
      <c r="J54" s="1421">
        <f t="shared" si="3"/>
        <v>0</v>
      </c>
      <c r="K54" s="679"/>
      <c r="L54" s="1002"/>
      <c r="M54" s="1428">
        <f t="shared" si="4"/>
        <v>0</v>
      </c>
      <c r="N54" s="1110"/>
      <c r="O54" s="674">
        <f t="shared" si="1"/>
        <v>0</v>
      </c>
      <c r="P54" s="682"/>
      <c r="Q54" s="286"/>
      <c r="R54" s="287"/>
      <c r="S54" s="280"/>
      <c r="T54" s="280"/>
      <c r="U54" s="280"/>
      <c r="V54" s="280"/>
      <c r="W54" s="280"/>
      <c r="X54" s="280"/>
      <c r="Y54" s="280"/>
      <c r="Z54" s="284"/>
      <c r="AA54" s="284"/>
      <c r="AB54" s="284"/>
      <c r="AC54" s="284"/>
      <c r="AD54" s="284"/>
      <c r="AE54" s="284"/>
      <c r="AF54" s="447"/>
      <c r="AG54" s="447"/>
      <c r="AH54" s="447"/>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row>
    <row r="55" spans="1:67" s="88" customFormat="1" ht="10.55" customHeight="1" x14ac:dyDescent="0.2">
      <c r="A55" s="675"/>
      <c r="B55" s="2807"/>
      <c r="C55" s="2808"/>
      <c r="D55" s="2809"/>
      <c r="E55" s="2561"/>
      <c r="F55" s="2562"/>
      <c r="G55" s="1015"/>
      <c r="H55" s="524"/>
      <c r="I55" s="1409">
        <f t="shared" si="2"/>
        <v>0</v>
      </c>
      <c r="J55" s="1421">
        <f t="shared" si="3"/>
        <v>0</v>
      </c>
      <c r="K55" s="679"/>
      <c r="L55" s="1002"/>
      <c r="M55" s="1428">
        <f t="shared" si="4"/>
        <v>0</v>
      </c>
      <c r="N55" s="1110"/>
      <c r="O55" s="674">
        <f t="shared" si="1"/>
        <v>0</v>
      </c>
      <c r="P55" s="682"/>
      <c r="Q55" s="286"/>
      <c r="R55" s="287"/>
      <c r="S55" s="280"/>
      <c r="T55" s="280"/>
      <c r="U55" s="280"/>
      <c r="V55" s="280"/>
      <c r="W55" s="280"/>
      <c r="X55" s="280"/>
      <c r="Y55" s="280"/>
      <c r="Z55" s="284"/>
      <c r="AA55" s="284"/>
      <c r="AB55" s="284"/>
      <c r="AC55" s="284"/>
      <c r="AD55" s="284"/>
      <c r="AE55" s="284"/>
      <c r="AF55" s="447"/>
      <c r="AG55" s="447"/>
      <c r="AH55" s="447"/>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row>
    <row r="56" spans="1:67" s="88" customFormat="1" ht="10.55" customHeight="1" x14ac:dyDescent="0.2">
      <c r="A56" s="675"/>
      <c r="B56" s="2807"/>
      <c r="C56" s="2808"/>
      <c r="D56" s="2809"/>
      <c r="E56" s="2561"/>
      <c r="F56" s="2562"/>
      <c r="G56" s="1015"/>
      <c r="H56" s="524"/>
      <c r="I56" s="1409">
        <f t="shared" si="2"/>
        <v>0</v>
      </c>
      <c r="J56" s="1421">
        <f t="shared" si="3"/>
        <v>0</v>
      </c>
      <c r="K56" s="679"/>
      <c r="L56" s="1002"/>
      <c r="M56" s="1428">
        <f t="shared" si="4"/>
        <v>0</v>
      </c>
      <c r="N56" s="1110"/>
      <c r="O56" s="674">
        <f t="shared" si="1"/>
        <v>0</v>
      </c>
      <c r="P56" s="682"/>
      <c r="Q56" s="286"/>
      <c r="R56" s="287"/>
      <c r="S56" s="280"/>
      <c r="T56" s="280"/>
      <c r="U56" s="280"/>
      <c r="V56" s="280"/>
      <c r="W56" s="280"/>
      <c r="X56" s="280"/>
      <c r="Y56" s="280"/>
      <c r="Z56" s="284"/>
      <c r="AA56" s="284"/>
      <c r="AB56" s="284"/>
      <c r="AC56" s="284"/>
      <c r="AD56" s="284"/>
      <c r="AE56" s="284"/>
      <c r="AF56" s="447"/>
      <c r="AG56" s="447"/>
      <c r="AH56" s="447"/>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row>
    <row r="57" spans="1:67" s="88" customFormat="1" ht="10.55" customHeight="1" x14ac:dyDescent="0.2">
      <c r="A57" s="675"/>
      <c r="B57" s="2807"/>
      <c r="C57" s="2808"/>
      <c r="D57" s="2809"/>
      <c r="E57" s="2561"/>
      <c r="F57" s="2562"/>
      <c r="G57" s="1016"/>
      <c r="H57" s="525"/>
      <c r="I57" s="1409">
        <f t="shared" si="2"/>
        <v>0</v>
      </c>
      <c r="J57" s="1421">
        <f t="shared" si="3"/>
        <v>0</v>
      </c>
      <c r="K57" s="679"/>
      <c r="L57" s="1002"/>
      <c r="M57" s="1428">
        <f t="shared" si="4"/>
        <v>0</v>
      </c>
      <c r="N57" s="1110"/>
      <c r="O57" s="674">
        <f t="shared" si="1"/>
        <v>0</v>
      </c>
      <c r="P57" s="682"/>
      <c r="Q57" s="286"/>
      <c r="R57" s="287"/>
      <c r="S57" s="280"/>
      <c r="T57" s="280"/>
      <c r="U57" s="280"/>
      <c r="V57" s="280"/>
      <c r="W57" s="280"/>
      <c r="X57" s="280"/>
      <c r="Y57" s="280"/>
      <c r="Z57" s="284"/>
      <c r="AA57" s="284"/>
      <c r="AB57" s="284"/>
      <c r="AC57" s="284"/>
      <c r="AD57" s="284"/>
      <c r="AE57" s="284"/>
      <c r="AF57" s="447"/>
      <c r="AG57" s="447"/>
      <c r="AH57" s="447"/>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row>
    <row r="58" spans="1:67" s="88" customFormat="1" ht="10.55" customHeight="1" x14ac:dyDescent="0.2">
      <c r="A58" s="511"/>
      <c r="B58" s="2884"/>
      <c r="C58" s="2885"/>
      <c r="D58" s="2886"/>
      <c r="E58" s="2793"/>
      <c r="F58" s="2794"/>
      <c r="G58" s="1018"/>
      <c r="H58" s="1019"/>
      <c r="I58" s="1436">
        <f t="shared" si="2"/>
        <v>0</v>
      </c>
      <c r="J58" s="1422"/>
      <c r="K58" s="680"/>
      <c r="L58" s="1020"/>
      <c r="M58" s="1429">
        <f t="shared" si="4"/>
        <v>0</v>
      </c>
      <c r="N58" s="1110"/>
      <c r="O58" s="674">
        <f t="shared" si="1"/>
        <v>0</v>
      </c>
      <c r="P58" s="682"/>
      <c r="Q58" s="286"/>
      <c r="R58" s="287"/>
      <c r="S58" s="280"/>
      <c r="T58" s="280"/>
      <c r="U58" s="280"/>
      <c r="V58" s="280"/>
      <c r="W58" s="280"/>
      <c r="X58" s="280"/>
      <c r="Y58" s="280"/>
      <c r="Z58" s="284"/>
      <c r="AA58" s="284"/>
      <c r="AB58" s="284"/>
      <c r="AC58" s="284"/>
      <c r="AD58" s="284"/>
      <c r="AE58" s="284"/>
      <c r="AF58" s="447"/>
      <c r="AG58" s="447"/>
      <c r="AH58" s="447"/>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row>
    <row r="59" spans="1:67" s="88" customFormat="1" ht="10.55" customHeight="1" x14ac:dyDescent="0.2">
      <c r="A59" s="1145" t="s">
        <v>324</v>
      </c>
      <c r="B59" s="2783"/>
      <c r="C59" s="2784"/>
      <c r="D59" s="2785"/>
      <c r="E59" s="2810">
        <f>SUM(E60:E72)</f>
        <v>0</v>
      </c>
      <c r="F59" s="2811"/>
      <c r="G59" s="2747"/>
      <c r="H59" s="2748"/>
      <c r="I59" s="1435">
        <f>IF(E59=0,0,J59/E59)</f>
        <v>0</v>
      </c>
      <c r="J59" s="1423">
        <f>SUM(J60:J72)</f>
        <v>0</v>
      </c>
      <c r="K59" s="2749">
        <f>IF(E59=0,0,M59/E59*100)</f>
        <v>0</v>
      </c>
      <c r="L59" s="2750"/>
      <c r="M59" s="1430">
        <f>SUM(M60:M72)</f>
        <v>0</v>
      </c>
      <c r="N59" s="1110"/>
      <c r="O59" s="387">
        <f>IF(H59="",G59,H59)</f>
        <v>0</v>
      </c>
      <c r="P59" s="682"/>
      <c r="Q59" s="286"/>
      <c r="R59" s="287"/>
      <c r="S59" s="280"/>
      <c r="T59" s="280"/>
      <c r="U59" s="280"/>
      <c r="V59" s="280"/>
      <c r="W59" s="280"/>
      <c r="X59" s="280"/>
      <c r="Y59" s="280"/>
      <c r="Z59" s="284"/>
      <c r="AA59" s="284"/>
      <c r="AB59" s="284"/>
      <c r="AC59" s="284"/>
      <c r="AD59" s="284"/>
      <c r="AE59" s="284"/>
      <c r="AF59" s="447"/>
      <c r="AG59" s="447"/>
      <c r="AH59" s="447"/>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row>
    <row r="60" spans="1:67" s="88" customFormat="1" ht="10.55" customHeight="1" x14ac:dyDescent="0.2">
      <c r="A60" s="512" t="s">
        <v>325</v>
      </c>
      <c r="B60" s="2790"/>
      <c r="C60" s="2791"/>
      <c r="D60" s="2792"/>
      <c r="E60" s="2734"/>
      <c r="F60" s="2735"/>
      <c r="G60" s="1785">
        <v>50</v>
      </c>
      <c r="H60" s="524"/>
      <c r="I60" s="1409">
        <f t="shared" ref="I60:I73" si="5">IF($O60&gt;0,-PMT(($I$9),$O60,1),0)</f>
        <v>3.525805693356223E-2</v>
      </c>
      <c r="J60" s="1421">
        <f t="shared" ref="J60:J72" si="6">ROUND(E60*I60,0)</f>
        <v>0</v>
      </c>
      <c r="K60" s="1784">
        <v>0</v>
      </c>
      <c r="L60" s="1002"/>
      <c r="M60" s="1428">
        <f t="shared" ref="M60:M73" si="7">ROUND(E60/100*IF(ISBLANK(L60),K60,L60),0)</f>
        <v>0</v>
      </c>
      <c r="N60" s="1110"/>
      <c r="O60" s="674">
        <f t="shared" ref="O60:O73" si="8">IF(ISBLANK(H60),G60,H60)</f>
        <v>50</v>
      </c>
      <c r="P60" s="682"/>
      <c r="Q60" s="286"/>
      <c r="R60" s="287"/>
      <c r="S60" s="280"/>
      <c r="T60" s="280"/>
      <c r="U60" s="280"/>
      <c r="V60" s="280"/>
      <c r="W60" s="280"/>
      <c r="X60" s="280"/>
      <c r="Y60" s="280"/>
      <c r="Z60" s="284"/>
      <c r="AA60" s="284"/>
      <c r="AB60" s="284"/>
      <c r="AC60" s="284"/>
      <c r="AD60" s="284"/>
      <c r="AE60" s="284"/>
      <c r="AF60" s="447"/>
      <c r="AG60" s="447"/>
      <c r="AH60" s="447"/>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row>
    <row r="61" spans="1:67" s="88" customFormat="1" ht="10.55" customHeight="1" x14ac:dyDescent="0.2">
      <c r="A61" s="512" t="s">
        <v>326</v>
      </c>
      <c r="B61" s="2807"/>
      <c r="C61" s="2808"/>
      <c r="D61" s="2809"/>
      <c r="E61" s="2561"/>
      <c r="F61" s="2562"/>
      <c r="G61" s="1785">
        <v>30</v>
      </c>
      <c r="H61" s="524"/>
      <c r="I61" s="1409">
        <f t="shared" si="5"/>
        <v>4.7777640736176463E-2</v>
      </c>
      <c r="J61" s="1421">
        <f t="shared" si="6"/>
        <v>0</v>
      </c>
      <c r="K61" s="678"/>
      <c r="L61" s="1002"/>
      <c r="M61" s="1428">
        <f t="shared" si="7"/>
        <v>0</v>
      </c>
      <c r="N61" s="1110"/>
      <c r="O61" s="674">
        <f t="shared" si="8"/>
        <v>30</v>
      </c>
      <c r="P61" s="682"/>
      <c r="Q61" s="286"/>
      <c r="R61" s="287"/>
      <c r="S61" s="280"/>
      <c r="T61" s="280"/>
      <c r="U61" s="280"/>
      <c r="V61" s="280"/>
      <c r="W61" s="280"/>
      <c r="X61" s="280"/>
      <c r="Y61" s="280"/>
      <c r="Z61" s="284"/>
      <c r="AA61" s="284"/>
      <c r="AB61" s="284"/>
      <c r="AC61" s="284"/>
      <c r="AD61" s="284"/>
      <c r="AE61" s="284"/>
      <c r="AF61" s="447"/>
      <c r="AG61" s="447"/>
      <c r="AH61" s="447"/>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row>
    <row r="62" spans="1:67" s="88" customFormat="1" ht="10.55" customHeight="1" x14ac:dyDescent="0.2">
      <c r="A62" s="512" t="s">
        <v>457</v>
      </c>
      <c r="B62" s="2807"/>
      <c r="C62" s="2808"/>
      <c r="D62" s="2809"/>
      <c r="E62" s="2561"/>
      <c r="F62" s="2562"/>
      <c r="G62" s="1785">
        <v>20</v>
      </c>
      <c r="H62" s="524"/>
      <c r="I62" s="1409">
        <f t="shared" si="5"/>
        <v>6.4147128734474465E-2</v>
      </c>
      <c r="J62" s="1421">
        <f t="shared" si="6"/>
        <v>0</v>
      </c>
      <c r="K62" s="678">
        <v>2.5</v>
      </c>
      <c r="L62" s="1002"/>
      <c r="M62" s="1428">
        <f t="shared" si="7"/>
        <v>0</v>
      </c>
      <c r="N62" s="1110"/>
      <c r="O62" s="674">
        <f t="shared" si="8"/>
        <v>20</v>
      </c>
      <c r="P62" s="682"/>
      <c r="Q62" s="286"/>
      <c r="R62" s="287"/>
      <c r="S62" s="280"/>
      <c r="T62" s="280"/>
      <c r="U62" s="280"/>
      <c r="V62" s="280"/>
      <c r="W62" s="280"/>
      <c r="X62" s="280"/>
      <c r="Y62" s="280"/>
      <c r="Z62" s="284"/>
      <c r="AA62" s="284"/>
      <c r="AB62" s="284"/>
      <c r="AC62" s="284"/>
      <c r="AD62" s="284"/>
      <c r="AE62" s="284"/>
      <c r="AF62" s="447"/>
      <c r="AG62" s="447"/>
      <c r="AH62" s="447"/>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c r="BO62" s="382"/>
    </row>
    <row r="63" spans="1:67" s="88" customFormat="1" ht="10.55" customHeight="1" x14ac:dyDescent="0.2">
      <c r="A63" s="512" t="s">
        <v>327</v>
      </c>
      <c r="B63" s="2807"/>
      <c r="C63" s="2808"/>
      <c r="D63" s="2809"/>
      <c r="E63" s="2561"/>
      <c r="F63" s="2562"/>
      <c r="G63" s="1785">
        <v>20</v>
      </c>
      <c r="H63" s="524"/>
      <c r="I63" s="1409">
        <f t="shared" si="5"/>
        <v>6.4147128734474465E-2</v>
      </c>
      <c r="J63" s="1421">
        <f t="shared" si="6"/>
        <v>0</v>
      </c>
      <c r="K63" s="678">
        <v>3.5</v>
      </c>
      <c r="L63" s="1002"/>
      <c r="M63" s="1428">
        <f t="shared" si="7"/>
        <v>0</v>
      </c>
      <c r="N63" s="1110"/>
      <c r="O63" s="674">
        <f t="shared" si="8"/>
        <v>20</v>
      </c>
      <c r="P63" s="682"/>
      <c r="Q63" s="286"/>
      <c r="R63" s="287"/>
      <c r="S63" s="280"/>
      <c r="T63" s="280"/>
      <c r="U63" s="280"/>
      <c r="V63" s="280"/>
      <c r="W63" s="280"/>
      <c r="X63" s="280"/>
      <c r="Y63" s="280"/>
      <c r="Z63" s="284"/>
      <c r="AA63" s="284"/>
      <c r="AB63" s="284"/>
      <c r="AC63" s="284"/>
      <c r="AD63" s="284"/>
      <c r="AE63" s="284"/>
      <c r="AF63" s="447"/>
      <c r="AG63" s="447"/>
      <c r="AH63" s="447"/>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row>
    <row r="64" spans="1:67" s="88" customFormat="1" ht="10.55" customHeight="1" x14ac:dyDescent="0.2">
      <c r="A64" s="512" t="s">
        <v>328</v>
      </c>
      <c r="B64" s="2807"/>
      <c r="C64" s="2808"/>
      <c r="D64" s="2809"/>
      <c r="E64" s="2561"/>
      <c r="F64" s="2562"/>
      <c r="G64" s="1785">
        <v>20</v>
      </c>
      <c r="H64" s="524"/>
      <c r="I64" s="1409">
        <f t="shared" si="5"/>
        <v>6.4147128734474465E-2</v>
      </c>
      <c r="J64" s="1421">
        <f t="shared" si="6"/>
        <v>0</v>
      </c>
      <c r="K64" s="678">
        <v>3</v>
      </c>
      <c r="L64" s="1002"/>
      <c r="M64" s="1428">
        <f t="shared" si="7"/>
        <v>0</v>
      </c>
      <c r="N64" s="1110"/>
      <c r="O64" s="674">
        <f t="shared" si="8"/>
        <v>20</v>
      </c>
      <c r="P64" s="682"/>
      <c r="Q64" s="286"/>
      <c r="R64" s="287"/>
      <c r="S64" s="280"/>
      <c r="T64" s="280"/>
      <c r="U64" s="280"/>
      <c r="V64" s="280"/>
      <c r="W64" s="280"/>
      <c r="X64" s="280"/>
      <c r="Y64" s="280"/>
      <c r="Z64" s="284"/>
      <c r="AA64" s="284"/>
      <c r="AB64" s="284"/>
      <c r="AC64" s="284"/>
      <c r="AD64" s="284"/>
      <c r="AE64" s="284"/>
      <c r="AF64" s="447"/>
      <c r="AG64" s="447"/>
      <c r="AH64" s="447"/>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row>
    <row r="65" spans="1:67" s="88" customFormat="1" ht="10.55" customHeight="1" x14ac:dyDescent="0.2">
      <c r="A65" s="512" t="s">
        <v>329</v>
      </c>
      <c r="B65" s="2807"/>
      <c r="C65" s="2808"/>
      <c r="D65" s="2809"/>
      <c r="E65" s="2561"/>
      <c r="F65" s="2562"/>
      <c r="G65" s="1785">
        <v>20</v>
      </c>
      <c r="H65" s="524"/>
      <c r="I65" s="1409">
        <f t="shared" si="5"/>
        <v>6.4147128734474465E-2</v>
      </c>
      <c r="J65" s="1421">
        <f t="shared" si="6"/>
        <v>0</v>
      </c>
      <c r="K65" s="678">
        <v>2</v>
      </c>
      <c r="L65" s="1002"/>
      <c r="M65" s="1428">
        <f t="shared" si="7"/>
        <v>0</v>
      </c>
      <c r="N65" s="1110"/>
      <c r="O65" s="674">
        <f t="shared" si="8"/>
        <v>20</v>
      </c>
      <c r="P65" s="682"/>
      <c r="Q65" s="286"/>
      <c r="R65" s="287"/>
      <c r="S65" s="280"/>
      <c r="T65" s="280"/>
      <c r="U65" s="280"/>
      <c r="V65" s="280"/>
      <c r="W65" s="280"/>
      <c r="X65" s="280"/>
      <c r="Y65" s="280"/>
      <c r="Z65" s="284"/>
      <c r="AA65" s="284"/>
      <c r="AB65" s="284"/>
      <c r="AC65" s="284"/>
      <c r="AD65" s="284"/>
      <c r="AE65" s="284"/>
      <c r="AF65" s="447"/>
      <c r="AG65" s="447"/>
      <c r="AH65" s="447"/>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row>
    <row r="66" spans="1:67" s="88" customFormat="1" ht="10.55" customHeight="1" x14ac:dyDescent="0.2">
      <c r="A66" s="512" t="s">
        <v>330</v>
      </c>
      <c r="B66" s="2807"/>
      <c r="C66" s="2808"/>
      <c r="D66" s="2809"/>
      <c r="E66" s="2561"/>
      <c r="F66" s="2562"/>
      <c r="G66" s="1785">
        <v>20</v>
      </c>
      <c r="H66" s="524"/>
      <c r="I66" s="1409">
        <f t="shared" si="5"/>
        <v>6.4147128734474465E-2</v>
      </c>
      <c r="J66" s="1421">
        <f t="shared" si="6"/>
        <v>0</v>
      </c>
      <c r="K66" s="678">
        <v>3</v>
      </c>
      <c r="L66" s="1002"/>
      <c r="M66" s="1428">
        <f t="shared" si="7"/>
        <v>0</v>
      </c>
      <c r="N66" s="1110"/>
      <c r="O66" s="674">
        <f t="shared" si="8"/>
        <v>20</v>
      </c>
      <c r="P66" s="682"/>
      <c r="Q66" s="286"/>
      <c r="R66" s="287"/>
      <c r="S66" s="280"/>
      <c r="T66" s="280"/>
      <c r="U66" s="280"/>
      <c r="V66" s="280"/>
      <c r="W66" s="280"/>
      <c r="X66" s="280"/>
      <c r="Y66" s="280"/>
      <c r="Z66" s="284"/>
      <c r="AA66" s="284"/>
      <c r="AB66" s="284"/>
      <c r="AC66" s="284"/>
      <c r="AD66" s="284"/>
      <c r="AE66" s="284"/>
      <c r="AF66" s="447"/>
      <c r="AG66" s="447"/>
      <c r="AH66" s="447"/>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row>
    <row r="67" spans="1:67" s="88" customFormat="1" ht="10.55" customHeight="1" x14ac:dyDescent="0.2">
      <c r="A67" s="512" t="s">
        <v>331</v>
      </c>
      <c r="B67" s="2807"/>
      <c r="C67" s="2808"/>
      <c r="D67" s="2809"/>
      <c r="E67" s="2561"/>
      <c r="F67" s="2562"/>
      <c r="G67" s="1785">
        <v>20</v>
      </c>
      <c r="H67" s="524"/>
      <c r="I67" s="1409">
        <f t="shared" si="5"/>
        <v>6.4147128734474465E-2</v>
      </c>
      <c r="J67" s="1421">
        <f t="shared" si="6"/>
        <v>0</v>
      </c>
      <c r="K67" s="678">
        <v>3</v>
      </c>
      <c r="L67" s="1002"/>
      <c r="M67" s="1428">
        <f t="shared" si="7"/>
        <v>0</v>
      </c>
      <c r="N67" s="1110"/>
      <c r="O67" s="674">
        <f t="shared" si="8"/>
        <v>20</v>
      </c>
      <c r="P67" s="682"/>
      <c r="Q67" s="286"/>
      <c r="R67" s="287"/>
      <c r="S67" s="280"/>
      <c r="T67" s="280"/>
      <c r="U67" s="280"/>
      <c r="V67" s="280"/>
      <c r="W67" s="280"/>
      <c r="X67" s="280"/>
      <c r="Y67" s="280"/>
      <c r="Z67" s="284"/>
      <c r="AA67" s="284"/>
      <c r="AB67" s="284"/>
      <c r="AC67" s="284"/>
      <c r="AD67" s="284"/>
      <c r="AE67" s="284"/>
      <c r="AF67" s="447"/>
      <c r="AG67" s="447"/>
      <c r="AH67" s="447"/>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row>
    <row r="68" spans="1:67" s="88" customFormat="1" ht="10.55" customHeight="1" x14ac:dyDescent="0.2">
      <c r="A68" s="512" t="s">
        <v>332</v>
      </c>
      <c r="B68" s="2807"/>
      <c r="C68" s="2808"/>
      <c r="D68" s="2809"/>
      <c r="E68" s="2561"/>
      <c r="F68" s="2562"/>
      <c r="G68" s="1785">
        <v>40</v>
      </c>
      <c r="H68" s="524"/>
      <c r="I68" s="1409">
        <f t="shared" si="5"/>
        <v>3.9836233162469814E-2</v>
      </c>
      <c r="J68" s="1421">
        <f t="shared" si="6"/>
        <v>0</v>
      </c>
      <c r="K68" s="678">
        <v>0</v>
      </c>
      <c r="L68" s="1002"/>
      <c r="M68" s="1428">
        <f t="shared" si="7"/>
        <v>0</v>
      </c>
      <c r="N68" s="1110"/>
      <c r="O68" s="674">
        <f t="shared" si="8"/>
        <v>40</v>
      </c>
      <c r="P68" s="682"/>
      <c r="Q68" s="286"/>
      <c r="R68" s="287"/>
      <c r="S68" s="280"/>
      <c r="T68" s="280"/>
      <c r="U68" s="280"/>
      <c r="V68" s="280"/>
      <c r="W68" s="280"/>
      <c r="X68" s="280"/>
      <c r="Y68" s="280"/>
      <c r="Z68" s="284"/>
      <c r="AA68" s="284"/>
      <c r="AB68" s="284"/>
      <c r="AC68" s="284"/>
      <c r="AD68" s="284"/>
      <c r="AE68" s="284"/>
      <c r="AF68" s="447"/>
      <c r="AG68" s="447"/>
      <c r="AH68" s="447"/>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row>
    <row r="69" spans="1:67" s="88" customFormat="1" ht="10.55" customHeight="1" x14ac:dyDescent="0.2">
      <c r="A69" s="512" t="s">
        <v>333</v>
      </c>
      <c r="B69" s="2807"/>
      <c r="C69" s="2808"/>
      <c r="D69" s="2809"/>
      <c r="E69" s="2561"/>
      <c r="F69" s="2562"/>
      <c r="G69" s="1785">
        <v>20</v>
      </c>
      <c r="H69" s="524"/>
      <c r="I69" s="1409">
        <f t="shared" si="5"/>
        <v>6.4147128734474465E-2</v>
      </c>
      <c r="J69" s="1421">
        <f t="shared" si="6"/>
        <v>0</v>
      </c>
      <c r="K69" s="678">
        <v>8</v>
      </c>
      <c r="L69" s="1002"/>
      <c r="M69" s="1428">
        <f t="shared" si="7"/>
        <v>0</v>
      </c>
      <c r="N69" s="1110"/>
      <c r="O69" s="674">
        <f t="shared" si="8"/>
        <v>20</v>
      </c>
      <c r="P69" s="682"/>
      <c r="Q69" s="286"/>
      <c r="R69" s="287"/>
      <c r="S69" s="280"/>
      <c r="T69" s="280"/>
      <c r="U69" s="280"/>
      <c r="V69" s="280"/>
      <c r="W69" s="280"/>
      <c r="X69" s="280"/>
      <c r="Y69" s="280"/>
      <c r="Z69" s="284"/>
      <c r="AA69" s="284"/>
      <c r="AB69" s="284"/>
      <c r="AC69" s="284"/>
      <c r="AD69" s="284"/>
      <c r="AE69" s="284"/>
      <c r="AF69" s="447"/>
      <c r="AG69" s="447"/>
      <c r="AH69" s="447"/>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row>
    <row r="70" spans="1:67" s="88" customFormat="1" ht="10.55" customHeight="1" x14ac:dyDescent="0.2">
      <c r="A70" s="512" t="s">
        <v>334</v>
      </c>
      <c r="B70" s="2807"/>
      <c r="C70" s="2808"/>
      <c r="D70" s="2809"/>
      <c r="E70" s="2561"/>
      <c r="F70" s="2562"/>
      <c r="G70" s="1785">
        <v>20</v>
      </c>
      <c r="H70" s="524"/>
      <c r="I70" s="1409">
        <f t="shared" si="5"/>
        <v>6.4147128734474465E-2</v>
      </c>
      <c r="J70" s="1421">
        <f t="shared" si="6"/>
        <v>0</v>
      </c>
      <c r="K70" s="1784">
        <v>0</v>
      </c>
      <c r="L70" s="1002"/>
      <c r="M70" s="1428">
        <f t="shared" si="7"/>
        <v>0</v>
      </c>
      <c r="N70" s="1110"/>
      <c r="O70" s="674">
        <f t="shared" si="8"/>
        <v>20</v>
      </c>
      <c r="P70" s="682"/>
      <c r="Q70" s="286"/>
      <c r="R70" s="287"/>
      <c r="S70" s="280"/>
      <c r="T70" s="280"/>
      <c r="U70" s="280"/>
      <c r="V70" s="280"/>
      <c r="W70" s="280"/>
      <c r="X70" s="280"/>
      <c r="Y70" s="280"/>
      <c r="Z70" s="284"/>
      <c r="AA70" s="284"/>
      <c r="AB70" s="284"/>
      <c r="AC70" s="284"/>
      <c r="AD70" s="284"/>
      <c r="AE70" s="284"/>
      <c r="AF70" s="447"/>
      <c r="AG70" s="447"/>
      <c r="AH70" s="447"/>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row>
    <row r="71" spans="1:67" s="88" customFormat="1" ht="10.55" customHeight="1" x14ac:dyDescent="0.2">
      <c r="A71" s="675"/>
      <c r="B71" s="2807"/>
      <c r="C71" s="2808"/>
      <c r="D71" s="2809"/>
      <c r="E71" s="2561"/>
      <c r="F71" s="2562"/>
      <c r="G71" s="1015"/>
      <c r="H71" s="524"/>
      <c r="I71" s="1409">
        <f t="shared" si="5"/>
        <v>0</v>
      </c>
      <c r="J71" s="1421">
        <f t="shared" si="6"/>
        <v>0</v>
      </c>
      <c r="K71" s="679"/>
      <c r="L71" s="1002"/>
      <c r="M71" s="1428">
        <f t="shared" si="7"/>
        <v>0</v>
      </c>
      <c r="N71" s="1110"/>
      <c r="O71" s="674">
        <f t="shared" si="8"/>
        <v>0</v>
      </c>
      <c r="P71" s="682"/>
      <c r="Q71" s="286"/>
      <c r="R71" s="287"/>
      <c r="S71" s="280"/>
      <c r="T71" s="280"/>
      <c r="U71" s="280"/>
      <c r="V71" s="280"/>
      <c r="W71" s="280"/>
      <c r="X71" s="280"/>
      <c r="Y71" s="280"/>
      <c r="Z71" s="284"/>
      <c r="AA71" s="284"/>
      <c r="AB71" s="284"/>
      <c r="AC71" s="284"/>
      <c r="AD71" s="284"/>
      <c r="AE71" s="284"/>
      <c r="AF71" s="447"/>
      <c r="AG71" s="447"/>
      <c r="AH71" s="447"/>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row>
    <row r="72" spans="1:67" s="88" customFormat="1" ht="10.55" customHeight="1" x14ac:dyDescent="0.2">
      <c r="A72" s="675"/>
      <c r="B72" s="2807"/>
      <c r="C72" s="2808"/>
      <c r="D72" s="2809"/>
      <c r="E72" s="2561"/>
      <c r="F72" s="2562"/>
      <c r="G72" s="1015"/>
      <c r="H72" s="524"/>
      <c r="I72" s="1409">
        <f t="shared" si="5"/>
        <v>0</v>
      </c>
      <c r="J72" s="1421">
        <f t="shared" si="6"/>
        <v>0</v>
      </c>
      <c r="K72" s="679"/>
      <c r="L72" s="1002"/>
      <c r="M72" s="1428">
        <f t="shared" si="7"/>
        <v>0</v>
      </c>
      <c r="N72" s="1110"/>
      <c r="O72" s="674">
        <f t="shared" si="8"/>
        <v>0</v>
      </c>
      <c r="P72" s="682"/>
      <c r="Q72" s="286"/>
      <c r="R72" s="287"/>
      <c r="S72" s="280"/>
      <c r="T72" s="280"/>
      <c r="U72" s="280"/>
      <c r="V72" s="280"/>
      <c r="W72" s="280"/>
      <c r="X72" s="280"/>
      <c r="Y72" s="280"/>
      <c r="Z72" s="284"/>
      <c r="AA72" s="284"/>
      <c r="AB72" s="284"/>
      <c r="AC72" s="284"/>
      <c r="AD72" s="284"/>
      <c r="AE72" s="284"/>
      <c r="AF72" s="447"/>
      <c r="AG72" s="447"/>
      <c r="AH72" s="447"/>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row>
    <row r="73" spans="1:67" s="88" customFormat="1" ht="10.55" customHeight="1" x14ac:dyDescent="0.2">
      <c r="A73" s="1153"/>
      <c r="B73" s="2884"/>
      <c r="C73" s="2885"/>
      <c r="D73" s="2886"/>
      <c r="E73" s="2793"/>
      <c r="F73" s="2794"/>
      <c r="G73" s="1086"/>
      <c r="H73" s="1087"/>
      <c r="I73" s="1437">
        <f t="shared" si="5"/>
        <v>0</v>
      </c>
      <c r="J73" s="1413"/>
      <c r="K73" s="1088"/>
      <c r="L73" s="1089"/>
      <c r="M73" s="1431">
        <f t="shared" si="7"/>
        <v>0</v>
      </c>
      <c r="N73" s="1110"/>
      <c r="O73" s="674">
        <f t="shared" si="8"/>
        <v>0</v>
      </c>
      <c r="P73" s="682"/>
      <c r="Q73" s="286"/>
      <c r="R73" s="287"/>
      <c r="S73" s="280"/>
      <c r="T73" s="280"/>
      <c r="U73" s="280"/>
      <c r="V73" s="280"/>
      <c r="W73" s="280"/>
      <c r="X73" s="280"/>
      <c r="Y73" s="280"/>
      <c r="Z73" s="284"/>
      <c r="AA73" s="284"/>
      <c r="AB73" s="284"/>
      <c r="AC73" s="284"/>
      <c r="AD73" s="284"/>
      <c r="AE73" s="284"/>
      <c r="AF73" s="447"/>
      <c r="AG73" s="447"/>
      <c r="AH73" s="447"/>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row>
    <row r="74" spans="1:67" s="88" customFormat="1" ht="10.55" customHeight="1" x14ac:dyDescent="0.2">
      <c r="A74" s="1145" t="s">
        <v>335</v>
      </c>
      <c r="B74" s="2783"/>
      <c r="C74" s="2784"/>
      <c r="D74" s="2785"/>
      <c r="E74" s="2810">
        <f>SUM(E75:E87)</f>
        <v>0</v>
      </c>
      <c r="F74" s="2811"/>
      <c r="G74" s="2747"/>
      <c r="H74" s="2748"/>
      <c r="I74" s="1435">
        <f>IF(E74=0,0,J74/E74)</f>
        <v>0</v>
      </c>
      <c r="J74" s="1423">
        <f>SUM(J75:J87)</f>
        <v>0</v>
      </c>
      <c r="K74" s="2749">
        <f>IF(E74=0,0,M74/E74*100)</f>
        <v>0</v>
      </c>
      <c r="L74" s="2750"/>
      <c r="M74" s="1430">
        <f>SUM(M75:M87)</f>
        <v>0</v>
      </c>
      <c r="N74" s="1110"/>
      <c r="O74" s="387">
        <f>IF(H74="",G74,H74)</f>
        <v>0</v>
      </c>
      <c r="P74" s="682"/>
      <c r="Q74" s="286"/>
      <c r="R74" s="287"/>
      <c r="S74" s="280"/>
      <c r="T74" s="280"/>
      <c r="U74" s="280"/>
      <c r="V74" s="280"/>
      <c r="W74" s="280"/>
      <c r="X74" s="280"/>
      <c r="Y74" s="280"/>
      <c r="Z74" s="284"/>
      <c r="AA74" s="284"/>
      <c r="AB74" s="284"/>
      <c r="AC74" s="284"/>
      <c r="AD74" s="284"/>
      <c r="AE74" s="284"/>
      <c r="AF74" s="447"/>
      <c r="AG74" s="447"/>
      <c r="AH74" s="447"/>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row>
    <row r="75" spans="1:67" s="88" customFormat="1" ht="10.55" customHeight="1" x14ac:dyDescent="0.2">
      <c r="A75" s="1013" t="s">
        <v>336</v>
      </c>
      <c r="B75" s="2790"/>
      <c r="C75" s="2791"/>
      <c r="D75" s="2792"/>
      <c r="E75" s="2734"/>
      <c r="F75" s="2735"/>
      <c r="G75" s="1785">
        <v>40</v>
      </c>
      <c r="H75" s="524"/>
      <c r="I75" s="1409">
        <f t="shared" ref="I75:I88" si="9">IF($O75&gt;0,-PMT(($I$9),$O75,1),0)</f>
        <v>3.9836233162469814E-2</v>
      </c>
      <c r="J75" s="1421">
        <f t="shared" ref="J75:J87" si="10">ROUND(E75*I75,0)</f>
        <v>0</v>
      </c>
      <c r="K75" s="678">
        <v>1.5</v>
      </c>
      <c r="L75" s="1002"/>
      <c r="M75" s="1428">
        <f t="shared" ref="M75:M88" si="11">ROUND(E75/100*IF(ISBLANK(L75),K75,L75),0)</f>
        <v>0</v>
      </c>
      <c r="N75" s="1110"/>
      <c r="O75" s="674">
        <f t="shared" ref="O75:O88" si="12">IF(ISBLANK(H75),G75,H75)</f>
        <v>40</v>
      </c>
      <c r="P75" s="682"/>
      <c r="Q75" s="286"/>
      <c r="R75" s="287"/>
      <c r="S75" s="280"/>
      <c r="T75" s="280"/>
      <c r="U75" s="280"/>
      <c r="V75" s="280"/>
      <c r="W75" s="280"/>
      <c r="X75" s="280"/>
      <c r="Y75" s="280"/>
      <c r="Z75" s="284"/>
      <c r="AA75" s="284"/>
      <c r="AB75" s="284"/>
      <c r="AC75" s="284"/>
      <c r="AD75" s="284"/>
      <c r="AE75" s="284"/>
      <c r="AF75" s="447"/>
      <c r="AG75" s="447"/>
      <c r="AH75" s="447"/>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row>
    <row r="76" spans="1:67" s="88" customFormat="1" ht="10.55" customHeight="1" x14ac:dyDescent="0.2">
      <c r="A76" s="1013" t="s">
        <v>337</v>
      </c>
      <c r="B76" s="2807"/>
      <c r="C76" s="2808"/>
      <c r="D76" s="2809"/>
      <c r="E76" s="2561"/>
      <c r="F76" s="2562"/>
      <c r="G76" s="1785">
        <v>40</v>
      </c>
      <c r="H76" s="524"/>
      <c r="I76" s="1409">
        <f t="shared" si="9"/>
        <v>3.9836233162469814E-2</v>
      </c>
      <c r="J76" s="1421">
        <f t="shared" si="10"/>
        <v>0</v>
      </c>
      <c r="K76" s="678">
        <v>0.5</v>
      </c>
      <c r="L76" s="1002"/>
      <c r="M76" s="1428">
        <f t="shared" si="11"/>
        <v>0</v>
      </c>
      <c r="N76" s="1110"/>
      <c r="O76" s="674">
        <f t="shared" si="12"/>
        <v>40</v>
      </c>
      <c r="P76" s="682"/>
      <c r="Q76" s="286"/>
      <c r="R76" s="287"/>
      <c r="S76" s="280"/>
      <c r="T76" s="280"/>
      <c r="U76" s="280"/>
      <c r="V76" s="280"/>
      <c r="W76" s="280"/>
      <c r="X76" s="280"/>
      <c r="Y76" s="280"/>
      <c r="Z76" s="284"/>
      <c r="AA76" s="284"/>
      <c r="AB76" s="284"/>
      <c r="AC76" s="284"/>
      <c r="AD76" s="284"/>
      <c r="AE76" s="284"/>
      <c r="AF76" s="447"/>
      <c r="AG76" s="447"/>
      <c r="AH76" s="447"/>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row>
    <row r="77" spans="1:67" s="88" customFormat="1" ht="10.55" customHeight="1" x14ac:dyDescent="0.2">
      <c r="A77" s="1013" t="s">
        <v>338</v>
      </c>
      <c r="B77" s="2807"/>
      <c r="C77" s="2808"/>
      <c r="D77" s="2809"/>
      <c r="E77" s="2561"/>
      <c r="F77" s="2562"/>
      <c r="G77" s="1785">
        <v>20</v>
      </c>
      <c r="H77" s="524"/>
      <c r="I77" s="1409">
        <f t="shared" si="9"/>
        <v>6.4147128734474465E-2</v>
      </c>
      <c r="J77" s="1421">
        <f t="shared" si="10"/>
        <v>0</v>
      </c>
      <c r="K77" s="678">
        <v>1</v>
      </c>
      <c r="L77" s="1002"/>
      <c r="M77" s="1428">
        <f t="shared" si="11"/>
        <v>0</v>
      </c>
      <c r="N77" s="1110"/>
      <c r="O77" s="674">
        <f t="shared" si="12"/>
        <v>20</v>
      </c>
      <c r="P77" s="682"/>
      <c r="Q77" s="286"/>
      <c r="R77" s="287"/>
      <c r="S77" s="280"/>
      <c r="T77" s="280"/>
      <c r="U77" s="280"/>
      <c r="V77" s="280"/>
      <c r="W77" s="280"/>
      <c r="X77" s="280"/>
      <c r="Y77" s="280"/>
      <c r="Z77" s="284"/>
      <c r="AA77" s="284"/>
      <c r="AB77" s="284"/>
      <c r="AC77" s="284"/>
      <c r="AD77" s="284"/>
      <c r="AE77" s="284"/>
      <c r="AF77" s="447"/>
      <c r="AG77" s="447"/>
      <c r="AH77" s="447"/>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row>
    <row r="78" spans="1:67" s="88" customFormat="1" ht="10.55" customHeight="1" x14ac:dyDescent="0.2">
      <c r="A78" s="1013" t="s">
        <v>339</v>
      </c>
      <c r="B78" s="2807"/>
      <c r="C78" s="2808"/>
      <c r="D78" s="2809"/>
      <c r="E78" s="2561"/>
      <c r="F78" s="2562"/>
      <c r="G78" s="1785">
        <v>30</v>
      </c>
      <c r="H78" s="524"/>
      <c r="I78" s="1409">
        <f t="shared" si="9"/>
        <v>4.7777640736176463E-2</v>
      </c>
      <c r="J78" s="1421">
        <f t="shared" si="10"/>
        <v>0</v>
      </c>
      <c r="K78" s="678">
        <v>2</v>
      </c>
      <c r="L78" s="1002"/>
      <c r="M78" s="1428">
        <f t="shared" si="11"/>
        <v>0</v>
      </c>
      <c r="N78" s="1110"/>
      <c r="O78" s="674">
        <f t="shared" si="12"/>
        <v>30</v>
      </c>
      <c r="P78" s="682"/>
      <c r="Q78" s="286"/>
      <c r="R78" s="287"/>
      <c r="S78" s="280"/>
      <c r="T78" s="280"/>
      <c r="U78" s="280"/>
      <c r="V78" s="280"/>
      <c r="W78" s="280"/>
      <c r="X78" s="280"/>
      <c r="Y78" s="280"/>
      <c r="Z78" s="284"/>
      <c r="AA78" s="284"/>
      <c r="AB78" s="284"/>
      <c r="AC78" s="284"/>
      <c r="AD78" s="284"/>
      <c r="AE78" s="284"/>
      <c r="AF78" s="447"/>
      <c r="AG78" s="447"/>
      <c r="AH78" s="447"/>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row>
    <row r="79" spans="1:67" s="88" customFormat="1" ht="10.55" customHeight="1" x14ac:dyDescent="0.2">
      <c r="A79" s="1013" t="s">
        <v>340</v>
      </c>
      <c r="B79" s="2807"/>
      <c r="C79" s="2808"/>
      <c r="D79" s="2809"/>
      <c r="E79" s="2561"/>
      <c r="F79" s="2562"/>
      <c r="G79" s="1785">
        <v>30</v>
      </c>
      <c r="H79" s="524"/>
      <c r="I79" s="1409">
        <f t="shared" si="9"/>
        <v>4.7777640736176463E-2</v>
      </c>
      <c r="J79" s="1421">
        <f t="shared" si="10"/>
        <v>0</v>
      </c>
      <c r="K79" s="678">
        <v>1.5</v>
      </c>
      <c r="L79" s="1002"/>
      <c r="M79" s="1428">
        <f t="shared" si="11"/>
        <v>0</v>
      </c>
      <c r="N79" s="1110"/>
      <c r="O79" s="674">
        <f t="shared" si="12"/>
        <v>30</v>
      </c>
      <c r="P79" s="682"/>
      <c r="Q79" s="286"/>
      <c r="R79" s="287"/>
      <c r="S79" s="280"/>
      <c r="T79" s="280"/>
      <c r="U79" s="280"/>
      <c r="V79" s="280"/>
      <c r="W79" s="280"/>
      <c r="X79" s="280"/>
      <c r="Y79" s="280"/>
      <c r="Z79" s="284"/>
      <c r="AA79" s="284"/>
      <c r="AB79" s="284"/>
      <c r="AC79" s="284"/>
      <c r="AD79" s="284"/>
      <c r="AE79" s="284"/>
      <c r="AF79" s="447"/>
      <c r="AG79" s="447"/>
      <c r="AH79" s="447"/>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row>
    <row r="80" spans="1:67" s="88" customFormat="1" ht="10.55" customHeight="1" x14ac:dyDescent="0.2">
      <c r="A80" s="1013" t="s">
        <v>341</v>
      </c>
      <c r="B80" s="2807"/>
      <c r="C80" s="2808"/>
      <c r="D80" s="2809"/>
      <c r="E80" s="2561"/>
      <c r="F80" s="2562"/>
      <c r="G80" s="1785">
        <v>20</v>
      </c>
      <c r="H80" s="524"/>
      <c r="I80" s="1409">
        <f t="shared" si="9"/>
        <v>6.4147128734474465E-2</v>
      </c>
      <c r="J80" s="1421">
        <f t="shared" si="10"/>
        <v>0</v>
      </c>
      <c r="K80" s="678">
        <v>1</v>
      </c>
      <c r="L80" s="1002"/>
      <c r="M80" s="1428">
        <f t="shared" si="11"/>
        <v>0</v>
      </c>
      <c r="N80" s="1110"/>
      <c r="O80" s="674">
        <f t="shared" si="12"/>
        <v>20</v>
      </c>
      <c r="P80" s="682"/>
      <c r="Q80" s="286"/>
      <c r="R80" s="287"/>
      <c r="S80" s="280"/>
      <c r="T80" s="280"/>
      <c r="U80" s="280"/>
      <c r="V80" s="280"/>
      <c r="W80" s="280"/>
      <c r="X80" s="280"/>
      <c r="Y80" s="280"/>
      <c r="Z80" s="284"/>
      <c r="AA80" s="284"/>
      <c r="AB80" s="284"/>
      <c r="AC80" s="284"/>
      <c r="AD80" s="284"/>
      <c r="AE80" s="284"/>
      <c r="AF80" s="447"/>
      <c r="AG80" s="447"/>
      <c r="AH80" s="447"/>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row>
    <row r="81" spans="1:67" s="88" customFormat="1" ht="10.55" customHeight="1" x14ac:dyDescent="0.2">
      <c r="A81" s="1013" t="s">
        <v>827</v>
      </c>
      <c r="B81" s="2807"/>
      <c r="C81" s="2808"/>
      <c r="D81" s="2809"/>
      <c r="E81" s="2561"/>
      <c r="F81" s="2562"/>
      <c r="G81" s="1785">
        <v>15</v>
      </c>
      <c r="H81" s="524"/>
      <c r="I81" s="1409">
        <f t="shared" si="9"/>
        <v>8.0766456051533542E-2</v>
      </c>
      <c r="J81" s="1421">
        <f t="shared" si="10"/>
        <v>0</v>
      </c>
      <c r="K81" s="678">
        <v>4</v>
      </c>
      <c r="L81" s="1002"/>
      <c r="M81" s="1428">
        <f t="shared" si="11"/>
        <v>0</v>
      </c>
      <c r="N81" s="1110"/>
      <c r="O81" s="674">
        <f t="shared" si="12"/>
        <v>15</v>
      </c>
      <c r="P81" s="682"/>
      <c r="Q81" s="286"/>
      <c r="R81" s="287"/>
      <c r="S81" s="280"/>
      <c r="T81" s="280"/>
      <c r="U81" s="280"/>
      <c r="V81" s="280"/>
      <c r="W81" s="280"/>
      <c r="X81" s="280"/>
      <c r="Y81" s="280"/>
      <c r="Z81" s="284"/>
      <c r="AA81" s="284"/>
      <c r="AB81" s="284"/>
      <c r="AC81" s="284"/>
      <c r="AD81" s="284"/>
      <c r="AE81" s="284"/>
      <c r="AF81" s="447"/>
      <c r="AG81" s="447"/>
      <c r="AH81" s="447"/>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row>
    <row r="82" spans="1:67" s="88" customFormat="1" ht="10.55" customHeight="1" x14ac:dyDescent="0.2">
      <c r="A82" s="675"/>
      <c r="B82" s="2807"/>
      <c r="C82" s="2808"/>
      <c r="D82" s="2809"/>
      <c r="E82" s="2561"/>
      <c r="F82" s="2562"/>
      <c r="G82" s="1015"/>
      <c r="H82" s="524"/>
      <c r="I82" s="1409">
        <f t="shared" si="9"/>
        <v>0</v>
      </c>
      <c r="J82" s="1421">
        <f t="shared" si="10"/>
        <v>0</v>
      </c>
      <c r="K82" s="679"/>
      <c r="L82" s="1002"/>
      <c r="M82" s="1428">
        <f t="shared" si="11"/>
        <v>0</v>
      </c>
      <c r="N82" s="1110"/>
      <c r="O82" s="674">
        <f t="shared" si="12"/>
        <v>0</v>
      </c>
      <c r="P82" s="682"/>
      <c r="Q82" s="286"/>
      <c r="R82" s="287"/>
      <c r="S82" s="280"/>
      <c r="T82" s="280"/>
      <c r="U82" s="280"/>
      <c r="V82" s="280"/>
      <c r="W82" s="280"/>
      <c r="X82" s="280"/>
      <c r="Y82" s="280"/>
      <c r="Z82" s="284"/>
      <c r="AA82" s="284"/>
      <c r="AB82" s="284"/>
      <c r="AC82" s="284"/>
      <c r="AD82" s="284"/>
      <c r="AE82" s="284"/>
      <c r="AF82" s="447"/>
      <c r="AG82" s="447"/>
      <c r="AH82" s="447"/>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row>
    <row r="83" spans="1:67" s="88" customFormat="1" ht="10.55" customHeight="1" x14ac:dyDescent="0.2">
      <c r="A83" s="675"/>
      <c r="B83" s="2807"/>
      <c r="C83" s="2808"/>
      <c r="D83" s="2809"/>
      <c r="E83" s="2561"/>
      <c r="F83" s="2562"/>
      <c r="G83" s="1015"/>
      <c r="H83" s="524"/>
      <c r="I83" s="1409">
        <f t="shared" si="9"/>
        <v>0</v>
      </c>
      <c r="J83" s="1421">
        <f t="shared" si="10"/>
        <v>0</v>
      </c>
      <c r="K83" s="679"/>
      <c r="L83" s="1002"/>
      <c r="M83" s="1428">
        <f t="shared" si="11"/>
        <v>0</v>
      </c>
      <c r="N83" s="1110"/>
      <c r="O83" s="674">
        <f t="shared" si="12"/>
        <v>0</v>
      </c>
      <c r="P83" s="682"/>
      <c r="Q83" s="286"/>
      <c r="R83" s="287"/>
      <c r="S83" s="280"/>
      <c r="T83" s="280"/>
      <c r="U83" s="280"/>
      <c r="V83" s="280"/>
      <c r="W83" s="280"/>
      <c r="X83" s="280"/>
      <c r="Y83" s="280"/>
      <c r="Z83" s="284"/>
      <c r="AA83" s="284"/>
      <c r="AB83" s="284"/>
      <c r="AC83" s="284"/>
      <c r="AD83" s="284"/>
      <c r="AE83" s="284"/>
      <c r="AF83" s="447"/>
      <c r="AG83" s="447"/>
      <c r="AH83" s="447"/>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row>
    <row r="84" spans="1:67" s="88" customFormat="1" ht="10.55" customHeight="1" x14ac:dyDescent="0.2">
      <c r="A84" s="675"/>
      <c r="B84" s="2807"/>
      <c r="C84" s="2808"/>
      <c r="D84" s="2809"/>
      <c r="E84" s="2561"/>
      <c r="F84" s="2562"/>
      <c r="G84" s="1015"/>
      <c r="H84" s="524"/>
      <c r="I84" s="1409">
        <f t="shared" si="9"/>
        <v>0</v>
      </c>
      <c r="J84" s="1421">
        <f t="shared" si="10"/>
        <v>0</v>
      </c>
      <c r="K84" s="679"/>
      <c r="L84" s="1002"/>
      <c r="M84" s="1428">
        <f t="shared" si="11"/>
        <v>0</v>
      </c>
      <c r="N84" s="1110"/>
      <c r="O84" s="674">
        <f t="shared" si="12"/>
        <v>0</v>
      </c>
      <c r="P84" s="682"/>
      <c r="Q84" s="286"/>
      <c r="R84" s="287"/>
      <c r="S84" s="280"/>
      <c r="T84" s="280"/>
      <c r="U84" s="280"/>
      <c r="V84" s="280"/>
      <c r="W84" s="280"/>
      <c r="X84" s="280"/>
      <c r="Y84" s="280"/>
      <c r="Z84" s="284"/>
      <c r="AA84" s="284"/>
      <c r="AB84" s="284"/>
      <c r="AC84" s="284"/>
      <c r="AD84" s="284"/>
      <c r="AE84" s="284"/>
      <c r="AF84" s="447"/>
      <c r="AG84" s="447"/>
      <c r="AH84" s="447"/>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row>
    <row r="85" spans="1:67" s="88" customFormat="1" ht="10.55" customHeight="1" x14ac:dyDescent="0.2">
      <c r="A85" s="675"/>
      <c r="B85" s="2807"/>
      <c r="C85" s="2808"/>
      <c r="D85" s="2809"/>
      <c r="E85" s="2561"/>
      <c r="F85" s="2562"/>
      <c r="G85" s="1015"/>
      <c r="H85" s="524"/>
      <c r="I85" s="1409">
        <f t="shared" si="9"/>
        <v>0</v>
      </c>
      <c r="J85" s="1421">
        <f t="shared" si="10"/>
        <v>0</v>
      </c>
      <c r="K85" s="679"/>
      <c r="L85" s="1002"/>
      <c r="M85" s="1428">
        <f t="shared" si="11"/>
        <v>0</v>
      </c>
      <c r="N85" s="1110"/>
      <c r="O85" s="674">
        <f t="shared" si="12"/>
        <v>0</v>
      </c>
      <c r="P85" s="682"/>
      <c r="Q85" s="286"/>
      <c r="R85" s="287"/>
      <c r="S85" s="280"/>
      <c r="T85" s="280"/>
      <c r="U85" s="280"/>
      <c r="V85" s="280"/>
      <c r="W85" s="280"/>
      <c r="X85" s="280"/>
      <c r="Y85" s="280"/>
      <c r="Z85" s="284"/>
      <c r="AA85" s="284"/>
      <c r="AB85" s="284"/>
      <c r="AC85" s="284"/>
      <c r="AD85" s="284"/>
      <c r="AE85" s="284"/>
      <c r="AF85" s="447"/>
      <c r="AG85" s="447"/>
      <c r="AH85" s="447"/>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row>
    <row r="86" spans="1:67" s="88" customFormat="1" ht="10.55" customHeight="1" x14ac:dyDescent="0.2">
      <c r="A86" s="675"/>
      <c r="B86" s="2807"/>
      <c r="C86" s="2808"/>
      <c r="D86" s="2809"/>
      <c r="E86" s="2561"/>
      <c r="F86" s="2562"/>
      <c r="G86" s="1015"/>
      <c r="H86" s="524"/>
      <c r="I86" s="1409">
        <f t="shared" si="9"/>
        <v>0</v>
      </c>
      <c r="J86" s="1421">
        <f t="shared" si="10"/>
        <v>0</v>
      </c>
      <c r="K86" s="679"/>
      <c r="L86" s="1002"/>
      <c r="M86" s="1428">
        <f t="shared" si="11"/>
        <v>0</v>
      </c>
      <c r="N86" s="1110"/>
      <c r="O86" s="674">
        <f t="shared" si="12"/>
        <v>0</v>
      </c>
      <c r="P86" s="682"/>
      <c r="Q86" s="286"/>
      <c r="R86" s="287"/>
      <c r="S86" s="280"/>
      <c r="T86" s="280"/>
      <c r="U86" s="280"/>
      <c r="V86" s="280"/>
      <c r="W86" s="280"/>
      <c r="X86" s="280"/>
      <c r="Y86" s="280"/>
      <c r="Z86" s="284"/>
      <c r="AA86" s="284"/>
      <c r="AB86" s="284"/>
      <c r="AC86" s="284"/>
      <c r="AD86" s="284"/>
      <c r="AE86" s="284"/>
      <c r="AF86" s="447"/>
      <c r="AG86" s="447"/>
      <c r="AH86" s="447"/>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row>
    <row r="87" spans="1:67" s="88" customFormat="1" ht="10.55" customHeight="1" x14ac:dyDescent="0.2">
      <c r="A87" s="675"/>
      <c r="B87" s="2807"/>
      <c r="C87" s="2808"/>
      <c r="D87" s="2809"/>
      <c r="E87" s="2561"/>
      <c r="F87" s="2562"/>
      <c r="G87" s="1015"/>
      <c r="H87" s="524"/>
      <c r="I87" s="1409">
        <f t="shared" si="9"/>
        <v>0</v>
      </c>
      <c r="J87" s="1421">
        <f t="shared" si="10"/>
        <v>0</v>
      </c>
      <c r="K87" s="679"/>
      <c r="L87" s="1002"/>
      <c r="M87" s="1428">
        <f t="shared" si="11"/>
        <v>0</v>
      </c>
      <c r="N87" s="1110"/>
      <c r="O87" s="674">
        <f t="shared" si="12"/>
        <v>0</v>
      </c>
      <c r="P87" s="682"/>
      <c r="Q87" s="286"/>
      <c r="R87" s="287"/>
      <c r="S87" s="280"/>
      <c r="T87" s="280"/>
      <c r="U87" s="280"/>
      <c r="V87" s="280"/>
      <c r="W87" s="280"/>
      <c r="X87" s="280"/>
      <c r="Y87" s="280"/>
      <c r="Z87" s="284"/>
      <c r="AA87" s="284"/>
      <c r="AB87" s="284"/>
      <c r="AC87" s="284"/>
      <c r="AD87" s="284"/>
      <c r="AE87" s="284"/>
      <c r="AF87" s="447"/>
      <c r="AG87" s="447"/>
      <c r="AH87" s="447"/>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row>
    <row r="88" spans="1:67" s="88" customFormat="1" ht="10.55" customHeight="1" x14ac:dyDescent="0.2">
      <c r="A88" s="511"/>
      <c r="B88" s="2884"/>
      <c r="C88" s="2885"/>
      <c r="D88" s="2886"/>
      <c r="E88" s="2793"/>
      <c r="F88" s="2794"/>
      <c r="G88" s="1018"/>
      <c r="H88" s="1019"/>
      <c r="I88" s="1436">
        <f t="shared" si="9"/>
        <v>0</v>
      </c>
      <c r="J88" s="1422"/>
      <c r="K88" s="680"/>
      <c r="L88" s="1020"/>
      <c r="M88" s="1429">
        <f t="shared" si="11"/>
        <v>0</v>
      </c>
      <c r="N88" s="1110"/>
      <c r="O88" s="674">
        <f t="shared" si="12"/>
        <v>0</v>
      </c>
      <c r="P88" s="682"/>
      <c r="Q88" s="286"/>
      <c r="R88" s="287"/>
      <c r="S88" s="280"/>
      <c r="T88" s="280"/>
      <c r="U88" s="280"/>
      <c r="V88" s="280"/>
      <c r="W88" s="280"/>
      <c r="X88" s="280"/>
      <c r="Y88" s="280"/>
      <c r="Z88" s="284"/>
      <c r="AA88" s="284"/>
      <c r="AB88" s="284"/>
      <c r="AC88" s="284"/>
      <c r="AD88" s="284"/>
      <c r="AE88" s="284"/>
      <c r="AF88" s="447"/>
      <c r="AG88" s="447"/>
      <c r="AH88" s="447"/>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row>
    <row r="89" spans="1:67" s="88" customFormat="1" ht="10.55" customHeight="1" x14ac:dyDescent="0.2">
      <c r="A89" s="1145" t="s">
        <v>342</v>
      </c>
      <c r="B89" s="2783"/>
      <c r="C89" s="2784"/>
      <c r="D89" s="2785"/>
      <c r="E89" s="2810">
        <f>SUM(E90:E104)</f>
        <v>0</v>
      </c>
      <c r="F89" s="2811"/>
      <c r="G89" s="2747"/>
      <c r="H89" s="2748"/>
      <c r="I89" s="1435">
        <f>IF(E89=0,0,J89/E89)</f>
        <v>0</v>
      </c>
      <c r="J89" s="1423">
        <f>SUM(J90:J104)</f>
        <v>0</v>
      </c>
      <c r="K89" s="2749">
        <f>IF(E89=0,0,M89/E89*100)</f>
        <v>0</v>
      </c>
      <c r="L89" s="2750"/>
      <c r="M89" s="1430">
        <f>SUM(M90:M104)</f>
        <v>0</v>
      </c>
      <c r="N89" s="1110"/>
      <c r="O89" s="387">
        <f>IF(H89="",G89,H89)</f>
        <v>0</v>
      </c>
      <c r="P89" s="682"/>
      <c r="Q89" s="286"/>
      <c r="R89" s="287"/>
      <c r="S89" s="280"/>
      <c r="T89" s="280"/>
      <c r="U89" s="280"/>
      <c r="V89" s="280"/>
      <c r="W89" s="280"/>
      <c r="X89" s="280"/>
      <c r="Y89" s="280"/>
      <c r="Z89" s="284"/>
      <c r="AA89" s="284"/>
      <c r="AB89" s="284"/>
      <c r="AC89" s="284"/>
      <c r="AD89" s="284"/>
      <c r="AE89" s="284"/>
      <c r="AF89" s="447"/>
      <c r="AG89" s="447"/>
      <c r="AH89" s="447"/>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row>
    <row r="90" spans="1:67" s="88" customFormat="1" ht="10.55" customHeight="1" x14ac:dyDescent="0.2">
      <c r="A90" s="1013" t="s">
        <v>58</v>
      </c>
      <c r="B90" s="2790"/>
      <c r="C90" s="2791"/>
      <c r="D90" s="2792"/>
      <c r="E90" s="2734"/>
      <c r="F90" s="2735"/>
      <c r="G90" s="1785">
        <v>20</v>
      </c>
      <c r="H90" s="524"/>
      <c r="I90" s="1409">
        <f t="shared" ref="I90:I105" si="13">IF($O90&gt;0,-PMT(($I$9),$O90,1),0)</f>
        <v>6.4147128734474465E-2</v>
      </c>
      <c r="J90" s="1421">
        <f t="shared" ref="J90:J104" si="14">ROUND(E90*I90,0)</f>
        <v>0</v>
      </c>
      <c r="K90" s="678">
        <v>2.5</v>
      </c>
      <c r="L90" s="1002"/>
      <c r="M90" s="1428">
        <f t="shared" ref="M90:M105" si="15">ROUND(E90/100*IF(ISBLANK(L90),K90,L90),0)</f>
        <v>0</v>
      </c>
      <c r="N90" s="1110"/>
      <c r="O90" s="674">
        <f t="shared" ref="O90:O105" si="16">IF(ISBLANK(H90),G90,H90)</f>
        <v>20</v>
      </c>
      <c r="P90" s="682"/>
      <c r="Q90" s="286"/>
      <c r="R90" s="287"/>
      <c r="S90" s="280"/>
      <c r="T90" s="280"/>
      <c r="U90" s="280"/>
      <c r="V90" s="280"/>
      <c r="W90" s="280"/>
      <c r="X90" s="280"/>
      <c r="Y90" s="280"/>
      <c r="Z90" s="284"/>
      <c r="AA90" s="284"/>
      <c r="AB90" s="284"/>
      <c r="AC90" s="284"/>
      <c r="AD90" s="284"/>
      <c r="AE90" s="284"/>
      <c r="AF90" s="447"/>
      <c r="AG90" s="447"/>
      <c r="AH90" s="447"/>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row>
    <row r="91" spans="1:67" s="88" customFormat="1" ht="10.55" customHeight="1" x14ac:dyDescent="0.2">
      <c r="A91" s="1013" t="s">
        <v>59</v>
      </c>
      <c r="B91" s="2807"/>
      <c r="C91" s="2808"/>
      <c r="D91" s="2809"/>
      <c r="E91" s="2561"/>
      <c r="F91" s="2562"/>
      <c r="G91" s="1785">
        <v>20</v>
      </c>
      <c r="H91" s="524"/>
      <c r="I91" s="1409">
        <f t="shared" si="13"/>
        <v>6.4147128734474465E-2</v>
      </c>
      <c r="J91" s="1421">
        <f t="shared" si="14"/>
        <v>0</v>
      </c>
      <c r="K91" s="678">
        <v>2.5</v>
      </c>
      <c r="L91" s="1002"/>
      <c r="M91" s="1428">
        <f t="shared" si="15"/>
        <v>0</v>
      </c>
      <c r="N91" s="1110"/>
      <c r="O91" s="674">
        <f t="shared" si="16"/>
        <v>20</v>
      </c>
      <c r="P91" s="682"/>
      <c r="Q91" s="286"/>
      <c r="R91" s="287"/>
      <c r="S91" s="280"/>
      <c r="T91" s="280"/>
      <c r="U91" s="280"/>
      <c r="V91" s="280"/>
      <c r="W91" s="280"/>
      <c r="X91" s="280"/>
      <c r="Y91" s="280"/>
      <c r="Z91" s="284"/>
      <c r="AA91" s="284"/>
      <c r="AB91" s="284"/>
      <c r="AC91" s="284"/>
      <c r="AD91" s="284"/>
      <c r="AE91" s="284"/>
      <c r="AF91" s="447"/>
      <c r="AG91" s="447"/>
      <c r="AH91" s="447"/>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row>
    <row r="92" spans="1:67" s="88" customFormat="1" ht="10.55" customHeight="1" x14ac:dyDescent="0.2">
      <c r="A92" s="1013" t="s">
        <v>830</v>
      </c>
      <c r="B92" s="2807"/>
      <c r="C92" s="2808"/>
      <c r="D92" s="2809"/>
      <c r="E92" s="2561"/>
      <c r="F92" s="2562"/>
      <c r="G92" s="1785">
        <v>20</v>
      </c>
      <c r="H92" s="524"/>
      <c r="I92" s="1409">
        <f t="shared" si="13"/>
        <v>6.4147128734474465E-2</v>
      </c>
      <c r="J92" s="1421">
        <f t="shared" si="14"/>
        <v>0</v>
      </c>
      <c r="K92" s="678">
        <v>5</v>
      </c>
      <c r="L92" s="1002"/>
      <c r="M92" s="1428">
        <f t="shared" si="15"/>
        <v>0</v>
      </c>
      <c r="N92" s="1110"/>
      <c r="O92" s="674">
        <f t="shared" si="16"/>
        <v>20</v>
      </c>
      <c r="P92" s="682"/>
      <c r="Q92" s="286"/>
      <c r="R92" s="287"/>
      <c r="S92" s="280"/>
      <c r="T92" s="280"/>
      <c r="U92" s="280"/>
      <c r="V92" s="280"/>
      <c r="W92" s="280"/>
      <c r="X92" s="280"/>
      <c r="Y92" s="280"/>
      <c r="Z92" s="284"/>
      <c r="AA92" s="284"/>
      <c r="AB92" s="284"/>
      <c r="AC92" s="284"/>
      <c r="AD92" s="284"/>
      <c r="AE92" s="284"/>
      <c r="AF92" s="447"/>
      <c r="AG92" s="447"/>
      <c r="AH92" s="447"/>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row>
    <row r="93" spans="1:67" s="88" customFormat="1" ht="10.55" customHeight="1" x14ac:dyDescent="0.2">
      <c r="A93" s="1013" t="s">
        <v>75</v>
      </c>
      <c r="B93" s="2807"/>
      <c r="C93" s="2808"/>
      <c r="D93" s="2809"/>
      <c r="E93" s="2561"/>
      <c r="F93" s="2562"/>
      <c r="G93" s="1785">
        <v>20</v>
      </c>
      <c r="H93" s="524"/>
      <c r="I93" s="1409">
        <f t="shared" si="13"/>
        <v>6.4147128734474465E-2</v>
      </c>
      <c r="J93" s="1421">
        <f t="shared" si="14"/>
        <v>0</v>
      </c>
      <c r="K93" s="678">
        <v>3.5</v>
      </c>
      <c r="L93" s="1002"/>
      <c r="M93" s="1428">
        <f t="shared" si="15"/>
        <v>0</v>
      </c>
      <c r="N93" s="1110"/>
      <c r="O93" s="674">
        <f t="shared" si="16"/>
        <v>20</v>
      </c>
      <c r="P93" s="682"/>
      <c r="Q93" s="286"/>
      <c r="R93" s="287"/>
      <c r="S93" s="280"/>
      <c r="T93" s="280"/>
      <c r="U93" s="280"/>
      <c r="V93" s="280"/>
      <c r="W93" s="280"/>
      <c r="X93" s="280"/>
      <c r="Y93" s="280"/>
      <c r="Z93" s="284"/>
      <c r="AA93" s="284"/>
      <c r="AB93" s="284"/>
      <c r="AC93" s="284"/>
      <c r="AD93" s="284"/>
      <c r="AE93" s="284"/>
      <c r="AF93" s="447"/>
      <c r="AG93" s="447"/>
      <c r="AH93" s="447"/>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row>
    <row r="94" spans="1:67" s="88" customFormat="1" ht="10.55" customHeight="1" x14ac:dyDescent="0.2">
      <c r="A94" s="1013" t="s">
        <v>82</v>
      </c>
      <c r="B94" s="2807"/>
      <c r="C94" s="2808"/>
      <c r="D94" s="2809"/>
      <c r="E94" s="2561"/>
      <c r="F94" s="2562"/>
      <c r="G94" s="1785">
        <v>20</v>
      </c>
      <c r="H94" s="524"/>
      <c r="I94" s="1409">
        <f t="shared" si="13"/>
        <v>6.4147128734474465E-2</v>
      </c>
      <c r="J94" s="1421">
        <f t="shared" si="14"/>
        <v>0</v>
      </c>
      <c r="K94" s="678">
        <v>3.5</v>
      </c>
      <c r="L94" s="1002"/>
      <c r="M94" s="1428">
        <f t="shared" si="15"/>
        <v>0</v>
      </c>
      <c r="N94" s="1110"/>
      <c r="O94" s="674">
        <f t="shared" si="16"/>
        <v>20</v>
      </c>
      <c r="P94" s="682"/>
      <c r="Q94" s="286"/>
      <c r="R94" s="287"/>
      <c r="S94" s="280"/>
      <c r="T94" s="280"/>
      <c r="U94" s="280"/>
      <c r="V94" s="280"/>
      <c r="W94" s="280"/>
      <c r="X94" s="280"/>
      <c r="Y94" s="280"/>
      <c r="Z94" s="284"/>
      <c r="AA94" s="284"/>
      <c r="AB94" s="284"/>
      <c r="AC94" s="284"/>
      <c r="AD94" s="284"/>
      <c r="AE94" s="284"/>
      <c r="AF94" s="447"/>
      <c r="AG94" s="447"/>
      <c r="AH94" s="447"/>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row>
    <row r="95" spans="1:67" s="88" customFormat="1" ht="10.55" customHeight="1" x14ac:dyDescent="0.2">
      <c r="A95" s="1013" t="s">
        <v>831</v>
      </c>
      <c r="B95" s="2807"/>
      <c r="C95" s="2808"/>
      <c r="D95" s="2809"/>
      <c r="E95" s="2561"/>
      <c r="F95" s="2562"/>
      <c r="G95" s="1785">
        <v>20</v>
      </c>
      <c r="H95" s="524"/>
      <c r="I95" s="1409">
        <f t="shared" si="13"/>
        <v>6.4147128734474465E-2</v>
      </c>
      <c r="J95" s="1421">
        <f t="shared" si="14"/>
        <v>0</v>
      </c>
      <c r="K95" s="678">
        <v>3.5</v>
      </c>
      <c r="L95" s="1002"/>
      <c r="M95" s="1428">
        <f t="shared" si="15"/>
        <v>0</v>
      </c>
      <c r="N95" s="1110"/>
      <c r="O95" s="674">
        <f t="shared" si="16"/>
        <v>20</v>
      </c>
      <c r="P95" s="682"/>
      <c r="Q95" s="286"/>
      <c r="R95" s="287"/>
      <c r="S95" s="280"/>
      <c r="T95" s="280"/>
      <c r="U95" s="280"/>
      <c r="V95" s="280"/>
      <c r="W95" s="280"/>
      <c r="X95" s="280"/>
      <c r="Y95" s="280"/>
      <c r="Z95" s="284"/>
      <c r="AA95" s="284"/>
      <c r="AB95" s="284"/>
      <c r="AC95" s="284"/>
      <c r="AD95" s="284"/>
      <c r="AE95" s="284"/>
      <c r="AF95" s="447"/>
      <c r="AG95" s="447"/>
      <c r="AH95" s="447"/>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row>
    <row r="96" spans="1:67" s="88" customFormat="1" ht="10.55" customHeight="1" x14ac:dyDescent="0.2">
      <c r="A96" s="1013" t="s">
        <v>90</v>
      </c>
      <c r="B96" s="2807"/>
      <c r="C96" s="2808"/>
      <c r="D96" s="2809"/>
      <c r="E96" s="2561"/>
      <c r="F96" s="2562"/>
      <c r="G96" s="1785">
        <v>20</v>
      </c>
      <c r="H96" s="524"/>
      <c r="I96" s="1409">
        <f t="shared" si="13"/>
        <v>6.4147128734474465E-2</v>
      </c>
      <c r="J96" s="1421">
        <f t="shared" si="14"/>
        <v>0</v>
      </c>
      <c r="K96" s="678">
        <v>3.5</v>
      </c>
      <c r="L96" s="1002"/>
      <c r="M96" s="1428">
        <f t="shared" si="15"/>
        <v>0</v>
      </c>
      <c r="N96" s="1110"/>
      <c r="O96" s="674">
        <f t="shared" si="16"/>
        <v>20</v>
      </c>
      <c r="P96" s="682"/>
      <c r="Q96" s="286"/>
      <c r="R96" s="287"/>
      <c r="S96" s="280"/>
      <c r="T96" s="280"/>
      <c r="U96" s="280"/>
      <c r="V96" s="280"/>
      <c r="W96" s="280"/>
      <c r="X96" s="280"/>
      <c r="Y96" s="280"/>
      <c r="Z96" s="284"/>
      <c r="AA96" s="284"/>
      <c r="AB96" s="284"/>
      <c r="AC96" s="284"/>
      <c r="AD96" s="284"/>
      <c r="AE96" s="284"/>
      <c r="AF96" s="447"/>
      <c r="AG96" s="447"/>
      <c r="AH96" s="447"/>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row>
    <row r="97" spans="1:67" s="88" customFormat="1" ht="10.55" customHeight="1" x14ac:dyDescent="0.2">
      <c r="A97" s="1013" t="s">
        <v>177</v>
      </c>
      <c r="B97" s="2807"/>
      <c r="C97" s="2808"/>
      <c r="D97" s="2809"/>
      <c r="E97" s="2561"/>
      <c r="F97" s="2562"/>
      <c r="G97" s="1785">
        <v>20</v>
      </c>
      <c r="H97" s="524"/>
      <c r="I97" s="1409">
        <f t="shared" si="13"/>
        <v>6.4147128734474465E-2</v>
      </c>
      <c r="J97" s="1421">
        <f t="shared" si="14"/>
        <v>0</v>
      </c>
      <c r="K97" s="678">
        <v>3.5</v>
      </c>
      <c r="L97" s="1002"/>
      <c r="M97" s="1428">
        <f t="shared" si="15"/>
        <v>0</v>
      </c>
      <c r="N97" s="1110"/>
      <c r="O97" s="674">
        <f t="shared" si="16"/>
        <v>20</v>
      </c>
      <c r="P97" s="682"/>
      <c r="Q97" s="286"/>
      <c r="R97" s="287"/>
      <c r="S97" s="280"/>
      <c r="T97" s="280"/>
      <c r="U97" s="280"/>
      <c r="V97" s="280"/>
      <c r="W97" s="280"/>
      <c r="X97" s="280"/>
      <c r="Y97" s="280"/>
      <c r="Z97" s="284"/>
      <c r="AA97" s="284"/>
      <c r="AB97" s="284"/>
      <c r="AC97" s="284"/>
      <c r="AD97" s="284"/>
      <c r="AE97" s="284"/>
      <c r="AF97" s="447"/>
      <c r="AG97" s="447"/>
      <c r="AH97" s="447"/>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row>
    <row r="98" spans="1:67" s="88" customFormat="1" ht="10.55" customHeight="1" x14ac:dyDescent="0.2">
      <c r="A98" s="1013" t="s">
        <v>828</v>
      </c>
      <c r="B98" s="2807"/>
      <c r="C98" s="2808"/>
      <c r="D98" s="2809"/>
      <c r="E98" s="2561"/>
      <c r="F98" s="2562"/>
      <c r="G98" s="1785">
        <v>20</v>
      </c>
      <c r="H98" s="524"/>
      <c r="I98" s="1409">
        <f t="shared" si="13"/>
        <v>6.4147128734474465E-2</v>
      </c>
      <c r="J98" s="1421">
        <f t="shared" si="14"/>
        <v>0</v>
      </c>
      <c r="K98" s="678">
        <v>1.5</v>
      </c>
      <c r="L98" s="1002"/>
      <c r="M98" s="1428">
        <f t="shared" si="15"/>
        <v>0</v>
      </c>
      <c r="N98" s="1110"/>
      <c r="O98" s="674">
        <f t="shared" si="16"/>
        <v>20</v>
      </c>
      <c r="P98" s="682"/>
      <c r="Q98" s="286"/>
      <c r="R98" s="287"/>
      <c r="S98" s="280"/>
      <c r="T98" s="280"/>
      <c r="U98" s="280"/>
      <c r="V98" s="280"/>
      <c r="W98" s="280"/>
      <c r="X98" s="280"/>
      <c r="Y98" s="280"/>
      <c r="Z98" s="284"/>
      <c r="AA98" s="284"/>
      <c r="AB98" s="284"/>
      <c r="AC98" s="284"/>
      <c r="AD98" s="284"/>
      <c r="AE98" s="284"/>
      <c r="AF98" s="447"/>
      <c r="AG98" s="447"/>
      <c r="AH98" s="447"/>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row>
    <row r="99" spans="1:67" s="88" customFormat="1" ht="10.55" customHeight="1" x14ac:dyDescent="0.2">
      <c r="A99" s="1013" t="s">
        <v>829</v>
      </c>
      <c r="B99" s="2807"/>
      <c r="C99" s="2808"/>
      <c r="D99" s="2809"/>
      <c r="E99" s="2561"/>
      <c r="F99" s="2562"/>
      <c r="G99" s="1785">
        <v>20</v>
      </c>
      <c r="H99" s="524"/>
      <c r="I99" s="1409">
        <f t="shared" si="13"/>
        <v>6.4147128734474465E-2</v>
      </c>
      <c r="J99" s="1421">
        <f t="shared" si="14"/>
        <v>0</v>
      </c>
      <c r="K99" s="678">
        <v>1.5</v>
      </c>
      <c r="L99" s="1002"/>
      <c r="M99" s="1428">
        <f t="shared" si="15"/>
        <v>0</v>
      </c>
      <c r="N99" s="1110"/>
      <c r="O99" s="674">
        <f t="shared" si="16"/>
        <v>20</v>
      </c>
      <c r="P99" s="682"/>
      <c r="Q99" s="286"/>
      <c r="R99" s="287"/>
      <c r="S99" s="280"/>
      <c r="T99" s="280"/>
      <c r="U99" s="280"/>
      <c r="V99" s="280"/>
      <c r="W99" s="280"/>
      <c r="X99" s="280"/>
      <c r="Y99" s="280"/>
      <c r="Z99" s="284"/>
      <c r="AA99" s="284"/>
      <c r="AB99" s="284"/>
      <c r="AC99" s="284"/>
      <c r="AD99" s="284"/>
      <c r="AE99" s="284"/>
      <c r="AF99" s="447"/>
      <c r="AG99" s="447"/>
      <c r="AH99" s="447"/>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row>
    <row r="100" spans="1:67" s="88" customFormat="1" ht="10.55" customHeight="1" x14ac:dyDescent="0.2">
      <c r="A100" s="1013" t="s">
        <v>343</v>
      </c>
      <c r="B100" s="2807"/>
      <c r="C100" s="2808"/>
      <c r="D100" s="2809"/>
      <c r="E100" s="2561"/>
      <c r="F100" s="2562"/>
      <c r="G100" s="1785">
        <v>30</v>
      </c>
      <c r="H100" s="524"/>
      <c r="I100" s="1409">
        <f t="shared" si="13"/>
        <v>4.7777640736176463E-2</v>
      </c>
      <c r="J100" s="1421">
        <f t="shared" si="14"/>
        <v>0</v>
      </c>
      <c r="K100" s="678">
        <v>0.5</v>
      </c>
      <c r="L100" s="1002"/>
      <c r="M100" s="1428">
        <f t="shared" si="15"/>
        <v>0</v>
      </c>
      <c r="N100" s="1110"/>
      <c r="O100" s="674">
        <f t="shared" si="16"/>
        <v>30</v>
      </c>
      <c r="P100" s="682"/>
      <c r="Q100" s="286"/>
      <c r="R100" s="287"/>
      <c r="S100" s="280"/>
      <c r="T100" s="280"/>
      <c r="U100" s="280"/>
      <c r="V100" s="280"/>
      <c r="W100" s="280"/>
      <c r="X100" s="280"/>
      <c r="Y100" s="280"/>
      <c r="Z100" s="284"/>
      <c r="AA100" s="284"/>
      <c r="AB100" s="284"/>
      <c r="AC100" s="284"/>
      <c r="AD100" s="284"/>
      <c r="AE100" s="284"/>
      <c r="AF100" s="447"/>
      <c r="AG100" s="447"/>
      <c r="AH100" s="447"/>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row>
    <row r="101" spans="1:67" s="88" customFormat="1" ht="10.55" customHeight="1" x14ac:dyDescent="0.2">
      <c r="A101" s="1013" t="s">
        <v>344</v>
      </c>
      <c r="B101" s="2807"/>
      <c r="C101" s="2808"/>
      <c r="D101" s="2809"/>
      <c r="E101" s="2561"/>
      <c r="F101" s="2562"/>
      <c r="G101" s="1785">
        <v>30</v>
      </c>
      <c r="H101" s="524"/>
      <c r="I101" s="1409">
        <f t="shared" si="13"/>
        <v>4.7777640736176463E-2</v>
      </c>
      <c r="J101" s="1421">
        <f t="shared" ref="J101:J102" si="17">ROUND(E101*I101,0)</f>
        <v>0</v>
      </c>
      <c r="K101" s="678">
        <v>0.5</v>
      </c>
      <c r="L101" s="1002"/>
      <c r="M101" s="1428">
        <f t="shared" ref="M101:M102" si="18">ROUND(E101/100*IF(ISBLANK(L101),K101,L101),0)</f>
        <v>0</v>
      </c>
      <c r="N101" s="1790"/>
      <c r="O101" s="674">
        <f t="shared" ref="O101:O102" si="19">IF(ISBLANK(H101),G101,H101)</f>
        <v>30</v>
      </c>
      <c r="P101" s="682"/>
      <c r="Q101" s="286"/>
      <c r="R101" s="287"/>
      <c r="S101" s="280"/>
      <c r="T101" s="280"/>
      <c r="U101" s="280"/>
      <c r="V101" s="280"/>
      <c r="W101" s="280"/>
      <c r="X101" s="280"/>
      <c r="Y101" s="280"/>
      <c r="Z101" s="284"/>
      <c r="AA101" s="284"/>
      <c r="AB101" s="284"/>
      <c r="AC101" s="284"/>
      <c r="AD101" s="284"/>
      <c r="AE101" s="284"/>
      <c r="AF101" s="447"/>
      <c r="AG101" s="447"/>
      <c r="AH101" s="447"/>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row>
    <row r="102" spans="1:67" s="88" customFormat="1" ht="10.55" customHeight="1" x14ac:dyDescent="0.2">
      <c r="A102" s="1013" t="s">
        <v>334</v>
      </c>
      <c r="B102" s="2807"/>
      <c r="C102" s="2808"/>
      <c r="D102" s="2809"/>
      <c r="E102" s="2561"/>
      <c r="F102" s="2562"/>
      <c r="G102" s="1785">
        <v>30</v>
      </c>
      <c r="H102" s="524"/>
      <c r="I102" s="1409">
        <f t="shared" si="13"/>
        <v>4.7777640736176463E-2</v>
      </c>
      <c r="J102" s="1421">
        <f t="shared" si="17"/>
        <v>0</v>
      </c>
      <c r="K102" s="678">
        <v>0</v>
      </c>
      <c r="L102" s="1002"/>
      <c r="M102" s="1428">
        <f t="shared" si="18"/>
        <v>0</v>
      </c>
      <c r="N102" s="1790"/>
      <c r="O102" s="674">
        <f t="shared" si="19"/>
        <v>30</v>
      </c>
      <c r="P102" s="682"/>
      <c r="Q102" s="286"/>
      <c r="R102" s="287"/>
      <c r="S102" s="280"/>
      <c r="T102" s="280"/>
      <c r="U102" s="280"/>
      <c r="V102" s="280"/>
      <c r="W102" s="280"/>
      <c r="X102" s="280"/>
      <c r="Y102" s="280"/>
      <c r="Z102" s="284"/>
      <c r="AA102" s="284"/>
      <c r="AB102" s="284"/>
      <c r="AC102" s="284"/>
      <c r="AD102" s="284"/>
      <c r="AE102" s="284"/>
      <c r="AF102" s="447"/>
      <c r="AG102" s="447"/>
      <c r="AH102" s="447"/>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row>
    <row r="103" spans="1:67" s="88" customFormat="1" ht="10.55" customHeight="1" x14ac:dyDescent="0.2">
      <c r="A103" s="675"/>
      <c r="B103" s="2807"/>
      <c r="C103" s="2808"/>
      <c r="D103" s="2809"/>
      <c r="E103" s="2561"/>
      <c r="F103" s="2562"/>
      <c r="G103" s="1015"/>
      <c r="H103" s="524"/>
      <c r="I103" s="1409">
        <f t="shared" si="13"/>
        <v>0</v>
      </c>
      <c r="J103" s="1421">
        <f t="shared" si="14"/>
        <v>0</v>
      </c>
      <c r="K103" s="679"/>
      <c r="L103" s="1002"/>
      <c r="M103" s="1428">
        <f t="shared" si="15"/>
        <v>0</v>
      </c>
      <c r="N103" s="1110"/>
      <c r="O103" s="674">
        <f t="shared" si="16"/>
        <v>0</v>
      </c>
      <c r="P103" s="682"/>
      <c r="Q103" s="286"/>
      <c r="R103" s="287"/>
      <c r="S103" s="280"/>
      <c r="T103" s="280"/>
      <c r="U103" s="280"/>
      <c r="V103" s="280"/>
      <c r="W103" s="280"/>
      <c r="X103" s="280"/>
      <c r="Y103" s="280"/>
      <c r="Z103" s="284"/>
      <c r="AA103" s="284"/>
      <c r="AB103" s="284"/>
      <c r="AC103" s="284"/>
      <c r="AD103" s="284"/>
      <c r="AE103" s="284"/>
      <c r="AF103" s="447"/>
      <c r="AG103" s="447"/>
      <c r="AH103" s="447"/>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row>
    <row r="104" spans="1:67" s="88" customFormat="1" ht="10.55" customHeight="1" x14ac:dyDescent="0.2">
      <c r="A104" s="675"/>
      <c r="B104" s="2807"/>
      <c r="C104" s="2808"/>
      <c r="D104" s="2809"/>
      <c r="E104" s="2561"/>
      <c r="F104" s="2562"/>
      <c r="G104" s="1015"/>
      <c r="H104" s="524"/>
      <c r="I104" s="1409">
        <f t="shared" si="13"/>
        <v>0</v>
      </c>
      <c r="J104" s="1421">
        <f t="shared" si="14"/>
        <v>0</v>
      </c>
      <c r="K104" s="679"/>
      <c r="L104" s="1002"/>
      <c r="M104" s="1428">
        <f t="shared" si="15"/>
        <v>0</v>
      </c>
      <c r="N104" s="1110"/>
      <c r="O104" s="674">
        <f t="shared" si="16"/>
        <v>0</v>
      </c>
      <c r="P104" s="682"/>
      <c r="Q104" s="286"/>
      <c r="R104" s="287"/>
      <c r="S104" s="280"/>
      <c r="T104" s="280"/>
      <c r="U104" s="280"/>
      <c r="V104" s="280"/>
      <c r="W104" s="280"/>
      <c r="X104" s="280"/>
      <c r="Y104" s="280"/>
      <c r="Z104" s="284"/>
      <c r="AA104" s="284"/>
      <c r="AB104" s="284"/>
      <c r="AC104" s="284"/>
      <c r="AD104" s="284"/>
      <c r="AE104" s="284"/>
      <c r="AF104" s="447"/>
      <c r="AG104" s="447"/>
      <c r="AH104" s="447"/>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row>
    <row r="105" spans="1:67" s="88" customFormat="1" ht="10.55" customHeight="1" x14ac:dyDescent="0.2">
      <c r="A105" s="1153"/>
      <c r="B105" s="2884"/>
      <c r="C105" s="2885"/>
      <c r="D105" s="2886"/>
      <c r="E105" s="2793"/>
      <c r="F105" s="2794"/>
      <c r="G105" s="1086"/>
      <c r="H105" s="1087"/>
      <c r="I105" s="1437">
        <f t="shared" si="13"/>
        <v>0</v>
      </c>
      <c r="J105" s="1413"/>
      <c r="K105" s="1088"/>
      <c r="L105" s="1089"/>
      <c r="M105" s="1431">
        <f t="shared" si="15"/>
        <v>0</v>
      </c>
      <c r="N105" s="1110"/>
      <c r="O105" s="674">
        <f t="shared" si="16"/>
        <v>0</v>
      </c>
      <c r="P105" s="682"/>
      <c r="Q105" s="286"/>
      <c r="R105" s="287"/>
      <c r="S105" s="280"/>
      <c r="T105" s="280"/>
      <c r="U105" s="280"/>
      <c r="V105" s="280"/>
      <c r="W105" s="280"/>
      <c r="X105" s="280"/>
      <c r="Y105" s="280"/>
      <c r="Z105" s="284"/>
      <c r="AA105" s="284"/>
      <c r="AB105" s="284"/>
      <c r="AC105" s="284"/>
      <c r="AD105" s="284"/>
      <c r="AE105" s="284"/>
      <c r="AF105" s="447"/>
      <c r="AG105" s="447"/>
      <c r="AH105" s="447"/>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row>
    <row r="106" spans="1:67" s="88" customFormat="1" ht="10.55" customHeight="1" x14ac:dyDescent="0.2">
      <c r="A106" s="1145" t="s">
        <v>345</v>
      </c>
      <c r="B106" s="2783"/>
      <c r="C106" s="2784"/>
      <c r="D106" s="2785"/>
      <c r="E106" s="2810">
        <f>SUM(E107:E119)</f>
        <v>0</v>
      </c>
      <c r="F106" s="2811"/>
      <c r="G106" s="2747"/>
      <c r="H106" s="2748"/>
      <c r="I106" s="1435">
        <f>IF(E106=0,0,J106/E106)</f>
        <v>0</v>
      </c>
      <c r="J106" s="1423">
        <f>SUM(J107:J119)</f>
        <v>0</v>
      </c>
      <c r="K106" s="2749">
        <f>IF(E106=0,0,M106/E106*100)</f>
        <v>0</v>
      </c>
      <c r="L106" s="2750"/>
      <c r="M106" s="1430">
        <f>SUM(M107:M119)</f>
        <v>0</v>
      </c>
      <c r="N106" s="1110"/>
      <c r="O106" s="387">
        <f>IF(H106="",G106,H106)</f>
        <v>0</v>
      </c>
      <c r="P106" s="682"/>
      <c r="Q106" s="286"/>
      <c r="R106" s="287"/>
      <c r="S106" s="280"/>
      <c r="T106" s="280"/>
      <c r="U106" s="280"/>
      <c r="V106" s="280"/>
      <c r="W106" s="280"/>
      <c r="X106" s="280"/>
      <c r="Y106" s="280"/>
      <c r="Z106" s="284"/>
      <c r="AA106" s="284"/>
      <c r="AB106" s="284"/>
      <c r="AC106" s="284"/>
      <c r="AD106" s="284"/>
      <c r="AE106" s="284"/>
      <c r="AF106" s="447"/>
      <c r="AG106" s="447"/>
      <c r="AH106" s="447"/>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row>
    <row r="107" spans="1:67" s="88" customFormat="1" ht="10.55" customHeight="1" x14ac:dyDescent="0.2">
      <c r="A107" s="512" t="s">
        <v>458</v>
      </c>
      <c r="B107" s="2790"/>
      <c r="C107" s="2791"/>
      <c r="D107" s="2792"/>
      <c r="E107" s="2734"/>
      <c r="F107" s="2735"/>
      <c r="G107" s="1785">
        <v>20</v>
      </c>
      <c r="H107" s="524"/>
      <c r="I107" s="1409">
        <f t="shared" ref="I107:I120" si="20">IF($O107&gt;0,-PMT(($I$9),$O107,1),0)</f>
        <v>6.4147128734474465E-2</v>
      </c>
      <c r="J107" s="1421">
        <f t="shared" ref="J107:J119" si="21">ROUND(E107*I107,0)</f>
        <v>0</v>
      </c>
      <c r="K107" s="678">
        <v>2.5</v>
      </c>
      <c r="L107" s="1002"/>
      <c r="M107" s="1428">
        <f t="shared" ref="M107:M120" si="22">ROUND(E107/100*IF(ISBLANK(L107),K107,L107),0)</f>
        <v>0</v>
      </c>
      <c r="N107" s="1110"/>
      <c r="O107" s="674">
        <f t="shared" ref="O107:O120" si="23">IF(ISBLANK(H107),G107,H107)</f>
        <v>20</v>
      </c>
      <c r="P107" s="682"/>
      <c r="Q107" s="286"/>
      <c r="R107" s="287"/>
      <c r="S107" s="280"/>
      <c r="T107" s="280"/>
      <c r="U107" s="280"/>
      <c r="V107" s="280"/>
      <c r="W107" s="280"/>
      <c r="X107" s="280"/>
      <c r="Y107" s="280"/>
      <c r="Z107" s="284"/>
      <c r="AA107" s="284"/>
      <c r="AB107" s="284"/>
      <c r="AC107" s="284"/>
      <c r="AD107" s="284"/>
      <c r="AE107" s="284"/>
      <c r="AF107" s="447"/>
      <c r="AG107" s="447"/>
      <c r="AH107" s="447"/>
      <c r="AI107" s="382"/>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row>
    <row r="108" spans="1:67" s="88" customFormat="1" ht="10.55" customHeight="1" x14ac:dyDescent="0.2">
      <c r="A108" s="512" t="s">
        <v>459</v>
      </c>
      <c r="B108" s="2807"/>
      <c r="C108" s="2808"/>
      <c r="D108" s="2809"/>
      <c r="E108" s="2561"/>
      <c r="F108" s="2562"/>
      <c r="G108" s="1785">
        <v>20</v>
      </c>
      <c r="H108" s="524"/>
      <c r="I108" s="1409">
        <f t="shared" si="20"/>
        <v>6.4147128734474465E-2</v>
      </c>
      <c r="J108" s="1421">
        <f t="shared" si="21"/>
        <v>0</v>
      </c>
      <c r="K108" s="678">
        <v>2.5</v>
      </c>
      <c r="L108" s="1002"/>
      <c r="M108" s="1428">
        <f t="shared" si="22"/>
        <v>0</v>
      </c>
      <c r="N108" s="1110"/>
      <c r="O108" s="674">
        <f t="shared" si="23"/>
        <v>20</v>
      </c>
      <c r="P108" s="682"/>
      <c r="Q108" s="286"/>
      <c r="R108" s="287"/>
      <c r="S108" s="280"/>
      <c r="T108" s="280"/>
      <c r="U108" s="280"/>
      <c r="V108" s="280"/>
      <c r="W108" s="280"/>
      <c r="X108" s="280"/>
      <c r="Y108" s="280"/>
      <c r="Z108" s="284"/>
      <c r="AA108" s="284"/>
      <c r="AB108" s="284"/>
      <c r="AC108" s="284"/>
      <c r="AD108" s="284"/>
      <c r="AE108" s="284"/>
      <c r="AF108" s="447"/>
      <c r="AG108" s="447"/>
      <c r="AH108" s="447"/>
      <c r="AI108" s="382"/>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row>
    <row r="109" spans="1:67" s="88" customFormat="1" ht="10.55" customHeight="1" x14ac:dyDescent="0.2">
      <c r="A109" s="512" t="s">
        <v>346</v>
      </c>
      <c r="B109" s="2807"/>
      <c r="C109" s="2808"/>
      <c r="D109" s="2809"/>
      <c r="E109" s="2561"/>
      <c r="F109" s="2562"/>
      <c r="G109" s="1785">
        <v>15</v>
      </c>
      <c r="H109" s="524"/>
      <c r="I109" s="1409">
        <f t="shared" si="20"/>
        <v>8.0766456051533542E-2</v>
      </c>
      <c r="J109" s="1421">
        <f t="shared" si="21"/>
        <v>0</v>
      </c>
      <c r="K109" s="678">
        <v>3.5</v>
      </c>
      <c r="L109" s="1002"/>
      <c r="M109" s="1428">
        <f t="shared" si="22"/>
        <v>0</v>
      </c>
      <c r="N109" s="1110"/>
      <c r="O109" s="674">
        <f t="shared" si="23"/>
        <v>15</v>
      </c>
      <c r="P109" s="682"/>
      <c r="Q109" s="286"/>
      <c r="R109" s="287"/>
      <c r="S109" s="280"/>
      <c r="T109" s="280"/>
      <c r="U109" s="280"/>
      <c r="V109" s="280"/>
      <c r="W109" s="280"/>
      <c r="X109" s="280"/>
      <c r="Y109" s="280"/>
      <c r="Z109" s="284"/>
      <c r="AA109" s="284"/>
      <c r="AB109" s="284"/>
      <c r="AC109" s="284"/>
      <c r="AD109" s="284"/>
      <c r="AE109" s="284"/>
      <c r="AF109" s="447"/>
      <c r="AG109" s="447"/>
      <c r="AH109" s="447"/>
      <c r="AI109" s="382"/>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row>
    <row r="110" spans="1:67" s="88" customFormat="1" ht="10.55" customHeight="1" x14ac:dyDescent="0.2">
      <c r="A110" s="512" t="s">
        <v>347</v>
      </c>
      <c r="B110" s="2807"/>
      <c r="C110" s="2808"/>
      <c r="D110" s="2809"/>
      <c r="E110" s="2561"/>
      <c r="F110" s="2562"/>
      <c r="G110" s="1785">
        <v>15</v>
      </c>
      <c r="H110" s="524"/>
      <c r="I110" s="1409">
        <f t="shared" si="20"/>
        <v>8.0766456051533542E-2</v>
      </c>
      <c r="J110" s="1421">
        <f t="shared" si="21"/>
        <v>0</v>
      </c>
      <c r="K110" s="678">
        <v>3.5</v>
      </c>
      <c r="L110" s="1002"/>
      <c r="M110" s="1428">
        <f t="shared" si="22"/>
        <v>0</v>
      </c>
      <c r="N110" s="1110"/>
      <c r="O110" s="674">
        <f t="shared" si="23"/>
        <v>15</v>
      </c>
      <c r="P110" s="682"/>
      <c r="Q110" s="286"/>
      <c r="R110" s="287"/>
      <c r="S110" s="280"/>
      <c r="T110" s="280"/>
      <c r="U110" s="280"/>
      <c r="V110" s="280"/>
      <c r="W110" s="280"/>
      <c r="X110" s="280"/>
      <c r="Y110" s="280"/>
      <c r="Z110" s="284"/>
      <c r="AA110" s="284"/>
      <c r="AB110" s="284"/>
      <c r="AC110" s="284"/>
      <c r="AD110" s="284"/>
      <c r="AE110" s="284"/>
      <c r="AF110" s="447"/>
      <c r="AG110" s="447"/>
      <c r="AH110" s="447"/>
      <c r="AI110" s="382"/>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row>
    <row r="111" spans="1:67" s="88" customFormat="1" ht="10.55" customHeight="1" x14ac:dyDescent="0.2">
      <c r="A111" s="675"/>
      <c r="B111" s="2807"/>
      <c r="C111" s="2808"/>
      <c r="D111" s="2809"/>
      <c r="E111" s="2561"/>
      <c r="F111" s="2562"/>
      <c r="G111" s="1015"/>
      <c r="H111" s="524"/>
      <c r="I111" s="1409">
        <f t="shared" si="20"/>
        <v>0</v>
      </c>
      <c r="J111" s="1421">
        <f t="shared" si="21"/>
        <v>0</v>
      </c>
      <c r="K111" s="679"/>
      <c r="L111" s="1002"/>
      <c r="M111" s="1428">
        <f t="shared" si="22"/>
        <v>0</v>
      </c>
      <c r="N111" s="1110"/>
      <c r="O111" s="674">
        <f t="shared" si="23"/>
        <v>0</v>
      </c>
      <c r="P111" s="682"/>
      <c r="Q111" s="286"/>
      <c r="R111" s="287"/>
      <c r="S111" s="280"/>
      <c r="T111" s="280"/>
      <c r="U111" s="280"/>
      <c r="V111" s="280"/>
      <c r="W111" s="280"/>
      <c r="X111" s="280"/>
      <c r="Y111" s="280"/>
      <c r="Z111" s="284"/>
      <c r="AA111" s="284"/>
      <c r="AB111" s="284"/>
      <c r="AC111" s="284"/>
      <c r="AD111" s="284"/>
      <c r="AE111" s="284"/>
      <c r="AF111" s="447"/>
      <c r="AG111" s="447"/>
      <c r="AH111" s="447"/>
      <c r="AI111" s="382"/>
      <c r="AJ111" s="382"/>
      <c r="AK111" s="382"/>
      <c r="AL111" s="382"/>
      <c r="AM111" s="382"/>
      <c r="AN111" s="382"/>
      <c r="AO111" s="382"/>
      <c r="AP111" s="382"/>
      <c r="AQ111" s="382"/>
      <c r="AR111" s="382"/>
      <c r="AS111" s="382"/>
      <c r="AT111" s="382"/>
      <c r="AU111" s="382"/>
      <c r="AV111" s="382"/>
      <c r="AW111" s="382"/>
      <c r="AX111" s="382"/>
      <c r="AY111" s="382"/>
      <c r="AZ111" s="382"/>
      <c r="BA111" s="382"/>
      <c r="BB111" s="382"/>
      <c r="BC111" s="382"/>
      <c r="BD111" s="382"/>
      <c r="BE111" s="382"/>
      <c r="BF111" s="382"/>
      <c r="BG111" s="382"/>
      <c r="BH111" s="382"/>
      <c r="BI111" s="382"/>
      <c r="BJ111" s="382"/>
      <c r="BK111" s="382"/>
      <c r="BL111" s="382"/>
      <c r="BM111" s="382"/>
      <c r="BN111" s="382"/>
      <c r="BO111" s="382"/>
    </row>
    <row r="112" spans="1:67" s="88" customFormat="1" ht="10.55" customHeight="1" x14ac:dyDescent="0.2">
      <c r="A112" s="675"/>
      <c r="B112" s="2807"/>
      <c r="C112" s="2808"/>
      <c r="D112" s="2809"/>
      <c r="E112" s="2561"/>
      <c r="F112" s="2562"/>
      <c r="G112" s="1015"/>
      <c r="H112" s="524"/>
      <c r="I112" s="1409">
        <f t="shared" si="20"/>
        <v>0</v>
      </c>
      <c r="J112" s="1421">
        <f t="shared" si="21"/>
        <v>0</v>
      </c>
      <c r="K112" s="679"/>
      <c r="L112" s="1002"/>
      <c r="M112" s="1428">
        <f t="shared" si="22"/>
        <v>0</v>
      </c>
      <c r="N112" s="1110"/>
      <c r="O112" s="674">
        <f t="shared" si="23"/>
        <v>0</v>
      </c>
      <c r="P112" s="682"/>
      <c r="Q112" s="286"/>
      <c r="R112" s="287"/>
      <c r="S112" s="280"/>
      <c r="T112" s="280"/>
      <c r="U112" s="280"/>
      <c r="V112" s="280"/>
      <c r="W112" s="280"/>
      <c r="X112" s="280"/>
      <c r="Y112" s="280"/>
      <c r="Z112" s="284"/>
      <c r="AA112" s="284"/>
      <c r="AB112" s="284"/>
      <c r="AC112" s="284"/>
      <c r="AD112" s="284"/>
      <c r="AE112" s="284"/>
      <c r="AF112" s="447"/>
      <c r="AG112" s="447"/>
      <c r="AH112" s="447"/>
      <c r="AI112" s="382"/>
      <c r="AJ112" s="382"/>
      <c r="AK112" s="382"/>
      <c r="AL112" s="382"/>
      <c r="AM112" s="382"/>
      <c r="AN112" s="382"/>
      <c r="AO112" s="382"/>
      <c r="AP112" s="382"/>
      <c r="AQ112" s="382"/>
      <c r="AR112" s="382"/>
      <c r="AS112" s="382"/>
      <c r="AT112" s="382"/>
      <c r="AU112" s="382"/>
      <c r="AV112" s="382"/>
      <c r="AW112" s="382"/>
      <c r="AX112" s="382"/>
      <c r="AY112" s="382"/>
      <c r="AZ112" s="382"/>
      <c r="BA112" s="382"/>
      <c r="BB112" s="382"/>
      <c r="BC112" s="382"/>
      <c r="BD112" s="382"/>
      <c r="BE112" s="382"/>
      <c r="BF112" s="382"/>
      <c r="BG112" s="382"/>
      <c r="BH112" s="382"/>
      <c r="BI112" s="382"/>
      <c r="BJ112" s="382"/>
      <c r="BK112" s="382"/>
      <c r="BL112" s="382"/>
      <c r="BM112" s="382"/>
      <c r="BN112" s="382"/>
      <c r="BO112" s="382"/>
    </row>
    <row r="113" spans="1:67" s="88" customFormat="1" ht="10.55" customHeight="1" x14ac:dyDescent="0.2">
      <c r="A113" s="675"/>
      <c r="B113" s="2807"/>
      <c r="C113" s="2808"/>
      <c r="D113" s="2809"/>
      <c r="E113" s="2561"/>
      <c r="F113" s="2562"/>
      <c r="G113" s="1015"/>
      <c r="H113" s="524"/>
      <c r="I113" s="1409">
        <f t="shared" si="20"/>
        <v>0</v>
      </c>
      <c r="J113" s="1421">
        <f t="shared" si="21"/>
        <v>0</v>
      </c>
      <c r="K113" s="679"/>
      <c r="L113" s="1002"/>
      <c r="M113" s="1428">
        <f t="shared" si="22"/>
        <v>0</v>
      </c>
      <c r="N113" s="1110"/>
      <c r="O113" s="674">
        <f t="shared" si="23"/>
        <v>0</v>
      </c>
      <c r="P113" s="682"/>
      <c r="Q113" s="286"/>
      <c r="R113" s="287"/>
      <c r="S113" s="280"/>
      <c r="T113" s="280"/>
      <c r="U113" s="280"/>
      <c r="V113" s="280"/>
      <c r="W113" s="280"/>
      <c r="X113" s="280"/>
      <c r="Y113" s="280"/>
      <c r="Z113" s="284"/>
      <c r="AA113" s="284"/>
      <c r="AB113" s="284"/>
      <c r="AC113" s="284"/>
      <c r="AD113" s="284"/>
      <c r="AE113" s="284"/>
      <c r="AF113" s="447"/>
      <c r="AG113" s="447"/>
      <c r="AH113" s="447"/>
      <c r="AI113" s="382"/>
      <c r="AJ113" s="382"/>
      <c r="AK113" s="382"/>
      <c r="AL113" s="382"/>
      <c r="AM113" s="382"/>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c r="BH113" s="382"/>
      <c r="BI113" s="382"/>
      <c r="BJ113" s="382"/>
      <c r="BK113" s="382"/>
      <c r="BL113" s="382"/>
      <c r="BM113" s="382"/>
      <c r="BN113" s="382"/>
      <c r="BO113" s="382"/>
    </row>
    <row r="114" spans="1:67" s="88" customFormat="1" ht="10.55" customHeight="1" x14ac:dyDescent="0.2">
      <c r="A114" s="675"/>
      <c r="B114" s="2807"/>
      <c r="C114" s="2808"/>
      <c r="D114" s="2809"/>
      <c r="E114" s="2561"/>
      <c r="F114" s="2562"/>
      <c r="G114" s="1015"/>
      <c r="H114" s="524"/>
      <c r="I114" s="1409">
        <f t="shared" si="20"/>
        <v>0</v>
      </c>
      <c r="J114" s="1421">
        <f t="shared" si="21"/>
        <v>0</v>
      </c>
      <c r="K114" s="679"/>
      <c r="L114" s="1002"/>
      <c r="M114" s="1428">
        <f t="shared" si="22"/>
        <v>0</v>
      </c>
      <c r="N114" s="1110"/>
      <c r="O114" s="674">
        <f t="shared" si="23"/>
        <v>0</v>
      </c>
      <c r="P114" s="682"/>
      <c r="Q114" s="286"/>
      <c r="R114" s="287"/>
      <c r="S114" s="280"/>
      <c r="T114" s="280"/>
      <c r="U114" s="280"/>
      <c r="V114" s="280"/>
      <c r="W114" s="280"/>
      <c r="X114" s="280"/>
      <c r="Y114" s="280"/>
      <c r="Z114" s="284"/>
      <c r="AA114" s="284"/>
      <c r="AB114" s="284"/>
      <c r="AC114" s="284"/>
      <c r="AD114" s="284"/>
      <c r="AE114" s="284"/>
      <c r="AF114" s="447"/>
      <c r="AG114" s="447"/>
      <c r="AH114" s="447"/>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82"/>
      <c r="BE114" s="382"/>
      <c r="BF114" s="382"/>
      <c r="BG114" s="382"/>
      <c r="BH114" s="382"/>
      <c r="BI114" s="382"/>
      <c r="BJ114" s="382"/>
      <c r="BK114" s="382"/>
      <c r="BL114" s="382"/>
      <c r="BM114" s="382"/>
      <c r="BN114" s="382"/>
      <c r="BO114" s="382"/>
    </row>
    <row r="115" spans="1:67" s="88" customFormat="1" ht="10.55" customHeight="1" x14ac:dyDescent="0.2">
      <c r="A115" s="675"/>
      <c r="B115" s="2807"/>
      <c r="C115" s="2808"/>
      <c r="D115" s="2809"/>
      <c r="E115" s="2561"/>
      <c r="F115" s="2562"/>
      <c r="G115" s="1015"/>
      <c r="H115" s="524"/>
      <c r="I115" s="1409">
        <f t="shared" si="20"/>
        <v>0</v>
      </c>
      <c r="J115" s="1421">
        <f t="shared" si="21"/>
        <v>0</v>
      </c>
      <c r="K115" s="679"/>
      <c r="L115" s="1002"/>
      <c r="M115" s="1428">
        <f t="shared" si="22"/>
        <v>0</v>
      </c>
      <c r="N115" s="1110"/>
      <c r="O115" s="674">
        <f t="shared" si="23"/>
        <v>0</v>
      </c>
      <c r="P115" s="682"/>
      <c r="Q115" s="286"/>
      <c r="R115" s="287"/>
      <c r="S115" s="280"/>
      <c r="T115" s="280"/>
      <c r="U115" s="280"/>
      <c r="V115" s="280"/>
      <c r="W115" s="280"/>
      <c r="X115" s="280"/>
      <c r="Y115" s="280"/>
      <c r="Z115" s="284"/>
      <c r="AA115" s="284"/>
      <c r="AB115" s="284"/>
      <c r="AC115" s="284"/>
      <c r="AD115" s="284"/>
      <c r="AE115" s="284"/>
      <c r="AF115" s="447"/>
      <c r="AG115" s="447"/>
      <c r="AH115" s="447"/>
      <c r="AI115" s="382"/>
      <c r="AJ115" s="382"/>
      <c r="AK115" s="382"/>
      <c r="AL115" s="382"/>
      <c r="AM115" s="382"/>
      <c r="AN115" s="382"/>
      <c r="AO115" s="382"/>
      <c r="AP115" s="382"/>
      <c r="AQ115" s="382"/>
      <c r="AR115" s="382"/>
      <c r="AS115" s="382"/>
      <c r="AT115" s="382"/>
      <c r="AU115" s="382"/>
      <c r="AV115" s="382"/>
      <c r="AW115" s="382"/>
      <c r="AX115" s="382"/>
      <c r="AY115" s="382"/>
      <c r="AZ115" s="382"/>
      <c r="BA115" s="382"/>
      <c r="BB115" s="382"/>
      <c r="BC115" s="382"/>
      <c r="BD115" s="382"/>
      <c r="BE115" s="382"/>
      <c r="BF115" s="382"/>
      <c r="BG115" s="382"/>
      <c r="BH115" s="382"/>
      <c r="BI115" s="382"/>
      <c r="BJ115" s="382"/>
      <c r="BK115" s="382"/>
      <c r="BL115" s="382"/>
      <c r="BM115" s="382"/>
      <c r="BN115" s="382"/>
      <c r="BO115" s="382"/>
    </row>
    <row r="116" spans="1:67" s="88" customFormat="1" ht="10.55" customHeight="1" x14ac:dyDescent="0.2">
      <c r="A116" s="675"/>
      <c r="B116" s="2807"/>
      <c r="C116" s="2808"/>
      <c r="D116" s="2809"/>
      <c r="E116" s="2561"/>
      <c r="F116" s="2562"/>
      <c r="G116" s="1015"/>
      <c r="H116" s="524"/>
      <c r="I116" s="1409">
        <f t="shared" si="20"/>
        <v>0</v>
      </c>
      <c r="J116" s="1421">
        <f t="shared" si="21"/>
        <v>0</v>
      </c>
      <c r="K116" s="679"/>
      <c r="L116" s="1002"/>
      <c r="M116" s="1428">
        <f t="shared" si="22"/>
        <v>0</v>
      </c>
      <c r="N116" s="1110"/>
      <c r="O116" s="674">
        <f t="shared" si="23"/>
        <v>0</v>
      </c>
      <c r="P116" s="682"/>
      <c r="Q116" s="286"/>
      <c r="R116" s="287"/>
      <c r="S116" s="280"/>
      <c r="T116" s="280"/>
      <c r="U116" s="280"/>
      <c r="V116" s="280"/>
      <c r="W116" s="280"/>
      <c r="X116" s="280"/>
      <c r="Y116" s="280"/>
      <c r="Z116" s="284"/>
      <c r="AA116" s="284"/>
      <c r="AB116" s="284"/>
      <c r="AC116" s="284"/>
      <c r="AD116" s="284"/>
      <c r="AE116" s="284"/>
      <c r="AF116" s="447"/>
      <c r="AG116" s="447"/>
      <c r="AH116" s="447"/>
      <c r="AI116" s="382"/>
      <c r="AJ116" s="382"/>
      <c r="AK116" s="382"/>
      <c r="AL116" s="382"/>
      <c r="AM116" s="382"/>
      <c r="AN116" s="382"/>
      <c r="AO116" s="382"/>
      <c r="AP116" s="382"/>
      <c r="AQ116" s="382"/>
      <c r="AR116" s="382"/>
      <c r="AS116" s="382"/>
      <c r="AT116" s="382"/>
      <c r="AU116" s="382"/>
      <c r="AV116" s="382"/>
      <c r="AW116" s="382"/>
      <c r="AX116" s="382"/>
      <c r="AY116" s="382"/>
      <c r="AZ116" s="382"/>
      <c r="BA116" s="382"/>
      <c r="BB116" s="382"/>
      <c r="BC116" s="382"/>
      <c r="BD116" s="382"/>
      <c r="BE116" s="382"/>
      <c r="BF116" s="382"/>
      <c r="BG116" s="382"/>
      <c r="BH116" s="382"/>
      <c r="BI116" s="382"/>
      <c r="BJ116" s="382"/>
      <c r="BK116" s="382"/>
      <c r="BL116" s="382"/>
      <c r="BM116" s="382"/>
      <c r="BN116" s="382"/>
      <c r="BO116" s="382"/>
    </row>
    <row r="117" spans="1:67" s="88" customFormat="1" ht="10.55" customHeight="1" x14ac:dyDescent="0.2">
      <c r="A117" s="675"/>
      <c r="B117" s="2807"/>
      <c r="C117" s="2808"/>
      <c r="D117" s="2809"/>
      <c r="E117" s="2561"/>
      <c r="F117" s="2562"/>
      <c r="G117" s="1015"/>
      <c r="H117" s="524"/>
      <c r="I117" s="1409">
        <f t="shared" si="20"/>
        <v>0</v>
      </c>
      <c r="J117" s="1421">
        <f t="shared" si="21"/>
        <v>0</v>
      </c>
      <c r="K117" s="679"/>
      <c r="L117" s="1002"/>
      <c r="M117" s="1428">
        <f t="shared" si="22"/>
        <v>0</v>
      </c>
      <c r="N117" s="1110"/>
      <c r="O117" s="674">
        <f t="shared" si="23"/>
        <v>0</v>
      </c>
      <c r="P117" s="682"/>
      <c r="Q117" s="286"/>
      <c r="R117" s="287"/>
      <c r="S117" s="280"/>
      <c r="T117" s="280"/>
      <c r="U117" s="280"/>
      <c r="V117" s="280"/>
      <c r="W117" s="280"/>
      <c r="X117" s="280"/>
      <c r="Y117" s="280"/>
      <c r="Z117" s="284"/>
      <c r="AA117" s="284"/>
      <c r="AB117" s="284"/>
      <c r="AC117" s="284"/>
      <c r="AD117" s="284"/>
      <c r="AE117" s="284"/>
      <c r="AF117" s="447"/>
      <c r="AG117" s="447"/>
      <c r="AH117" s="447"/>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c r="BH117" s="382"/>
      <c r="BI117" s="382"/>
      <c r="BJ117" s="382"/>
      <c r="BK117" s="382"/>
      <c r="BL117" s="382"/>
      <c r="BM117" s="382"/>
      <c r="BN117" s="382"/>
      <c r="BO117" s="382"/>
    </row>
    <row r="118" spans="1:67" s="88" customFormat="1" ht="10.55" customHeight="1" x14ac:dyDescent="0.2">
      <c r="A118" s="675"/>
      <c r="B118" s="2807"/>
      <c r="C118" s="2808"/>
      <c r="D118" s="2809"/>
      <c r="E118" s="2561"/>
      <c r="F118" s="2562"/>
      <c r="G118" s="1015"/>
      <c r="H118" s="524"/>
      <c r="I118" s="1409">
        <f t="shared" si="20"/>
        <v>0</v>
      </c>
      <c r="J118" s="1421">
        <f t="shared" si="21"/>
        <v>0</v>
      </c>
      <c r="K118" s="679"/>
      <c r="L118" s="1002"/>
      <c r="M118" s="1428">
        <f t="shared" si="22"/>
        <v>0</v>
      </c>
      <c r="N118" s="1110"/>
      <c r="O118" s="674">
        <f t="shared" si="23"/>
        <v>0</v>
      </c>
      <c r="P118" s="682"/>
      <c r="Q118" s="286"/>
      <c r="R118" s="287"/>
      <c r="S118" s="280"/>
      <c r="T118" s="280"/>
      <c r="U118" s="280"/>
      <c r="V118" s="280"/>
      <c r="W118" s="280"/>
      <c r="X118" s="280"/>
      <c r="Y118" s="280"/>
      <c r="Z118" s="284"/>
      <c r="AA118" s="284"/>
      <c r="AB118" s="284"/>
      <c r="AC118" s="284"/>
      <c r="AD118" s="284"/>
      <c r="AE118" s="284"/>
      <c r="AF118" s="447"/>
      <c r="AG118" s="447"/>
      <c r="AH118" s="447"/>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row>
    <row r="119" spans="1:67" s="88" customFormat="1" ht="10.55" customHeight="1" x14ac:dyDescent="0.2">
      <c r="A119" s="675"/>
      <c r="B119" s="2807"/>
      <c r="C119" s="2808"/>
      <c r="D119" s="2809"/>
      <c r="E119" s="2561"/>
      <c r="F119" s="2562"/>
      <c r="G119" s="1015"/>
      <c r="H119" s="524"/>
      <c r="I119" s="1409">
        <f t="shared" si="20"/>
        <v>0</v>
      </c>
      <c r="J119" s="1421">
        <f t="shared" si="21"/>
        <v>0</v>
      </c>
      <c r="K119" s="679"/>
      <c r="L119" s="1002"/>
      <c r="M119" s="1428">
        <f t="shared" si="22"/>
        <v>0</v>
      </c>
      <c r="N119" s="1110"/>
      <c r="O119" s="674">
        <f t="shared" si="23"/>
        <v>0</v>
      </c>
      <c r="P119" s="682"/>
      <c r="Q119" s="286"/>
      <c r="R119" s="287"/>
      <c r="S119" s="280"/>
      <c r="T119" s="280"/>
      <c r="U119" s="280"/>
      <c r="V119" s="280"/>
      <c r="W119" s="280"/>
      <c r="X119" s="280"/>
      <c r="Y119" s="280"/>
      <c r="Z119" s="284"/>
      <c r="AA119" s="284"/>
      <c r="AB119" s="284"/>
      <c r="AC119" s="284"/>
      <c r="AD119" s="284"/>
      <c r="AE119" s="284"/>
      <c r="AF119" s="447"/>
      <c r="AG119" s="447"/>
      <c r="AH119" s="447"/>
      <c r="AI119" s="382"/>
      <c r="AJ119" s="382"/>
      <c r="AK119" s="382"/>
      <c r="AL119" s="382"/>
      <c r="AM119" s="382"/>
      <c r="AN119" s="382"/>
      <c r="AO119" s="382"/>
      <c r="AP119" s="382"/>
      <c r="AQ119" s="382"/>
      <c r="AR119" s="382"/>
      <c r="AS119" s="382"/>
      <c r="AT119" s="382"/>
      <c r="AU119" s="382"/>
      <c r="AV119" s="382"/>
      <c r="AW119" s="382"/>
      <c r="AX119" s="382"/>
      <c r="AY119" s="382"/>
      <c r="AZ119" s="382"/>
      <c r="BA119" s="382"/>
      <c r="BB119" s="382"/>
      <c r="BC119" s="382"/>
      <c r="BD119" s="382"/>
      <c r="BE119" s="382"/>
      <c r="BF119" s="382"/>
      <c r="BG119" s="382"/>
      <c r="BH119" s="382"/>
      <c r="BI119" s="382"/>
      <c r="BJ119" s="382"/>
      <c r="BK119" s="382"/>
      <c r="BL119" s="382"/>
      <c r="BM119" s="382"/>
      <c r="BN119" s="382"/>
      <c r="BO119" s="382"/>
    </row>
    <row r="120" spans="1:67" s="88" customFormat="1" ht="10.55" customHeight="1" x14ac:dyDescent="0.2">
      <c r="A120" s="511"/>
      <c r="B120" s="2884"/>
      <c r="C120" s="2885"/>
      <c r="D120" s="2886"/>
      <c r="E120" s="2793"/>
      <c r="F120" s="2794"/>
      <c r="G120" s="1018"/>
      <c r="H120" s="1019"/>
      <c r="I120" s="1436">
        <f t="shared" si="20"/>
        <v>0</v>
      </c>
      <c r="J120" s="1422"/>
      <c r="K120" s="680"/>
      <c r="L120" s="1020"/>
      <c r="M120" s="1429">
        <f t="shared" si="22"/>
        <v>0</v>
      </c>
      <c r="N120" s="1110"/>
      <c r="O120" s="674">
        <f t="shared" si="23"/>
        <v>0</v>
      </c>
      <c r="P120" s="682"/>
      <c r="Q120" s="286"/>
      <c r="R120" s="287"/>
      <c r="S120" s="280"/>
      <c r="T120" s="280"/>
      <c r="U120" s="280"/>
      <c r="V120" s="280"/>
      <c r="W120" s="280"/>
      <c r="X120" s="280"/>
      <c r="Y120" s="280"/>
      <c r="Z120" s="284"/>
      <c r="AA120" s="284"/>
      <c r="AB120" s="284"/>
      <c r="AC120" s="284"/>
      <c r="AD120" s="284"/>
      <c r="AE120" s="284"/>
      <c r="AF120" s="447"/>
      <c r="AG120" s="447"/>
      <c r="AH120" s="447"/>
      <c r="AI120" s="382"/>
      <c r="AJ120" s="382"/>
      <c r="AK120" s="382"/>
      <c r="AL120" s="382"/>
      <c r="AM120" s="382"/>
      <c r="AN120" s="382"/>
      <c r="AO120" s="382"/>
      <c r="AP120" s="382"/>
      <c r="AQ120" s="382"/>
      <c r="AR120" s="382"/>
      <c r="AS120" s="382"/>
      <c r="AT120" s="382"/>
      <c r="AU120" s="382"/>
      <c r="AV120" s="382"/>
      <c r="AW120" s="382"/>
      <c r="AX120" s="382"/>
      <c r="AY120" s="382"/>
      <c r="AZ120" s="382"/>
      <c r="BA120" s="382"/>
      <c r="BB120" s="382"/>
      <c r="BC120" s="382"/>
      <c r="BD120" s="382"/>
      <c r="BE120" s="382"/>
      <c r="BF120" s="382"/>
      <c r="BG120" s="382"/>
      <c r="BH120" s="382"/>
      <c r="BI120" s="382"/>
      <c r="BJ120" s="382"/>
      <c r="BK120" s="382"/>
      <c r="BL120" s="382"/>
      <c r="BM120" s="382"/>
      <c r="BN120" s="382"/>
      <c r="BO120" s="382"/>
    </row>
    <row r="121" spans="1:67" s="88" customFormat="1" ht="10.55" customHeight="1" x14ac:dyDescent="0.2">
      <c r="A121" s="1145" t="s">
        <v>348</v>
      </c>
      <c r="B121" s="2783"/>
      <c r="C121" s="2784"/>
      <c r="D121" s="2785"/>
      <c r="E121" s="2810">
        <f>SUM(E122:E134)</f>
        <v>0</v>
      </c>
      <c r="F121" s="2811"/>
      <c r="G121" s="2747"/>
      <c r="H121" s="2748"/>
      <c r="I121" s="1435">
        <f>IF(E121=0,0,J121/E121)</f>
        <v>0</v>
      </c>
      <c r="J121" s="1423">
        <f>SUM(J122:J134)</f>
        <v>0</v>
      </c>
      <c r="K121" s="2749">
        <f>IF(E121=0,0,M121/E121*100)</f>
        <v>0</v>
      </c>
      <c r="L121" s="2750"/>
      <c r="M121" s="1430">
        <f>SUM(M122:M134)</f>
        <v>0</v>
      </c>
      <c r="N121" s="1110"/>
      <c r="O121" s="387">
        <f>IF(H121="",G121,H121)</f>
        <v>0</v>
      </c>
      <c r="P121" s="682"/>
      <c r="Q121" s="286"/>
      <c r="R121" s="287"/>
      <c r="S121" s="280"/>
      <c r="T121" s="280"/>
      <c r="U121" s="280"/>
      <c r="V121" s="280"/>
      <c r="W121" s="280"/>
      <c r="X121" s="280"/>
      <c r="Y121" s="280"/>
      <c r="Z121" s="284"/>
      <c r="AA121" s="284"/>
      <c r="AB121" s="284"/>
      <c r="AC121" s="284"/>
      <c r="AD121" s="284"/>
      <c r="AE121" s="284"/>
      <c r="AF121" s="447"/>
      <c r="AG121" s="447"/>
      <c r="AH121" s="447"/>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2"/>
      <c r="BK121" s="382"/>
      <c r="BL121" s="382"/>
      <c r="BM121" s="382"/>
      <c r="BN121" s="382"/>
      <c r="BO121" s="382"/>
    </row>
    <row r="122" spans="1:67" s="88" customFormat="1" ht="10.55" customHeight="1" x14ac:dyDescent="0.2">
      <c r="A122" s="1013" t="s">
        <v>349</v>
      </c>
      <c r="B122" s="2790"/>
      <c r="C122" s="2791"/>
      <c r="D122" s="2792"/>
      <c r="E122" s="2734"/>
      <c r="F122" s="2735"/>
      <c r="G122" s="1785">
        <v>30</v>
      </c>
      <c r="H122" s="524"/>
      <c r="I122" s="1409">
        <f t="shared" ref="I122:I135" si="24">IF($O122&gt;0,-PMT(($I$9),$O122,1),0)</f>
        <v>4.7777640736176463E-2</v>
      </c>
      <c r="J122" s="1421">
        <f t="shared" ref="J122:J134" si="25">ROUND(E122*I122,0)</f>
        <v>0</v>
      </c>
      <c r="K122" s="678">
        <v>1</v>
      </c>
      <c r="L122" s="1002"/>
      <c r="M122" s="1428">
        <f t="shared" ref="M122:M135" si="26">ROUND(E122/100*IF(ISBLANK(L122),K122,L122),0)</f>
        <v>0</v>
      </c>
      <c r="N122" s="1110"/>
      <c r="O122" s="674">
        <f t="shared" ref="O122:O135" si="27">IF(ISBLANK(H122),G122,H122)</f>
        <v>30</v>
      </c>
      <c r="P122" s="682"/>
      <c r="Q122" s="286"/>
      <c r="R122" s="287"/>
      <c r="S122" s="280"/>
      <c r="T122" s="280"/>
      <c r="U122" s="280"/>
      <c r="V122" s="280"/>
      <c r="W122" s="280"/>
      <c r="X122" s="280"/>
      <c r="Y122" s="280"/>
      <c r="Z122" s="284"/>
      <c r="AA122" s="284"/>
      <c r="AB122" s="284"/>
      <c r="AC122" s="284"/>
      <c r="AD122" s="284"/>
      <c r="AE122" s="284"/>
      <c r="AF122" s="447"/>
      <c r="AG122" s="447"/>
      <c r="AH122" s="447"/>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c r="BF122" s="382"/>
      <c r="BG122" s="382"/>
      <c r="BH122" s="382"/>
      <c r="BI122" s="382"/>
      <c r="BJ122" s="382"/>
      <c r="BK122" s="382"/>
      <c r="BL122" s="382"/>
      <c r="BM122" s="382"/>
      <c r="BN122" s="382"/>
      <c r="BO122" s="382"/>
    </row>
    <row r="123" spans="1:67" s="88" customFormat="1" ht="10.55" customHeight="1" x14ac:dyDescent="0.2">
      <c r="A123" s="1013" t="s">
        <v>350</v>
      </c>
      <c r="B123" s="2807"/>
      <c r="C123" s="2808"/>
      <c r="D123" s="2809"/>
      <c r="E123" s="2561"/>
      <c r="F123" s="2562"/>
      <c r="G123" s="1785">
        <v>20</v>
      </c>
      <c r="H123" s="524"/>
      <c r="I123" s="1409">
        <f t="shared" si="24"/>
        <v>6.4147128734474465E-2</v>
      </c>
      <c r="J123" s="1421">
        <f t="shared" si="25"/>
        <v>0</v>
      </c>
      <c r="K123" s="678">
        <v>1</v>
      </c>
      <c r="L123" s="1002"/>
      <c r="M123" s="1428">
        <f t="shared" si="26"/>
        <v>0</v>
      </c>
      <c r="N123" s="1110"/>
      <c r="O123" s="674">
        <f t="shared" si="27"/>
        <v>20</v>
      </c>
      <c r="P123" s="682"/>
      <c r="Q123" s="286"/>
      <c r="R123" s="287"/>
      <c r="S123" s="280"/>
      <c r="T123" s="280"/>
      <c r="U123" s="280"/>
      <c r="V123" s="280"/>
      <c r="W123" s="280"/>
      <c r="X123" s="280"/>
      <c r="Y123" s="280"/>
      <c r="Z123" s="284"/>
      <c r="AA123" s="284"/>
      <c r="AB123" s="284"/>
      <c r="AC123" s="284"/>
      <c r="AD123" s="284"/>
      <c r="AE123" s="284"/>
      <c r="AF123" s="447"/>
      <c r="AG123" s="447"/>
      <c r="AH123" s="447"/>
      <c r="AI123" s="382"/>
      <c r="AJ123" s="382"/>
      <c r="AK123" s="382"/>
      <c r="AL123" s="382"/>
      <c r="AM123" s="382"/>
      <c r="AN123" s="382"/>
      <c r="AO123" s="382"/>
      <c r="AP123" s="382"/>
      <c r="AQ123" s="382"/>
      <c r="AR123" s="382"/>
      <c r="AS123" s="382"/>
      <c r="AT123" s="382"/>
      <c r="AU123" s="382"/>
      <c r="AV123" s="382"/>
      <c r="AW123" s="382"/>
      <c r="AX123" s="382"/>
      <c r="AY123" s="382"/>
      <c r="AZ123" s="382"/>
      <c r="BA123" s="382"/>
      <c r="BB123" s="382"/>
      <c r="BC123" s="382"/>
      <c r="BD123" s="382"/>
      <c r="BE123" s="382"/>
      <c r="BF123" s="382"/>
      <c r="BG123" s="382"/>
      <c r="BH123" s="382"/>
      <c r="BI123" s="382"/>
      <c r="BJ123" s="382"/>
      <c r="BK123" s="382"/>
      <c r="BL123" s="382"/>
      <c r="BM123" s="382"/>
      <c r="BN123" s="382"/>
      <c r="BO123" s="382"/>
    </row>
    <row r="124" spans="1:67" s="88" customFormat="1" ht="10.55" customHeight="1" x14ac:dyDescent="0.2">
      <c r="A124" s="1013" t="s">
        <v>351</v>
      </c>
      <c r="B124" s="2807"/>
      <c r="C124" s="2808"/>
      <c r="D124" s="2809"/>
      <c r="E124" s="2561"/>
      <c r="F124" s="2562"/>
      <c r="G124" s="1785">
        <v>30</v>
      </c>
      <c r="H124" s="524"/>
      <c r="I124" s="1409">
        <f t="shared" si="24"/>
        <v>4.7777640736176463E-2</v>
      </c>
      <c r="J124" s="1421">
        <f t="shared" si="25"/>
        <v>0</v>
      </c>
      <c r="K124" s="678">
        <v>1</v>
      </c>
      <c r="L124" s="1002"/>
      <c r="M124" s="1428">
        <f t="shared" si="26"/>
        <v>0</v>
      </c>
      <c r="N124" s="1110"/>
      <c r="O124" s="674">
        <f t="shared" si="27"/>
        <v>30</v>
      </c>
      <c r="P124" s="682"/>
      <c r="Q124" s="286"/>
      <c r="R124" s="287"/>
      <c r="S124" s="280"/>
      <c r="T124" s="280"/>
      <c r="U124" s="280"/>
      <c r="V124" s="280"/>
      <c r="W124" s="280"/>
      <c r="X124" s="280"/>
      <c r="Y124" s="280"/>
      <c r="Z124" s="284"/>
      <c r="AA124" s="284"/>
      <c r="AB124" s="284"/>
      <c r="AC124" s="284"/>
      <c r="AD124" s="284"/>
      <c r="AE124" s="284"/>
      <c r="AF124" s="447"/>
      <c r="AG124" s="447"/>
      <c r="AH124" s="447"/>
      <c r="AI124" s="382"/>
      <c r="AJ124" s="382"/>
      <c r="AK124" s="382"/>
      <c r="AL124" s="382"/>
      <c r="AM124" s="382"/>
      <c r="AN124" s="382"/>
      <c r="AO124" s="382"/>
      <c r="AP124" s="382"/>
      <c r="AQ124" s="382"/>
      <c r="AR124" s="382"/>
      <c r="AS124" s="382"/>
      <c r="AT124" s="382"/>
      <c r="AU124" s="382"/>
      <c r="AV124" s="382"/>
      <c r="AW124" s="382"/>
      <c r="AX124" s="382"/>
      <c r="AY124" s="382"/>
      <c r="AZ124" s="382"/>
      <c r="BA124" s="382"/>
      <c r="BB124" s="382"/>
      <c r="BC124" s="382"/>
      <c r="BD124" s="382"/>
      <c r="BE124" s="382"/>
      <c r="BF124" s="382"/>
      <c r="BG124" s="382"/>
      <c r="BH124" s="382"/>
      <c r="BI124" s="382"/>
      <c r="BJ124" s="382"/>
      <c r="BK124" s="382"/>
      <c r="BL124" s="382"/>
      <c r="BM124" s="382"/>
      <c r="BN124" s="382"/>
      <c r="BO124" s="382"/>
    </row>
    <row r="125" spans="1:67" s="88" customFormat="1" ht="10.55" customHeight="1" x14ac:dyDescent="0.2">
      <c r="A125" s="1013" t="s">
        <v>352</v>
      </c>
      <c r="B125" s="2807"/>
      <c r="C125" s="2808"/>
      <c r="D125" s="2809"/>
      <c r="E125" s="2561"/>
      <c r="F125" s="2562"/>
      <c r="G125" s="1785">
        <v>20</v>
      </c>
      <c r="H125" s="524"/>
      <c r="I125" s="1409">
        <f t="shared" si="24"/>
        <v>6.4147128734474465E-2</v>
      </c>
      <c r="J125" s="1421">
        <f t="shared" si="25"/>
        <v>0</v>
      </c>
      <c r="K125" s="678">
        <v>1.5</v>
      </c>
      <c r="L125" s="1002"/>
      <c r="M125" s="1428">
        <f t="shared" si="26"/>
        <v>0</v>
      </c>
      <c r="N125" s="1110"/>
      <c r="O125" s="674">
        <f t="shared" si="27"/>
        <v>20</v>
      </c>
      <c r="P125" s="682"/>
      <c r="Q125" s="286"/>
      <c r="R125" s="287"/>
      <c r="S125" s="280"/>
      <c r="T125" s="280"/>
      <c r="U125" s="280"/>
      <c r="V125" s="280"/>
      <c r="W125" s="280"/>
      <c r="X125" s="280"/>
      <c r="Y125" s="280"/>
      <c r="Z125" s="284"/>
      <c r="AA125" s="284"/>
      <c r="AB125" s="284"/>
      <c r="AC125" s="284"/>
      <c r="AD125" s="284"/>
      <c r="AE125" s="284"/>
      <c r="AF125" s="447"/>
      <c r="AG125" s="447"/>
      <c r="AH125" s="447"/>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82"/>
      <c r="BH125" s="382"/>
      <c r="BI125" s="382"/>
      <c r="BJ125" s="382"/>
      <c r="BK125" s="382"/>
      <c r="BL125" s="382"/>
      <c r="BM125" s="382"/>
      <c r="BN125" s="382"/>
      <c r="BO125" s="382"/>
    </row>
    <row r="126" spans="1:67" s="88" customFormat="1" ht="10.55" customHeight="1" x14ac:dyDescent="0.2">
      <c r="A126" s="1013" t="s">
        <v>353</v>
      </c>
      <c r="B126" s="2807"/>
      <c r="C126" s="2808"/>
      <c r="D126" s="2809"/>
      <c r="E126" s="2561"/>
      <c r="F126" s="2562"/>
      <c r="G126" s="1785">
        <v>30</v>
      </c>
      <c r="H126" s="524"/>
      <c r="I126" s="1409">
        <f t="shared" si="24"/>
        <v>4.7777640736176463E-2</v>
      </c>
      <c r="J126" s="1421">
        <f t="shared" si="25"/>
        <v>0</v>
      </c>
      <c r="K126" s="678">
        <v>1</v>
      </c>
      <c r="L126" s="1002"/>
      <c r="M126" s="1428">
        <f t="shared" si="26"/>
        <v>0</v>
      </c>
      <c r="N126" s="1110"/>
      <c r="O126" s="674">
        <f t="shared" si="27"/>
        <v>30</v>
      </c>
      <c r="P126" s="682"/>
      <c r="Q126" s="286"/>
      <c r="R126" s="287"/>
      <c r="S126" s="280"/>
      <c r="T126" s="280"/>
      <c r="U126" s="280"/>
      <c r="V126" s="280"/>
      <c r="W126" s="280"/>
      <c r="X126" s="280"/>
      <c r="Y126" s="280"/>
      <c r="Z126" s="284"/>
      <c r="AA126" s="284"/>
      <c r="AB126" s="284"/>
      <c r="AC126" s="284"/>
      <c r="AD126" s="284"/>
      <c r="AE126" s="284"/>
      <c r="AF126" s="447"/>
      <c r="AG126" s="447"/>
      <c r="AH126" s="447"/>
      <c r="AI126" s="382"/>
      <c r="AJ126" s="382"/>
      <c r="AK126" s="382"/>
      <c r="AL126" s="382"/>
      <c r="AM126" s="382"/>
      <c r="AN126" s="382"/>
      <c r="AO126" s="382"/>
      <c r="AP126" s="382"/>
      <c r="AQ126" s="382"/>
      <c r="AR126" s="382"/>
      <c r="AS126" s="382"/>
      <c r="AT126" s="382"/>
      <c r="AU126" s="382"/>
      <c r="AV126" s="382"/>
      <c r="AW126" s="382"/>
      <c r="AX126" s="382"/>
      <c r="AY126" s="382"/>
      <c r="AZ126" s="382"/>
      <c r="BA126" s="382"/>
      <c r="BB126" s="382"/>
      <c r="BC126" s="382"/>
      <c r="BD126" s="382"/>
      <c r="BE126" s="382"/>
      <c r="BF126" s="382"/>
      <c r="BG126" s="382"/>
      <c r="BH126" s="382"/>
      <c r="BI126" s="382"/>
      <c r="BJ126" s="382"/>
      <c r="BK126" s="382"/>
      <c r="BL126" s="382"/>
      <c r="BM126" s="382"/>
      <c r="BN126" s="382"/>
      <c r="BO126" s="382"/>
    </row>
    <row r="127" spans="1:67" s="88" customFormat="1" ht="10.55" customHeight="1" x14ac:dyDescent="0.2">
      <c r="A127" s="1013" t="s">
        <v>354</v>
      </c>
      <c r="B127" s="2807"/>
      <c r="C127" s="2808"/>
      <c r="D127" s="2809"/>
      <c r="E127" s="2561"/>
      <c r="F127" s="2562"/>
      <c r="G127" s="1785">
        <v>20</v>
      </c>
      <c r="H127" s="524"/>
      <c r="I127" s="1409">
        <f t="shared" si="24"/>
        <v>6.4147128734474465E-2</v>
      </c>
      <c r="J127" s="1421">
        <f t="shared" si="25"/>
        <v>0</v>
      </c>
      <c r="K127" s="678">
        <v>1</v>
      </c>
      <c r="L127" s="1002"/>
      <c r="M127" s="1428">
        <f t="shared" si="26"/>
        <v>0</v>
      </c>
      <c r="N127" s="1110"/>
      <c r="O127" s="674">
        <f t="shared" si="27"/>
        <v>20</v>
      </c>
      <c r="P127" s="682"/>
      <c r="Q127" s="286"/>
      <c r="R127" s="287"/>
      <c r="S127" s="280"/>
      <c r="T127" s="280"/>
      <c r="U127" s="280"/>
      <c r="V127" s="280"/>
      <c r="W127" s="280"/>
      <c r="X127" s="280"/>
      <c r="Y127" s="280"/>
      <c r="Z127" s="284"/>
      <c r="AA127" s="284"/>
      <c r="AB127" s="284"/>
      <c r="AC127" s="284"/>
      <c r="AD127" s="284"/>
      <c r="AE127" s="284"/>
      <c r="AF127" s="447"/>
      <c r="AG127" s="447"/>
      <c r="AH127" s="447"/>
      <c r="AI127" s="382"/>
      <c r="AJ127" s="382"/>
      <c r="AK127" s="382"/>
      <c r="AL127" s="382"/>
      <c r="AM127" s="382"/>
      <c r="AN127" s="382"/>
      <c r="AO127" s="382"/>
      <c r="AP127" s="382"/>
      <c r="AQ127" s="382"/>
      <c r="AR127" s="382"/>
      <c r="AS127" s="382"/>
      <c r="AT127" s="382"/>
      <c r="AU127" s="382"/>
      <c r="AV127" s="382"/>
      <c r="AW127" s="382"/>
      <c r="AX127" s="382"/>
      <c r="AY127" s="382"/>
      <c r="AZ127" s="382"/>
      <c r="BA127" s="382"/>
      <c r="BB127" s="382"/>
      <c r="BC127" s="382"/>
      <c r="BD127" s="382"/>
      <c r="BE127" s="382"/>
      <c r="BF127" s="382"/>
      <c r="BG127" s="382"/>
      <c r="BH127" s="382"/>
      <c r="BI127" s="382"/>
      <c r="BJ127" s="382"/>
      <c r="BK127" s="382"/>
      <c r="BL127" s="382"/>
      <c r="BM127" s="382"/>
      <c r="BN127" s="382"/>
      <c r="BO127" s="382"/>
    </row>
    <row r="128" spans="1:67" s="88" customFormat="1" ht="10.55" customHeight="1" x14ac:dyDescent="0.2">
      <c r="A128" s="1013" t="s">
        <v>832</v>
      </c>
      <c r="B128" s="2807"/>
      <c r="C128" s="2808"/>
      <c r="D128" s="2809"/>
      <c r="E128" s="2561"/>
      <c r="F128" s="2562"/>
      <c r="G128" s="1785">
        <v>30</v>
      </c>
      <c r="H128" s="524"/>
      <c r="I128" s="1409">
        <f t="shared" si="24"/>
        <v>4.7777640736176463E-2</v>
      </c>
      <c r="J128" s="1421">
        <f t="shared" si="25"/>
        <v>0</v>
      </c>
      <c r="K128" s="678">
        <v>1</v>
      </c>
      <c r="L128" s="1002"/>
      <c r="M128" s="1428">
        <f t="shared" si="26"/>
        <v>0</v>
      </c>
      <c r="N128" s="1110"/>
      <c r="O128" s="674">
        <f t="shared" si="27"/>
        <v>30</v>
      </c>
      <c r="P128" s="682"/>
      <c r="Q128" s="286"/>
      <c r="R128" s="287"/>
      <c r="S128" s="280"/>
      <c r="T128" s="280"/>
      <c r="U128" s="280"/>
      <c r="V128" s="280"/>
      <c r="W128" s="280"/>
      <c r="X128" s="280"/>
      <c r="Y128" s="280"/>
      <c r="Z128" s="284"/>
      <c r="AA128" s="284"/>
      <c r="AB128" s="284"/>
      <c r="AC128" s="284"/>
      <c r="AD128" s="284"/>
      <c r="AE128" s="284"/>
      <c r="AF128" s="447"/>
      <c r="AG128" s="447"/>
      <c r="AH128" s="447"/>
      <c r="AI128" s="382"/>
      <c r="AJ128" s="382"/>
      <c r="AK128" s="382"/>
      <c r="AL128" s="382"/>
      <c r="AM128" s="382"/>
      <c r="AN128" s="382"/>
      <c r="AO128" s="382"/>
      <c r="AP128" s="382"/>
      <c r="AQ128" s="382"/>
      <c r="AR128" s="382"/>
      <c r="AS128" s="382"/>
      <c r="AT128" s="382"/>
      <c r="AU128" s="382"/>
      <c r="AV128" s="382"/>
      <c r="AW128" s="382"/>
      <c r="AX128" s="382"/>
      <c r="AY128" s="382"/>
      <c r="AZ128" s="382"/>
      <c r="BA128" s="382"/>
      <c r="BB128" s="382"/>
      <c r="BC128" s="382"/>
      <c r="BD128" s="382"/>
      <c r="BE128" s="382"/>
      <c r="BF128" s="382"/>
      <c r="BG128" s="382"/>
      <c r="BH128" s="382"/>
      <c r="BI128" s="382"/>
      <c r="BJ128" s="382"/>
      <c r="BK128" s="382"/>
      <c r="BL128" s="382"/>
      <c r="BM128" s="382"/>
      <c r="BN128" s="382"/>
      <c r="BO128" s="382"/>
    </row>
    <row r="129" spans="1:67" s="88" customFormat="1" ht="10.55" customHeight="1" x14ac:dyDescent="0.2">
      <c r="A129" s="1013" t="s">
        <v>355</v>
      </c>
      <c r="B129" s="2807"/>
      <c r="C129" s="2808"/>
      <c r="D129" s="2809"/>
      <c r="E129" s="2561"/>
      <c r="F129" s="2562"/>
      <c r="G129" s="1785">
        <v>20</v>
      </c>
      <c r="H129" s="524"/>
      <c r="I129" s="1409">
        <f t="shared" si="24"/>
        <v>6.4147128734474465E-2</v>
      </c>
      <c r="J129" s="1421">
        <f t="shared" si="25"/>
        <v>0</v>
      </c>
      <c r="K129" s="678">
        <v>1.5</v>
      </c>
      <c r="L129" s="1002"/>
      <c r="M129" s="1428">
        <f t="shared" si="26"/>
        <v>0</v>
      </c>
      <c r="N129" s="1110"/>
      <c r="O129" s="674">
        <f t="shared" si="27"/>
        <v>20</v>
      </c>
      <c r="P129" s="682"/>
      <c r="Q129" s="286"/>
      <c r="R129" s="287"/>
      <c r="S129" s="280"/>
      <c r="T129" s="280"/>
      <c r="U129" s="280"/>
      <c r="V129" s="280"/>
      <c r="W129" s="280"/>
      <c r="X129" s="280"/>
      <c r="Y129" s="280"/>
      <c r="Z129" s="284"/>
      <c r="AA129" s="284"/>
      <c r="AB129" s="284"/>
      <c r="AC129" s="284"/>
      <c r="AD129" s="284"/>
      <c r="AE129" s="284"/>
      <c r="AF129" s="447"/>
      <c r="AG129" s="447"/>
      <c r="AH129" s="447"/>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c r="BH129" s="382"/>
      <c r="BI129" s="382"/>
      <c r="BJ129" s="382"/>
      <c r="BK129" s="382"/>
      <c r="BL129" s="382"/>
      <c r="BM129" s="382"/>
      <c r="BN129" s="382"/>
      <c r="BO129" s="382"/>
    </row>
    <row r="130" spans="1:67" s="88" customFormat="1" ht="10.55" customHeight="1" x14ac:dyDescent="0.2">
      <c r="A130" s="1013" t="s">
        <v>333</v>
      </c>
      <c r="B130" s="2807"/>
      <c r="C130" s="2808"/>
      <c r="D130" s="2809"/>
      <c r="E130" s="2561"/>
      <c r="F130" s="2562"/>
      <c r="G130" s="1785">
        <v>20</v>
      </c>
      <c r="H130" s="524"/>
      <c r="I130" s="1409">
        <f t="shared" si="24"/>
        <v>6.4147128734474465E-2</v>
      </c>
      <c r="J130" s="1421">
        <f t="shared" si="25"/>
        <v>0</v>
      </c>
      <c r="K130" s="678">
        <v>8</v>
      </c>
      <c r="L130" s="1002"/>
      <c r="M130" s="1428">
        <f t="shared" si="26"/>
        <v>0</v>
      </c>
      <c r="N130" s="1110"/>
      <c r="O130" s="674">
        <f t="shared" si="27"/>
        <v>20</v>
      </c>
      <c r="P130" s="682"/>
      <c r="Q130" s="286"/>
      <c r="R130" s="287"/>
      <c r="S130" s="280"/>
      <c r="T130" s="280"/>
      <c r="U130" s="280"/>
      <c r="V130" s="280"/>
      <c r="W130" s="280"/>
      <c r="X130" s="280"/>
      <c r="Y130" s="280"/>
      <c r="Z130" s="284"/>
      <c r="AA130" s="284"/>
      <c r="AB130" s="284"/>
      <c r="AC130" s="284"/>
      <c r="AD130" s="284"/>
      <c r="AE130" s="284"/>
      <c r="AF130" s="447"/>
      <c r="AG130" s="447"/>
      <c r="AH130" s="447"/>
      <c r="AI130" s="382"/>
      <c r="AJ130" s="382"/>
      <c r="AK130" s="382"/>
      <c r="AL130" s="382"/>
      <c r="AM130" s="382"/>
      <c r="AN130" s="382"/>
      <c r="AO130" s="382"/>
      <c r="AP130" s="382"/>
      <c r="AQ130" s="382"/>
      <c r="AR130" s="382"/>
      <c r="AS130" s="382"/>
      <c r="AT130" s="382"/>
      <c r="AU130" s="382"/>
      <c r="AV130" s="382"/>
      <c r="AW130" s="382"/>
      <c r="AX130" s="382"/>
      <c r="AY130" s="382"/>
      <c r="AZ130" s="382"/>
      <c r="BA130" s="382"/>
      <c r="BB130" s="382"/>
      <c r="BC130" s="382"/>
      <c r="BD130" s="382"/>
      <c r="BE130" s="382"/>
      <c r="BF130" s="382"/>
      <c r="BG130" s="382"/>
      <c r="BH130" s="382"/>
      <c r="BI130" s="382"/>
      <c r="BJ130" s="382"/>
      <c r="BK130" s="382"/>
      <c r="BL130" s="382"/>
      <c r="BM130" s="382"/>
      <c r="BN130" s="382"/>
      <c r="BO130" s="382"/>
    </row>
    <row r="131" spans="1:67" s="88" customFormat="1" ht="10.55" customHeight="1" x14ac:dyDescent="0.2">
      <c r="A131" s="1013" t="s">
        <v>334</v>
      </c>
      <c r="B131" s="2807"/>
      <c r="C131" s="2808"/>
      <c r="D131" s="2809"/>
      <c r="E131" s="2561"/>
      <c r="F131" s="2562"/>
      <c r="G131" s="1785">
        <v>30</v>
      </c>
      <c r="H131" s="524"/>
      <c r="I131" s="1409">
        <f t="shared" si="24"/>
        <v>4.7777640736176463E-2</v>
      </c>
      <c r="J131" s="1421">
        <f t="shared" si="25"/>
        <v>0</v>
      </c>
      <c r="K131" s="678"/>
      <c r="L131" s="1002"/>
      <c r="M131" s="1428">
        <f t="shared" si="26"/>
        <v>0</v>
      </c>
      <c r="N131" s="1110"/>
      <c r="O131" s="674">
        <f t="shared" si="27"/>
        <v>30</v>
      </c>
      <c r="P131" s="682"/>
      <c r="Q131" s="286"/>
      <c r="R131" s="287"/>
      <c r="S131" s="280"/>
      <c r="T131" s="280"/>
      <c r="U131" s="280"/>
      <c r="V131" s="280"/>
      <c r="W131" s="280"/>
      <c r="X131" s="280"/>
      <c r="Y131" s="280"/>
      <c r="Z131" s="284"/>
      <c r="AA131" s="284"/>
      <c r="AB131" s="284"/>
      <c r="AC131" s="284"/>
      <c r="AD131" s="284"/>
      <c r="AE131" s="284"/>
      <c r="AF131" s="447"/>
      <c r="AG131" s="447"/>
      <c r="AH131" s="447"/>
      <c r="AI131" s="382"/>
      <c r="AJ131" s="382"/>
      <c r="AK131" s="382"/>
      <c r="AL131" s="382"/>
      <c r="AM131" s="382"/>
      <c r="AN131" s="382"/>
      <c r="AO131" s="382"/>
      <c r="AP131" s="382"/>
      <c r="AQ131" s="382"/>
      <c r="AR131" s="382"/>
      <c r="AS131" s="382"/>
      <c r="AT131" s="382"/>
      <c r="AU131" s="382"/>
      <c r="AV131" s="382"/>
      <c r="AW131" s="382"/>
      <c r="AX131" s="382"/>
      <c r="AY131" s="382"/>
      <c r="AZ131" s="382"/>
      <c r="BA131" s="382"/>
      <c r="BB131" s="382"/>
      <c r="BC131" s="382"/>
      <c r="BD131" s="382"/>
      <c r="BE131" s="382"/>
      <c r="BF131" s="382"/>
      <c r="BG131" s="382"/>
      <c r="BH131" s="382"/>
      <c r="BI131" s="382"/>
      <c r="BJ131" s="382"/>
      <c r="BK131" s="382"/>
      <c r="BL131" s="382"/>
      <c r="BM131" s="382"/>
      <c r="BN131" s="382"/>
      <c r="BO131" s="382"/>
    </row>
    <row r="132" spans="1:67" s="88" customFormat="1" ht="10.55" customHeight="1" x14ac:dyDescent="0.2">
      <c r="A132" s="675"/>
      <c r="B132" s="2807"/>
      <c r="C132" s="2808"/>
      <c r="D132" s="2809"/>
      <c r="E132" s="2561"/>
      <c r="F132" s="2562"/>
      <c r="G132" s="1015"/>
      <c r="H132" s="524"/>
      <c r="I132" s="1409">
        <f t="shared" si="24"/>
        <v>0</v>
      </c>
      <c r="J132" s="1421">
        <f t="shared" si="25"/>
        <v>0</v>
      </c>
      <c r="K132" s="679"/>
      <c r="L132" s="1002"/>
      <c r="M132" s="1428">
        <f t="shared" si="26"/>
        <v>0</v>
      </c>
      <c r="N132" s="1110"/>
      <c r="O132" s="674">
        <f t="shared" si="27"/>
        <v>0</v>
      </c>
      <c r="P132" s="682"/>
      <c r="Q132" s="286"/>
      <c r="R132" s="287"/>
      <c r="S132" s="280"/>
      <c r="T132" s="280"/>
      <c r="U132" s="280"/>
      <c r="V132" s="280"/>
      <c r="W132" s="280"/>
      <c r="X132" s="280"/>
      <c r="Y132" s="280"/>
      <c r="Z132" s="284"/>
      <c r="AA132" s="284"/>
      <c r="AB132" s="284"/>
      <c r="AC132" s="284"/>
      <c r="AD132" s="284"/>
      <c r="AE132" s="284"/>
      <c r="AF132" s="447"/>
      <c r="AG132" s="447"/>
      <c r="AH132" s="447"/>
      <c r="AI132" s="382"/>
      <c r="AJ132" s="382"/>
      <c r="AK132" s="382"/>
      <c r="AL132" s="382"/>
      <c r="AM132" s="382"/>
      <c r="AN132" s="382"/>
      <c r="AO132" s="382"/>
      <c r="AP132" s="382"/>
      <c r="AQ132" s="382"/>
      <c r="AR132" s="382"/>
      <c r="AS132" s="382"/>
      <c r="AT132" s="382"/>
      <c r="AU132" s="382"/>
      <c r="AV132" s="382"/>
      <c r="AW132" s="382"/>
      <c r="AX132" s="382"/>
      <c r="AY132" s="382"/>
      <c r="AZ132" s="382"/>
      <c r="BA132" s="382"/>
      <c r="BB132" s="382"/>
      <c r="BC132" s="382"/>
      <c r="BD132" s="382"/>
      <c r="BE132" s="382"/>
      <c r="BF132" s="382"/>
      <c r="BG132" s="382"/>
      <c r="BH132" s="382"/>
      <c r="BI132" s="382"/>
      <c r="BJ132" s="382"/>
      <c r="BK132" s="382"/>
      <c r="BL132" s="382"/>
      <c r="BM132" s="382"/>
      <c r="BN132" s="382"/>
      <c r="BO132" s="382"/>
    </row>
    <row r="133" spans="1:67" s="88" customFormat="1" ht="10.55" customHeight="1" x14ac:dyDescent="0.2">
      <c r="A133" s="675"/>
      <c r="B133" s="2807"/>
      <c r="C133" s="2808"/>
      <c r="D133" s="2809"/>
      <c r="E133" s="2561"/>
      <c r="F133" s="2562"/>
      <c r="G133" s="1015"/>
      <c r="H133" s="524"/>
      <c r="I133" s="1409">
        <f t="shared" si="24"/>
        <v>0</v>
      </c>
      <c r="J133" s="1421">
        <f t="shared" si="25"/>
        <v>0</v>
      </c>
      <c r="K133" s="679"/>
      <c r="L133" s="1002"/>
      <c r="M133" s="1428">
        <f t="shared" si="26"/>
        <v>0</v>
      </c>
      <c r="N133" s="1110"/>
      <c r="O133" s="674">
        <f t="shared" si="27"/>
        <v>0</v>
      </c>
      <c r="P133" s="682"/>
      <c r="Q133" s="286"/>
      <c r="R133" s="287"/>
      <c r="S133" s="280"/>
      <c r="T133" s="280"/>
      <c r="U133" s="280"/>
      <c r="V133" s="280"/>
      <c r="W133" s="280"/>
      <c r="X133" s="280"/>
      <c r="Y133" s="280"/>
      <c r="Z133" s="284"/>
      <c r="AA133" s="284"/>
      <c r="AB133" s="284"/>
      <c r="AC133" s="284"/>
      <c r="AD133" s="284"/>
      <c r="AE133" s="284"/>
      <c r="AF133" s="447"/>
      <c r="AG133" s="447"/>
      <c r="AH133" s="447"/>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c r="BH133" s="382"/>
      <c r="BI133" s="382"/>
      <c r="BJ133" s="382"/>
      <c r="BK133" s="382"/>
      <c r="BL133" s="382"/>
      <c r="BM133" s="382"/>
      <c r="BN133" s="382"/>
      <c r="BO133" s="382"/>
    </row>
    <row r="134" spans="1:67" s="88" customFormat="1" ht="10.55" customHeight="1" x14ac:dyDescent="0.2">
      <c r="A134" s="675"/>
      <c r="B134" s="2807"/>
      <c r="C134" s="2808"/>
      <c r="D134" s="2809"/>
      <c r="E134" s="2561"/>
      <c r="F134" s="2562"/>
      <c r="G134" s="1015"/>
      <c r="H134" s="524"/>
      <c r="I134" s="1409">
        <f t="shared" si="24"/>
        <v>0</v>
      </c>
      <c r="J134" s="1421">
        <f t="shared" si="25"/>
        <v>0</v>
      </c>
      <c r="K134" s="679"/>
      <c r="L134" s="1002"/>
      <c r="M134" s="1428">
        <f t="shared" si="26"/>
        <v>0</v>
      </c>
      <c r="N134" s="1110"/>
      <c r="O134" s="674">
        <f t="shared" si="27"/>
        <v>0</v>
      </c>
      <c r="P134" s="682"/>
      <c r="Q134" s="286"/>
      <c r="R134" s="287"/>
      <c r="S134" s="280"/>
      <c r="T134" s="280"/>
      <c r="U134" s="280"/>
      <c r="V134" s="280"/>
      <c r="W134" s="280"/>
      <c r="X134" s="280"/>
      <c r="Y134" s="280"/>
      <c r="Z134" s="284"/>
      <c r="AA134" s="284"/>
      <c r="AB134" s="284"/>
      <c r="AC134" s="284"/>
      <c r="AD134" s="284"/>
      <c r="AE134" s="284"/>
      <c r="AF134" s="447"/>
      <c r="AG134" s="447"/>
      <c r="AH134" s="447"/>
      <c r="AI134" s="382"/>
      <c r="AJ134" s="382"/>
      <c r="AK134" s="382"/>
      <c r="AL134" s="382"/>
      <c r="AM134" s="382"/>
      <c r="AN134" s="382"/>
      <c r="AO134" s="382"/>
      <c r="AP134" s="382"/>
      <c r="AQ134" s="382"/>
      <c r="AR134" s="382"/>
      <c r="AS134" s="382"/>
      <c r="AT134" s="382"/>
      <c r="AU134" s="382"/>
      <c r="AV134" s="382"/>
      <c r="AW134" s="382"/>
      <c r="AX134" s="382"/>
      <c r="AY134" s="382"/>
      <c r="AZ134" s="382"/>
      <c r="BA134" s="382"/>
      <c r="BB134" s="382"/>
      <c r="BC134" s="382"/>
      <c r="BD134" s="382"/>
      <c r="BE134" s="382"/>
      <c r="BF134" s="382"/>
      <c r="BG134" s="382"/>
      <c r="BH134" s="382"/>
      <c r="BI134" s="382"/>
      <c r="BJ134" s="382"/>
      <c r="BK134" s="382"/>
      <c r="BL134" s="382"/>
      <c r="BM134" s="382"/>
      <c r="BN134" s="382"/>
      <c r="BO134" s="382"/>
    </row>
    <row r="135" spans="1:67" s="88" customFormat="1" ht="10.55" customHeight="1" x14ac:dyDescent="0.2">
      <c r="A135" s="511"/>
      <c r="B135" s="2884"/>
      <c r="C135" s="2885"/>
      <c r="D135" s="2886"/>
      <c r="E135" s="2793"/>
      <c r="F135" s="2794"/>
      <c r="G135" s="1018"/>
      <c r="H135" s="1019"/>
      <c r="I135" s="1436">
        <f t="shared" si="24"/>
        <v>0</v>
      </c>
      <c r="J135" s="1422"/>
      <c r="K135" s="680"/>
      <c r="L135" s="1020"/>
      <c r="M135" s="1429">
        <f t="shared" si="26"/>
        <v>0</v>
      </c>
      <c r="N135" s="1110"/>
      <c r="O135" s="674">
        <f t="shared" si="27"/>
        <v>0</v>
      </c>
      <c r="P135" s="682"/>
      <c r="Q135" s="286"/>
      <c r="R135" s="287"/>
      <c r="S135" s="280"/>
      <c r="T135" s="280"/>
      <c r="U135" s="280"/>
      <c r="V135" s="280"/>
      <c r="W135" s="280"/>
      <c r="X135" s="280"/>
      <c r="Y135" s="280"/>
      <c r="Z135" s="284"/>
      <c r="AA135" s="284"/>
      <c r="AB135" s="284"/>
      <c r="AC135" s="284"/>
      <c r="AD135" s="284"/>
      <c r="AE135" s="284"/>
      <c r="AF135" s="447"/>
      <c r="AG135" s="447"/>
      <c r="AH135" s="447"/>
      <c r="AI135" s="382"/>
      <c r="AJ135" s="382"/>
      <c r="AK135" s="382"/>
      <c r="AL135" s="382"/>
      <c r="AM135" s="382"/>
      <c r="AN135" s="382"/>
      <c r="AO135" s="382"/>
      <c r="AP135" s="382"/>
      <c r="AQ135" s="382"/>
      <c r="AR135" s="382"/>
      <c r="AS135" s="382"/>
      <c r="AT135" s="382"/>
      <c r="AU135" s="382"/>
      <c r="AV135" s="382"/>
      <c r="AW135" s="382"/>
      <c r="AX135" s="382"/>
      <c r="AY135" s="382"/>
      <c r="AZ135" s="382"/>
      <c r="BA135" s="382"/>
      <c r="BB135" s="382"/>
      <c r="BC135" s="382"/>
      <c r="BD135" s="382"/>
      <c r="BE135" s="382"/>
      <c r="BF135" s="382"/>
      <c r="BG135" s="382"/>
      <c r="BH135" s="382"/>
      <c r="BI135" s="382"/>
      <c r="BJ135" s="382"/>
      <c r="BK135" s="382"/>
      <c r="BL135" s="382"/>
      <c r="BM135" s="382"/>
      <c r="BN135" s="382"/>
      <c r="BO135" s="382"/>
    </row>
    <row r="136" spans="1:67" s="88" customFormat="1" ht="10.55" customHeight="1" x14ac:dyDescent="0.2">
      <c r="A136" s="1145" t="s">
        <v>356</v>
      </c>
      <c r="B136" s="2783"/>
      <c r="C136" s="2784"/>
      <c r="D136" s="2785"/>
      <c r="E136" s="2810">
        <f>SUM(E137:E149)</f>
        <v>0</v>
      </c>
      <c r="F136" s="2811"/>
      <c r="G136" s="2747"/>
      <c r="H136" s="2748"/>
      <c r="I136" s="1435">
        <f>IF(E136=0,0,J136/E136)</f>
        <v>0</v>
      </c>
      <c r="J136" s="1423">
        <f>SUM(J137:J149)</f>
        <v>0</v>
      </c>
      <c r="K136" s="2749">
        <f>IF(E136=0,0,M136/E136*100)</f>
        <v>0</v>
      </c>
      <c r="L136" s="2750"/>
      <c r="M136" s="1430">
        <f>SUM(M137:M149)</f>
        <v>0</v>
      </c>
      <c r="N136" s="1110"/>
      <c r="O136" s="387">
        <f>IF(H136="",G136,H136)</f>
        <v>0</v>
      </c>
      <c r="P136" s="682"/>
      <c r="Q136" s="286"/>
      <c r="R136" s="287"/>
      <c r="S136" s="280"/>
      <c r="T136" s="280"/>
      <c r="U136" s="280"/>
      <c r="V136" s="280"/>
      <c r="W136" s="280"/>
      <c r="X136" s="280"/>
      <c r="Y136" s="280"/>
      <c r="Z136" s="284"/>
      <c r="AA136" s="284"/>
      <c r="AB136" s="284"/>
      <c r="AC136" s="284"/>
      <c r="AD136" s="284"/>
      <c r="AE136" s="284"/>
      <c r="AF136" s="447"/>
      <c r="AG136" s="447"/>
      <c r="AH136" s="447"/>
      <c r="AI136" s="382"/>
      <c r="AJ136" s="382"/>
      <c r="AK136" s="382"/>
      <c r="AL136" s="382"/>
      <c r="AM136" s="382"/>
      <c r="AN136" s="382"/>
      <c r="AO136" s="382"/>
      <c r="AP136" s="382"/>
      <c r="AQ136" s="382"/>
      <c r="AR136" s="382"/>
      <c r="AS136" s="382"/>
      <c r="AT136" s="382"/>
      <c r="AU136" s="382"/>
      <c r="AV136" s="382"/>
      <c r="AW136" s="382"/>
      <c r="AX136" s="382"/>
      <c r="AY136" s="382"/>
      <c r="AZ136" s="382"/>
      <c r="BA136" s="382"/>
      <c r="BB136" s="382"/>
      <c r="BC136" s="382"/>
      <c r="BD136" s="382"/>
      <c r="BE136" s="382"/>
      <c r="BF136" s="382"/>
      <c r="BG136" s="382"/>
      <c r="BH136" s="382"/>
      <c r="BI136" s="382"/>
      <c r="BJ136" s="382"/>
      <c r="BK136" s="382"/>
      <c r="BL136" s="382"/>
      <c r="BM136" s="382"/>
      <c r="BN136" s="382"/>
      <c r="BO136" s="382"/>
    </row>
    <row r="137" spans="1:67" s="88" customFormat="1" ht="10.55" customHeight="1" x14ac:dyDescent="0.2">
      <c r="A137" s="1013" t="s">
        <v>357</v>
      </c>
      <c r="B137" s="2790"/>
      <c r="C137" s="2791"/>
      <c r="D137" s="2792"/>
      <c r="E137" s="2734"/>
      <c r="F137" s="2735"/>
      <c r="G137" s="1785">
        <v>40</v>
      </c>
      <c r="H137" s="524"/>
      <c r="I137" s="1409">
        <f t="shared" ref="I137:I150" si="28">IF($O137&gt;0,-PMT(($I$9),$O137,1),0)</f>
        <v>3.9836233162469814E-2</v>
      </c>
      <c r="J137" s="1421">
        <f t="shared" ref="J137:J149" si="29">ROUND(E137*I137,0)</f>
        <v>0</v>
      </c>
      <c r="K137" s="678">
        <v>1</v>
      </c>
      <c r="L137" s="1002"/>
      <c r="M137" s="1428">
        <f t="shared" ref="M137:M150" si="30">ROUND(E137/100*IF(ISBLANK(L137),K137,L137),0)</f>
        <v>0</v>
      </c>
      <c r="N137" s="1110"/>
      <c r="O137" s="674">
        <f t="shared" ref="O137:O150" si="31">IF(ISBLANK(H137),G137,H137)</f>
        <v>40</v>
      </c>
      <c r="P137" s="682"/>
      <c r="Q137" s="286"/>
      <c r="R137" s="287"/>
      <c r="S137" s="280"/>
      <c r="T137" s="280"/>
      <c r="U137" s="280"/>
      <c r="V137" s="280"/>
      <c r="W137" s="280"/>
      <c r="X137" s="280"/>
      <c r="Y137" s="280"/>
      <c r="Z137" s="284"/>
      <c r="AA137" s="284"/>
      <c r="AB137" s="284"/>
      <c r="AC137" s="284"/>
      <c r="AD137" s="284"/>
      <c r="AE137" s="284"/>
      <c r="AF137" s="447"/>
      <c r="AG137" s="447"/>
      <c r="AH137" s="447"/>
      <c r="AI137" s="382"/>
      <c r="AJ137" s="382"/>
      <c r="AK137" s="382"/>
      <c r="AL137" s="38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2"/>
      <c r="BG137" s="382"/>
      <c r="BH137" s="382"/>
      <c r="BI137" s="382"/>
      <c r="BJ137" s="382"/>
      <c r="BK137" s="382"/>
      <c r="BL137" s="382"/>
      <c r="BM137" s="382"/>
      <c r="BN137" s="382"/>
      <c r="BO137" s="382"/>
    </row>
    <row r="138" spans="1:67" s="88" customFormat="1" ht="10.55" customHeight="1" x14ac:dyDescent="0.2">
      <c r="A138" s="1013" t="s">
        <v>358</v>
      </c>
      <c r="B138" s="2807"/>
      <c r="C138" s="2808"/>
      <c r="D138" s="2809"/>
      <c r="E138" s="2561"/>
      <c r="F138" s="2562"/>
      <c r="G138" s="1785">
        <v>30</v>
      </c>
      <c r="H138" s="524"/>
      <c r="I138" s="1409">
        <f t="shared" si="28"/>
        <v>4.7777640736176463E-2</v>
      </c>
      <c r="J138" s="1421">
        <f t="shared" si="29"/>
        <v>0</v>
      </c>
      <c r="K138" s="678">
        <v>1</v>
      </c>
      <c r="L138" s="1002"/>
      <c r="M138" s="1428">
        <f t="shared" si="30"/>
        <v>0</v>
      </c>
      <c r="N138" s="1110"/>
      <c r="O138" s="674">
        <f t="shared" si="31"/>
        <v>30</v>
      </c>
      <c r="P138" s="682"/>
      <c r="Q138" s="286"/>
      <c r="R138" s="287"/>
      <c r="S138" s="280"/>
      <c r="T138" s="280"/>
      <c r="U138" s="280"/>
      <c r="V138" s="280"/>
      <c r="W138" s="280"/>
      <c r="X138" s="280"/>
      <c r="Y138" s="280"/>
      <c r="Z138" s="284"/>
      <c r="AA138" s="284"/>
      <c r="AB138" s="284"/>
      <c r="AC138" s="284"/>
      <c r="AD138" s="284"/>
      <c r="AE138" s="284"/>
      <c r="AF138" s="447"/>
      <c r="AG138" s="447"/>
      <c r="AH138" s="447"/>
      <c r="AI138" s="382"/>
      <c r="AJ138" s="382"/>
      <c r="AK138" s="382"/>
      <c r="AL138" s="382"/>
      <c r="AM138" s="382"/>
      <c r="AN138" s="382"/>
      <c r="AO138" s="382"/>
      <c r="AP138" s="382"/>
      <c r="AQ138" s="382"/>
      <c r="AR138" s="382"/>
      <c r="AS138" s="382"/>
      <c r="AT138" s="382"/>
      <c r="AU138" s="382"/>
      <c r="AV138" s="382"/>
      <c r="AW138" s="382"/>
      <c r="AX138" s="382"/>
      <c r="AY138" s="382"/>
      <c r="AZ138" s="382"/>
      <c r="BA138" s="382"/>
      <c r="BB138" s="382"/>
      <c r="BC138" s="382"/>
      <c r="BD138" s="382"/>
      <c r="BE138" s="382"/>
      <c r="BF138" s="382"/>
      <c r="BG138" s="382"/>
      <c r="BH138" s="382"/>
      <c r="BI138" s="382"/>
      <c r="BJ138" s="382"/>
      <c r="BK138" s="382"/>
      <c r="BL138" s="382"/>
      <c r="BM138" s="382"/>
      <c r="BN138" s="382"/>
      <c r="BO138" s="382"/>
    </row>
    <row r="139" spans="1:67" s="88" customFormat="1" ht="10.55" customHeight="1" x14ac:dyDescent="0.2">
      <c r="A139" s="1013" t="s">
        <v>359</v>
      </c>
      <c r="B139" s="2807"/>
      <c r="C139" s="2808"/>
      <c r="D139" s="2809"/>
      <c r="E139" s="2561"/>
      <c r="F139" s="2562"/>
      <c r="G139" s="1785">
        <v>40</v>
      </c>
      <c r="H139" s="524"/>
      <c r="I139" s="1409">
        <f t="shared" si="28"/>
        <v>3.9836233162469814E-2</v>
      </c>
      <c r="J139" s="1421">
        <f t="shared" si="29"/>
        <v>0</v>
      </c>
      <c r="K139" s="678">
        <v>1</v>
      </c>
      <c r="L139" s="1002"/>
      <c r="M139" s="1428">
        <f t="shared" si="30"/>
        <v>0</v>
      </c>
      <c r="N139" s="1110"/>
      <c r="O139" s="674">
        <f t="shared" si="31"/>
        <v>40</v>
      </c>
      <c r="P139" s="682"/>
      <c r="Q139" s="286"/>
      <c r="R139" s="287"/>
      <c r="S139" s="280"/>
      <c r="T139" s="280"/>
      <c r="U139" s="280"/>
      <c r="V139" s="280"/>
      <c r="W139" s="280"/>
      <c r="X139" s="280"/>
      <c r="Y139" s="280"/>
      <c r="Z139" s="284"/>
      <c r="AA139" s="284"/>
      <c r="AB139" s="284"/>
      <c r="AC139" s="284"/>
      <c r="AD139" s="284"/>
      <c r="AE139" s="284"/>
      <c r="AF139" s="447"/>
      <c r="AG139" s="447"/>
      <c r="AH139" s="447"/>
      <c r="AI139" s="382"/>
      <c r="AJ139" s="382"/>
      <c r="AK139" s="382"/>
      <c r="AL139" s="382"/>
      <c r="AM139" s="382"/>
      <c r="AN139" s="382"/>
      <c r="AO139" s="382"/>
      <c r="AP139" s="382"/>
      <c r="AQ139" s="382"/>
      <c r="AR139" s="382"/>
      <c r="AS139" s="382"/>
      <c r="AT139" s="382"/>
      <c r="AU139" s="382"/>
      <c r="AV139" s="382"/>
      <c r="AW139" s="382"/>
      <c r="AX139" s="382"/>
      <c r="AY139" s="382"/>
      <c r="AZ139" s="382"/>
      <c r="BA139" s="382"/>
      <c r="BB139" s="382"/>
      <c r="BC139" s="382"/>
      <c r="BD139" s="382"/>
      <c r="BE139" s="382"/>
      <c r="BF139" s="382"/>
      <c r="BG139" s="382"/>
      <c r="BH139" s="382"/>
      <c r="BI139" s="382"/>
      <c r="BJ139" s="382"/>
      <c r="BK139" s="382"/>
      <c r="BL139" s="382"/>
      <c r="BM139" s="382"/>
      <c r="BN139" s="382"/>
      <c r="BO139" s="382"/>
    </row>
    <row r="140" spans="1:67" s="88" customFormat="1" ht="10.55" customHeight="1" x14ac:dyDescent="0.2">
      <c r="A140" s="1013" t="s">
        <v>360</v>
      </c>
      <c r="B140" s="2807"/>
      <c r="C140" s="2808"/>
      <c r="D140" s="2809"/>
      <c r="E140" s="2561"/>
      <c r="F140" s="2562"/>
      <c r="G140" s="1785">
        <v>20</v>
      </c>
      <c r="H140" s="524"/>
      <c r="I140" s="1409">
        <f t="shared" si="28"/>
        <v>6.4147128734474465E-2</v>
      </c>
      <c r="J140" s="1421">
        <f t="shared" si="29"/>
        <v>0</v>
      </c>
      <c r="K140" s="678">
        <v>2</v>
      </c>
      <c r="L140" s="1002"/>
      <c r="M140" s="1428">
        <f t="shared" si="30"/>
        <v>0</v>
      </c>
      <c r="N140" s="1110"/>
      <c r="O140" s="674">
        <f t="shared" si="31"/>
        <v>20</v>
      </c>
      <c r="P140" s="682"/>
      <c r="Q140" s="286"/>
      <c r="R140" s="287"/>
      <c r="S140" s="280"/>
      <c r="T140" s="280"/>
      <c r="U140" s="280"/>
      <c r="V140" s="280"/>
      <c r="W140" s="280"/>
      <c r="X140" s="280"/>
      <c r="Y140" s="280"/>
      <c r="Z140" s="284"/>
      <c r="AA140" s="284"/>
      <c r="AB140" s="284"/>
      <c r="AC140" s="284"/>
      <c r="AD140" s="284"/>
      <c r="AE140" s="284"/>
      <c r="AF140" s="447"/>
      <c r="AG140" s="447"/>
      <c r="AH140" s="447"/>
      <c r="AI140" s="382"/>
      <c r="AJ140" s="382"/>
      <c r="AK140" s="382"/>
      <c r="AL140" s="382"/>
      <c r="AM140" s="382"/>
      <c r="AN140" s="382"/>
      <c r="AO140" s="382"/>
      <c r="AP140" s="382"/>
      <c r="AQ140" s="382"/>
      <c r="AR140" s="382"/>
      <c r="AS140" s="382"/>
      <c r="AT140" s="382"/>
      <c r="AU140" s="382"/>
      <c r="AV140" s="382"/>
      <c r="AW140" s="382"/>
      <c r="AX140" s="382"/>
      <c r="AY140" s="382"/>
      <c r="AZ140" s="382"/>
      <c r="BA140" s="382"/>
      <c r="BB140" s="382"/>
      <c r="BC140" s="382"/>
      <c r="BD140" s="382"/>
      <c r="BE140" s="382"/>
      <c r="BF140" s="382"/>
      <c r="BG140" s="382"/>
      <c r="BH140" s="382"/>
      <c r="BI140" s="382"/>
      <c r="BJ140" s="382"/>
      <c r="BK140" s="382"/>
      <c r="BL140" s="382"/>
      <c r="BM140" s="382"/>
      <c r="BN140" s="382"/>
      <c r="BO140" s="382"/>
    </row>
    <row r="141" spans="1:67" s="88" customFormat="1" ht="10.55" customHeight="1" x14ac:dyDescent="0.2">
      <c r="A141" s="1013" t="s">
        <v>361</v>
      </c>
      <c r="B141" s="2807"/>
      <c r="C141" s="2808"/>
      <c r="D141" s="2809"/>
      <c r="E141" s="2561"/>
      <c r="F141" s="2562"/>
      <c r="G141" s="1785">
        <v>20</v>
      </c>
      <c r="H141" s="524"/>
      <c r="I141" s="1409">
        <f t="shared" si="28"/>
        <v>6.4147128734474465E-2</v>
      </c>
      <c r="J141" s="1421">
        <f t="shared" si="29"/>
        <v>0</v>
      </c>
      <c r="K141" s="678">
        <v>1.5</v>
      </c>
      <c r="L141" s="1002"/>
      <c r="M141" s="1428">
        <f t="shared" si="30"/>
        <v>0</v>
      </c>
      <c r="N141" s="1110"/>
      <c r="O141" s="674">
        <f t="shared" si="31"/>
        <v>20</v>
      </c>
      <c r="P141" s="682"/>
      <c r="Q141" s="286"/>
      <c r="R141" s="287"/>
      <c r="S141" s="280"/>
      <c r="T141" s="280"/>
      <c r="U141" s="280"/>
      <c r="V141" s="280"/>
      <c r="W141" s="280"/>
      <c r="X141" s="280"/>
      <c r="Y141" s="280"/>
      <c r="Z141" s="284"/>
      <c r="AA141" s="284"/>
      <c r="AB141" s="284"/>
      <c r="AC141" s="284"/>
      <c r="AD141" s="284"/>
      <c r="AE141" s="284"/>
      <c r="AF141" s="447"/>
      <c r="AG141" s="447"/>
      <c r="AH141" s="447"/>
      <c r="AI141" s="382"/>
      <c r="AJ141" s="382"/>
      <c r="AK141" s="382"/>
      <c r="AL141" s="38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2"/>
      <c r="BG141" s="382"/>
      <c r="BH141" s="382"/>
      <c r="BI141" s="382"/>
      <c r="BJ141" s="382"/>
      <c r="BK141" s="382"/>
      <c r="BL141" s="382"/>
      <c r="BM141" s="382"/>
      <c r="BN141" s="382"/>
      <c r="BO141" s="382"/>
    </row>
    <row r="142" spans="1:67" s="88" customFormat="1" ht="10.55" customHeight="1" x14ac:dyDescent="0.2">
      <c r="A142" s="1013" t="s">
        <v>362</v>
      </c>
      <c r="B142" s="2807"/>
      <c r="C142" s="2808"/>
      <c r="D142" s="2809"/>
      <c r="E142" s="2561"/>
      <c r="F142" s="2562"/>
      <c r="G142" s="1785">
        <v>20</v>
      </c>
      <c r="H142" s="524"/>
      <c r="I142" s="1409">
        <f t="shared" si="28"/>
        <v>6.4147128734474465E-2</v>
      </c>
      <c r="J142" s="1421">
        <f t="shared" si="29"/>
        <v>0</v>
      </c>
      <c r="K142" s="678">
        <v>1.5</v>
      </c>
      <c r="L142" s="1002"/>
      <c r="M142" s="1428">
        <f t="shared" si="30"/>
        <v>0</v>
      </c>
      <c r="N142" s="1110"/>
      <c r="O142" s="674">
        <f t="shared" si="31"/>
        <v>20</v>
      </c>
      <c r="P142" s="682"/>
      <c r="Q142" s="286"/>
      <c r="R142" s="287"/>
      <c r="S142" s="280"/>
      <c r="T142" s="280"/>
      <c r="U142" s="280"/>
      <c r="V142" s="280"/>
      <c r="W142" s="280"/>
      <c r="X142" s="280"/>
      <c r="Y142" s="280"/>
      <c r="Z142" s="284"/>
      <c r="AA142" s="284"/>
      <c r="AB142" s="284"/>
      <c r="AC142" s="284"/>
      <c r="AD142" s="284"/>
      <c r="AE142" s="284"/>
      <c r="AF142" s="447"/>
      <c r="AG142" s="447"/>
      <c r="AH142" s="447"/>
      <c r="AI142" s="382"/>
      <c r="AJ142" s="382"/>
      <c r="AK142" s="382"/>
      <c r="AL142" s="38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2"/>
      <c r="BG142" s="382"/>
      <c r="BH142" s="382"/>
      <c r="BI142" s="382"/>
      <c r="BJ142" s="382"/>
      <c r="BK142" s="382"/>
      <c r="BL142" s="382"/>
      <c r="BM142" s="382"/>
      <c r="BN142" s="382"/>
      <c r="BO142" s="382"/>
    </row>
    <row r="143" spans="1:67" s="88" customFormat="1" ht="10.55" customHeight="1" x14ac:dyDescent="0.2">
      <c r="A143" s="1013" t="s">
        <v>833</v>
      </c>
      <c r="B143" s="2807"/>
      <c r="C143" s="2808"/>
      <c r="D143" s="2809"/>
      <c r="E143" s="2561"/>
      <c r="F143" s="2562"/>
      <c r="G143" s="1785">
        <v>20</v>
      </c>
      <c r="H143" s="524"/>
      <c r="I143" s="1409">
        <f t="shared" si="28"/>
        <v>6.4147128734474465E-2</v>
      </c>
      <c r="J143" s="1421">
        <f t="shared" si="29"/>
        <v>0</v>
      </c>
      <c r="K143" s="678">
        <v>2.5</v>
      </c>
      <c r="L143" s="1002"/>
      <c r="M143" s="1428">
        <f t="shared" si="30"/>
        <v>0</v>
      </c>
      <c r="N143" s="1110"/>
      <c r="O143" s="674">
        <f t="shared" si="31"/>
        <v>20</v>
      </c>
      <c r="P143" s="682"/>
      <c r="Q143" s="286"/>
      <c r="R143" s="287"/>
      <c r="S143" s="280"/>
      <c r="T143" s="280"/>
      <c r="U143" s="280"/>
      <c r="V143" s="280"/>
      <c r="W143" s="280"/>
      <c r="X143" s="280"/>
      <c r="Y143" s="280"/>
      <c r="Z143" s="284"/>
      <c r="AA143" s="284"/>
      <c r="AB143" s="284"/>
      <c r="AC143" s="284"/>
      <c r="AD143" s="284"/>
      <c r="AE143" s="284"/>
      <c r="AF143" s="447"/>
      <c r="AG143" s="447"/>
      <c r="AH143" s="447"/>
      <c r="AI143" s="382"/>
      <c r="AJ143" s="382"/>
      <c r="AK143" s="382"/>
      <c r="AL143" s="382"/>
      <c r="AM143" s="382"/>
      <c r="AN143" s="382"/>
      <c r="AO143" s="382"/>
      <c r="AP143" s="382"/>
      <c r="AQ143" s="382"/>
      <c r="AR143" s="382"/>
      <c r="AS143" s="382"/>
      <c r="AT143" s="382"/>
      <c r="AU143" s="382"/>
      <c r="AV143" s="382"/>
      <c r="AW143" s="382"/>
      <c r="AX143" s="382"/>
      <c r="AY143" s="382"/>
      <c r="AZ143" s="382"/>
      <c r="BA143" s="382"/>
      <c r="BB143" s="382"/>
      <c r="BC143" s="382"/>
      <c r="BD143" s="382"/>
      <c r="BE143" s="382"/>
      <c r="BF143" s="382"/>
      <c r="BG143" s="382"/>
      <c r="BH143" s="382"/>
      <c r="BI143" s="382"/>
      <c r="BJ143" s="382"/>
      <c r="BK143" s="382"/>
      <c r="BL143" s="382"/>
      <c r="BM143" s="382"/>
      <c r="BN143" s="382"/>
      <c r="BO143" s="382"/>
    </row>
    <row r="144" spans="1:67" s="88" customFormat="1" ht="10.55" customHeight="1" x14ac:dyDescent="0.2">
      <c r="A144" s="1013" t="s">
        <v>333</v>
      </c>
      <c r="B144" s="2807"/>
      <c r="C144" s="2808"/>
      <c r="D144" s="2809"/>
      <c r="E144" s="2561"/>
      <c r="F144" s="2562"/>
      <c r="G144" s="1785">
        <v>20</v>
      </c>
      <c r="H144" s="524"/>
      <c r="I144" s="1409">
        <f t="shared" si="28"/>
        <v>6.4147128734474465E-2</v>
      </c>
      <c r="J144" s="1421">
        <f t="shared" si="29"/>
        <v>0</v>
      </c>
      <c r="K144" s="678">
        <v>8</v>
      </c>
      <c r="L144" s="1002"/>
      <c r="M144" s="1428">
        <f t="shared" si="30"/>
        <v>0</v>
      </c>
      <c r="N144" s="1110"/>
      <c r="O144" s="674">
        <f t="shared" si="31"/>
        <v>20</v>
      </c>
      <c r="P144" s="682"/>
      <c r="Q144" s="286"/>
      <c r="R144" s="287"/>
      <c r="S144" s="280"/>
      <c r="T144" s="280"/>
      <c r="U144" s="280"/>
      <c r="V144" s="280"/>
      <c r="W144" s="280"/>
      <c r="X144" s="280"/>
      <c r="Y144" s="280"/>
      <c r="Z144" s="284"/>
      <c r="AA144" s="284"/>
      <c r="AB144" s="284"/>
      <c r="AC144" s="284"/>
      <c r="AD144" s="284"/>
      <c r="AE144" s="284"/>
      <c r="AF144" s="447"/>
      <c r="AG144" s="447"/>
      <c r="AH144" s="447"/>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c r="BH144" s="382"/>
      <c r="BI144" s="382"/>
      <c r="BJ144" s="382"/>
      <c r="BK144" s="382"/>
      <c r="BL144" s="382"/>
      <c r="BM144" s="382"/>
      <c r="BN144" s="382"/>
      <c r="BO144" s="382"/>
    </row>
    <row r="145" spans="1:67" s="88" customFormat="1" ht="10.55" customHeight="1" x14ac:dyDescent="0.2">
      <c r="A145" s="1013" t="s">
        <v>334</v>
      </c>
      <c r="B145" s="2807"/>
      <c r="C145" s="2808"/>
      <c r="D145" s="2809"/>
      <c r="E145" s="2561"/>
      <c r="F145" s="2562"/>
      <c r="G145" s="1785">
        <v>30</v>
      </c>
      <c r="H145" s="524"/>
      <c r="I145" s="1409">
        <f t="shared" si="28"/>
        <v>4.7777640736176463E-2</v>
      </c>
      <c r="J145" s="1421">
        <f t="shared" si="29"/>
        <v>0</v>
      </c>
      <c r="K145" s="678"/>
      <c r="L145" s="1002"/>
      <c r="M145" s="1428">
        <f t="shared" si="30"/>
        <v>0</v>
      </c>
      <c r="N145" s="1110"/>
      <c r="O145" s="674">
        <f t="shared" si="31"/>
        <v>30</v>
      </c>
      <c r="P145" s="682"/>
      <c r="Q145" s="286"/>
      <c r="R145" s="287"/>
      <c r="S145" s="280"/>
      <c r="T145" s="280"/>
      <c r="U145" s="280"/>
      <c r="V145" s="280"/>
      <c r="W145" s="280"/>
      <c r="X145" s="280"/>
      <c r="Y145" s="280"/>
      <c r="Z145" s="284"/>
      <c r="AA145" s="284"/>
      <c r="AB145" s="284"/>
      <c r="AC145" s="284"/>
      <c r="AD145" s="284"/>
      <c r="AE145" s="284"/>
      <c r="AF145" s="447"/>
      <c r="AG145" s="447"/>
      <c r="AH145" s="447"/>
      <c r="AI145" s="382"/>
      <c r="AJ145" s="382"/>
      <c r="AK145" s="382"/>
      <c r="AL145" s="382"/>
      <c r="AM145" s="382"/>
      <c r="AN145" s="382"/>
      <c r="AO145" s="382"/>
      <c r="AP145" s="382"/>
      <c r="AQ145" s="382"/>
      <c r="AR145" s="382"/>
      <c r="AS145" s="382"/>
      <c r="AT145" s="382"/>
      <c r="AU145" s="382"/>
      <c r="AV145" s="382"/>
      <c r="AW145" s="382"/>
      <c r="AX145" s="382"/>
      <c r="AY145" s="382"/>
      <c r="AZ145" s="382"/>
      <c r="BA145" s="382"/>
      <c r="BB145" s="382"/>
      <c r="BC145" s="382"/>
      <c r="BD145" s="382"/>
      <c r="BE145" s="382"/>
      <c r="BF145" s="382"/>
      <c r="BG145" s="382"/>
      <c r="BH145" s="382"/>
      <c r="BI145" s="382"/>
      <c r="BJ145" s="382"/>
      <c r="BK145" s="382"/>
      <c r="BL145" s="382"/>
      <c r="BM145" s="382"/>
      <c r="BN145" s="382"/>
      <c r="BO145" s="382"/>
    </row>
    <row r="146" spans="1:67" s="88" customFormat="1" ht="10.55" customHeight="1" x14ac:dyDescent="0.2">
      <c r="A146" s="675"/>
      <c r="B146" s="2807"/>
      <c r="C146" s="2808"/>
      <c r="D146" s="2809"/>
      <c r="E146" s="2561"/>
      <c r="F146" s="2562"/>
      <c r="G146" s="1015"/>
      <c r="H146" s="524"/>
      <c r="I146" s="1409">
        <f t="shared" si="28"/>
        <v>0</v>
      </c>
      <c r="J146" s="1421">
        <f t="shared" si="29"/>
        <v>0</v>
      </c>
      <c r="K146" s="679"/>
      <c r="L146" s="1002"/>
      <c r="M146" s="1428">
        <f t="shared" si="30"/>
        <v>0</v>
      </c>
      <c r="N146" s="1110"/>
      <c r="O146" s="674">
        <f t="shared" si="31"/>
        <v>0</v>
      </c>
      <c r="P146" s="682"/>
      <c r="Q146" s="286"/>
      <c r="R146" s="287"/>
      <c r="S146" s="280"/>
      <c r="T146" s="280"/>
      <c r="U146" s="280"/>
      <c r="V146" s="280"/>
      <c r="W146" s="280"/>
      <c r="X146" s="280"/>
      <c r="Y146" s="280"/>
      <c r="Z146" s="284"/>
      <c r="AA146" s="284"/>
      <c r="AB146" s="284"/>
      <c r="AC146" s="284"/>
      <c r="AD146" s="284"/>
      <c r="AE146" s="284"/>
      <c r="AF146" s="447"/>
      <c r="AG146" s="447"/>
      <c r="AH146" s="447"/>
      <c r="AI146" s="382"/>
      <c r="AJ146" s="382"/>
      <c r="AK146" s="382"/>
      <c r="AL146" s="382"/>
      <c r="AM146" s="382"/>
      <c r="AN146" s="382"/>
      <c r="AO146" s="382"/>
      <c r="AP146" s="382"/>
      <c r="AQ146" s="382"/>
      <c r="AR146" s="382"/>
      <c r="AS146" s="382"/>
      <c r="AT146" s="382"/>
      <c r="AU146" s="382"/>
      <c r="AV146" s="382"/>
      <c r="AW146" s="382"/>
      <c r="AX146" s="382"/>
      <c r="AY146" s="382"/>
      <c r="AZ146" s="382"/>
      <c r="BA146" s="382"/>
      <c r="BB146" s="382"/>
      <c r="BC146" s="382"/>
      <c r="BD146" s="382"/>
      <c r="BE146" s="382"/>
      <c r="BF146" s="382"/>
      <c r="BG146" s="382"/>
      <c r="BH146" s="382"/>
      <c r="BI146" s="382"/>
      <c r="BJ146" s="382"/>
      <c r="BK146" s="382"/>
      <c r="BL146" s="382"/>
      <c r="BM146" s="382"/>
      <c r="BN146" s="382"/>
      <c r="BO146" s="382"/>
    </row>
    <row r="147" spans="1:67" s="88" customFormat="1" ht="10.55" customHeight="1" x14ac:dyDescent="0.2">
      <c r="A147" s="675"/>
      <c r="B147" s="2807"/>
      <c r="C147" s="2808"/>
      <c r="D147" s="2809"/>
      <c r="E147" s="2561"/>
      <c r="F147" s="2562"/>
      <c r="G147" s="1015"/>
      <c r="H147" s="524"/>
      <c r="I147" s="1409">
        <f t="shared" si="28"/>
        <v>0</v>
      </c>
      <c r="J147" s="1421">
        <f t="shared" si="29"/>
        <v>0</v>
      </c>
      <c r="K147" s="679"/>
      <c r="L147" s="1002"/>
      <c r="M147" s="1428">
        <f t="shared" si="30"/>
        <v>0</v>
      </c>
      <c r="N147" s="1110"/>
      <c r="O147" s="674">
        <f t="shared" si="31"/>
        <v>0</v>
      </c>
      <c r="P147" s="682"/>
      <c r="Q147" s="286"/>
      <c r="R147" s="287"/>
      <c r="S147" s="280"/>
      <c r="T147" s="280"/>
      <c r="U147" s="280"/>
      <c r="V147" s="280"/>
      <c r="W147" s="280"/>
      <c r="X147" s="280"/>
      <c r="Y147" s="280"/>
      <c r="Z147" s="284"/>
      <c r="AA147" s="284"/>
      <c r="AB147" s="284"/>
      <c r="AC147" s="284"/>
      <c r="AD147" s="284"/>
      <c r="AE147" s="284"/>
      <c r="AF147" s="447"/>
      <c r="AG147" s="447"/>
      <c r="AH147" s="447"/>
      <c r="AI147" s="382"/>
      <c r="AJ147" s="382"/>
      <c r="AK147" s="382"/>
      <c r="AL147" s="382"/>
      <c r="AM147" s="382"/>
      <c r="AN147" s="382"/>
      <c r="AO147" s="382"/>
      <c r="AP147" s="382"/>
      <c r="AQ147" s="382"/>
      <c r="AR147" s="382"/>
      <c r="AS147" s="382"/>
      <c r="AT147" s="382"/>
      <c r="AU147" s="382"/>
      <c r="AV147" s="382"/>
      <c r="AW147" s="382"/>
      <c r="AX147" s="382"/>
      <c r="AY147" s="382"/>
      <c r="AZ147" s="382"/>
      <c r="BA147" s="382"/>
      <c r="BB147" s="382"/>
      <c r="BC147" s="382"/>
      <c r="BD147" s="382"/>
      <c r="BE147" s="382"/>
      <c r="BF147" s="382"/>
      <c r="BG147" s="382"/>
      <c r="BH147" s="382"/>
      <c r="BI147" s="382"/>
      <c r="BJ147" s="382"/>
      <c r="BK147" s="382"/>
      <c r="BL147" s="382"/>
      <c r="BM147" s="382"/>
      <c r="BN147" s="382"/>
      <c r="BO147" s="382"/>
    </row>
    <row r="148" spans="1:67" s="88" customFormat="1" ht="10.55" customHeight="1" x14ac:dyDescent="0.2">
      <c r="A148" s="675"/>
      <c r="B148" s="2807"/>
      <c r="C148" s="2808"/>
      <c r="D148" s="2809"/>
      <c r="E148" s="2561"/>
      <c r="F148" s="2562"/>
      <c r="G148" s="1015"/>
      <c r="H148" s="524"/>
      <c r="I148" s="1409">
        <f t="shared" si="28"/>
        <v>0</v>
      </c>
      <c r="J148" s="1421">
        <f t="shared" si="29"/>
        <v>0</v>
      </c>
      <c r="K148" s="679"/>
      <c r="L148" s="1002"/>
      <c r="M148" s="1428">
        <f t="shared" si="30"/>
        <v>0</v>
      </c>
      <c r="N148" s="1110"/>
      <c r="O148" s="674">
        <f t="shared" si="31"/>
        <v>0</v>
      </c>
      <c r="P148" s="682"/>
      <c r="Q148" s="286"/>
      <c r="R148" s="287"/>
      <c r="S148" s="280"/>
      <c r="T148" s="280"/>
      <c r="U148" s="280"/>
      <c r="V148" s="280"/>
      <c r="W148" s="280"/>
      <c r="X148" s="280"/>
      <c r="Y148" s="280"/>
      <c r="Z148" s="284"/>
      <c r="AA148" s="284"/>
      <c r="AB148" s="284"/>
      <c r="AC148" s="284"/>
      <c r="AD148" s="284"/>
      <c r="AE148" s="284"/>
      <c r="AF148" s="447"/>
      <c r="AG148" s="447"/>
      <c r="AH148" s="447"/>
      <c r="AI148" s="382"/>
      <c r="AJ148" s="382"/>
      <c r="AK148" s="382"/>
      <c r="AL148" s="382"/>
      <c r="AM148" s="382"/>
      <c r="AN148" s="382"/>
      <c r="AO148" s="382"/>
      <c r="AP148" s="382"/>
      <c r="AQ148" s="382"/>
      <c r="AR148" s="382"/>
      <c r="AS148" s="382"/>
      <c r="AT148" s="382"/>
      <c r="AU148" s="382"/>
      <c r="AV148" s="382"/>
      <c r="AW148" s="382"/>
      <c r="AX148" s="382"/>
      <c r="AY148" s="382"/>
      <c r="AZ148" s="382"/>
      <c r="BA148" s="382"/>
      <c r="BB148" s="382"/>
      <c r="BC148" s="382"/>
      <c r="BD148" s="382"/>
      <c r="BE148" s="382"/>
      <c r="BF148" s="382"/>
      <c r="BG148" s="382"/>
      <c r="BH148" s="382"/>
      <c r="BI148" s="382"/>
      <c r="BJ148" s="382"/>
      <c r="BK148" s="382"/>
      <c r="BL148" s="382"/>
      <c r="BM148" s="382"/>
      <c r="BN148" s="382"/>
      <c r="BO148" s="382"/>
    </row>
    <row r="149" spans="1:67" s="88" customFormat="1" ht="10.55" customHeight="1" x14ac:dyDescent="0.2">
      <c r="A149" s="675"/>
      <c r="B149" s="2807"/>
      <c r="C149" s="2808"/>
      <c r="D149" s="2809"/>
      <c r="E149" s="2561"/>
      <c r="F149" s="2562"/>
      <c r="G149" s="1015"/>
      <c r="H149" s="524"/>
      <c r="I149" s="1409">
        <f t="shared" si="28"/>
        <v>0</v>
      </c>
      <c r="J149" s="1421">
        <f t="shared" si="29"/>
        <v>0</v>
      </c>
      <c r="K149" s="679"/>
      <c r="L149" s="1002"/>
      <c r="M149" s="1428">
        <f t="shared" si="30"/>
        <v>0</v>
      </c>
      <c r="N149" s="1110"/>
      <c r="O149" s="674">
        <f t="shared" si="31"/>
        <v>0</v>
      </c>
      <c r="P149" s="682"/>
      <c r="Q149" s="286"/>
      <c r="R149" s="287"/>
      <c r="S149" s="280"/>
      <c r="T149" s="280"/>
      <c r="U149" s="280"/>
      <c r="V149" s="280"/>
      <c r="W149" s="280"/>
      <c r="X149" s="280"/>
      <c r="Y149" s="280"/>
      <c r="Z149" s="284"/>
      <c r="AA149" s="284"/>
      <c r="AB149" s="284"/>
      <c r="AC149" s="284"/>
      <c r="AD149" s="284"/>
      <c r="AE149" s="284"/>
      <c r="AF149" s="447"/>
      <c r="AG149" s="447"/>
      <c r="AH149" s="447"/>
      <c r="AI149" s="382"/>
      <c r="AJ149" s="382"/>
      <c r="AK149" s="382"/>
      <c r="AL149" s="382"/>
      <c r="AM149" s="382"/>
      <c r="AN149" s="382"/>
      <c r="AO149" s="382"/>
      <c r="AP149" s="382"/>
      <c r="AQ149" s="382"/>
      <c r="AR149" s="382"/>
      <c r="AS149" s="382"/>
      <c r="AT149" s="382"/>
      <c r="AU149" s="382"/>
      <c r="AV149" s="382"/>
      <c r="AW149" s="382"/>
      <c r="AX149" s="382"/>
      <c r="AY149" s="382"/>
      <c r="AZ149" s="382"/>
      <c r="BA149" s="382"/>
      <c r="BB149" s="382"/>
      <c r="BC149" s="382"/>
      <c r="BD149" s="382"/>
      <c r="BE149" s="382"/>
      <c r="BF149" s="382"/>
      <c r="BG149" s="382"/>
      <c r="BH149" s="382"/>
      <c r="BI149" s="382"/>
      <c r="BJ149" s="382"/>
      <c r="BK149" s="382"/>
      <c r="BL149" s="382"/>
      <c r="BM149" s="382"/>
      <c r="BN149" s="382"/>
      <c r="BO149" s="382"/>
    </row>
    <row r="150" spans="1:67" s="88" customFormat="1" ht="10.55" customHeight="1" x14ac:dyDescent="0.2">
      <c r="A150" s="1153"/>
      <c r="B150" s="2884"/>
      <c r="C150" s="2885"/>
      <c r="D150" s="2886"/>
      <c r="E150" s="2793"/>
      <c r="F150" s="2794"/>
      <c r="G150" s="1086"/>
      <c r="H150" s="1087"/>
      <c r="I150" s="1437">
        <f t="shared" si="28"/>
        <v>0</v>
      </c>
      <c r="J150" s="1413"/>
      <c r="K150" s="1088"/>
      <c r="L150" s="1089"/>
      <c r="M150" s="1431">
        <f t="shared" si="30"/>
        <v>0</v>
      </c>
      <c r="N150" s="1110"/>
      <c r="O150" s="674">
        <f t="shared" si="31"/>
        <v>0</v>
      </c>
      <c r="P150" s="682"/>
      <c r="Q150" s="286"/>
      <c r="R150" s="287"/>
      <c r="S150" s="280"/>
      <c r="T150" s="280"/>
      <c r="U150" s="280"/>
      <c r="V150" s="280"/>
      <c r="W150" s="280"/>
      <c r="X150" s="280"/>
      <c r="Y150" s="280"/>
      <c r="Z150" s="284"/>
      <c r="AA150" s="284"/>
      <c r="AB150" s="284"/>
      <c r="AC150" s="284"/>
      <c r="AD150" s="284"/>
      <c r="AE150" s="284"/>
      <c r="AF150" s="447"/>
      <c r="AG150" s="447"/>
      <c r="AH150" s="447"/>
      <c r="AI150" s="382"/>
      <c r="AJ150" s="382"/>
      <c r="AK150" s="382"/>
      <c r="AL150" s="382"/>
      <c r="AM150" s="382"/>
      <c r="AN150" s="382"/>
      <c r="AO150" s="382"/>
      <c r="AP150" s="382"/>
      <c r="AQ150" s="382"/>
      <c r="AR150" s="382"/>
      <c r="AS150" s="382"/>
      <c r="AT150" s="382"/>
      <c r="AU150" s="382"/>
      <c r="AV150" s="382"/>
      <c r="AW150" s="382"/>
      <c r="AX150" s="382"/>
      <c r="AY150" s="382"/>
      <c r="AZ150" s="382"/>
      <c r="BA150" s="382"/>
      <c r="BB150" s="382"/>
      <c r="BC150" s="382"/>
      <c r="BD150" s="382"/>
      <c r="BE150" s="382"/>
      <c r="BF150" s="382"/>
      <c r="BG150" s="382"/>
      <c r="BH150" s="382"/>
      <c r="BI150" s="382"/>
      <c r="BJ150" s="382"/>
      <c r="BK150" s="382"/>
      <c r="BL150" s="382"/>
      <c r="BM150" s="382"/>
      <c r="BN150" s="382"/>
      <c r="BO150" s="382"/>
    </row>
    <row r="151" spans="1:67" s="88" customFormat="1" ht="10.55" customHeight="1" x14ac:dyDescent="0.2">
      <c r="A151" s="1145" t="s">
        <v>363</v>
      </c>
      <c r="B151" s="2783"/>
      <c r="C151" s="2784"/>
      <c r="D151" s="2785"/>
      <c r="E151" s="2810">
        <f>SUM(E152:E164)</f>
        <v>0</v>
      </c>
      <c r="F151" s="2811"/>
      <c r="G151" s="2747"/>
      <c r="H151" s="2748"/>
      <c r="I151" s="1435">
        <f>IF(E151=0,0,J151/E151)</f>
        <v>0</v>
      </c>
      <c r="J151" s="1423">
        <f>SUM(J152:J164)</f>
        <v>0</v>
      </c>
      <c r="K151" s="2749">
        <f>IF(E151=0,0,M151/E151*100)</f>
        <v>0</v>
      </c>
      <c r="L151" s="2750"/>
      <c r="M151" s="1430">
        <f>SUM(M152:M164)</f>
        <v>0</v>
      </c>
      <c r="N151" s="1110"/>
      <c r="O151" s="387">
        <f>IF(H151="",G151,H151)</f>
        <v>0</v>
      </c>
      <c r="P151" s="682"/>
      <c r="Q151" s="286"/>
      <c r="R151" s="287"/>
      <c r="S151" s="280"/>
      <c r="T151" s="280"/>
      <c r="U151" s="280"/>
      <c r="V151" s="280"/>
      <c r="W151" s="280"/>
      <c r="X151" s="280"/>
      <c r="Y151" s="280"/>
      <c r="Z151" s="284"/>
      <c r="AA151" s="284"/>
      <c r="AB151" s="284"/>
      <c r="AC151" s="284"/>
      <c r="AD151" s="284"/>
      <c r="AE151" s="284"/>
      <c r="AF151" s="447"/>
      <c r="AG151" s="447"/>
      <c r="AH151" s="447"/>
      <c r="AI151" s="382"/>
      <c r="AJ151" s="382"/>
      <c r="AK151" s="382"/>
      <c r="AL151" s="382"/>
      <c r="AM151" s="382"/>
      <c r="AN151" s="382"/>
      <c r="AO151" s="382"/>
      <c r="AP151" s="382"/>
      <c r="AQ151" s="382"/>
      <c r="AR151" s="382"/>
      <c r="AS151" s="382"/>
      <c r="AT151" s="382"/>
      <c r="AU151" s="382"/>
      <c r="AV151" s="382"/>
      <c r="AW151" s="382"/>
      <c r="AX151" s="382"/>
      <c r="AY151" s="382"/>
      <c r="AZ151" s="382"/>
      <c r="BA151" s="382"/>
      <c r="BB151" s="382"/>
      <c r="BC151" s="382"/>
      <c r="BD151" s="382"/>
      <c r="BE151" s="382"/>
      <c r="BF151" s="382"/>
      <c r="BG151" s="382"/>
      <c r="BH151" s="382"/>
      <c r="BI151" s="382"/>
      <c r="BJ151" s="382"/>
      <c r="BK151" s="382"/>
      <c r="BL151" s="382"/>
      <c r="BM151" s="382"/>
      <c r="BN151" s="382"/>
      <c r="BO151" s="382"/>
    </row>
    <row r="152" spans="1:67" s="88" customFormat="1" ht="10.55" customHeight="1" x14ac:dyDescent="0.2">
      <c r="A152" s="512" t="s">
        <v>364</v>
      </c>
      <c r="B152" s="2790"/>
      <c r="C152" s="2791"/>
      <c r="D152" s="2792"/>
      <c r="E152" s="2734"/>
      <c r="F152" s="2735"/>
      <c r="G152" s="1785">
        <v>15</v>
      </c>
      <c r="H152" s="524"/>
      <c r="I152" s="1409">
        <f t="shared" ref="I152:I165" si="32">IF($O152&gt;0,-PMT(($I$9),$O152,1),0)</f>
        <v>8.0766456051533542E-2</v>
      </c>
      <c r="J152" s="1421">
        <f t="shared" ref="J152:J164" si="33">ROUND(E152*I152,0)</f>
        <v>0</v>
      </c>
      <c r="K152" s="678">
        <v>3</v>
      </c>
      <c r="L152" s="1002"/>
      <c r="M152" s="1428">
        <f t="shared" ref="M152:M165" si="34">ROUND(E152/100*IF(ISBLANK(L152),K152,L152),0)</f>
        <v>0</v>
      </c>
      <c r="N152" s="1110"/>
      <c r="O152" s="674">
        <f t="shared" ref="O152:O165" si="35">IF(ISBLANK(H152),G152,H152)</f>
        <v>15</v>
      </c>
      <c r="P152" s="682"/>
      <c r="Q152" s="286"/>
      <c r="R152" s="287"/>
      <c r="S152" s="280"/>
      <c r="T152" s="280"/>
      <c r="U152" s="280"/>
      <c r="V152" s="280"/>
      <c r="W152" s="280"/>
      <c r="X152" s="280"/>
      <c r="Y152" s="280"/>
      <c r="Z152" s="284"/>
      <c r="AA152" s="284"/>
      <c r="AB152" s="284"/>
      <c r="AC152" s="284"/>
      <c r="AD152" s="284"/>
      <c r="AE152" s="284"/>
      <c r="AF152" s="447"/>
      <c r="AG152" s="447"/>
      <c r="AH152" s="447"/>
      <c r="AI152" s="382"/>
      <c r="AJ152" s="382"/>
      <c r="AK152" s="382"/>
      <c r="AL152" s="382"/>
      <c r="AM152" s="382"/>
      <c r="AN152" s="382"/>
      <c r="AO152" s="382"/>
      <c r="AP152" s="382"/>
      <c r="AQ152" s="382"/>
      <c r="AR152" s="382"/>
      <c r="AS152" s="382"/>
      <c r="AT152" s="382"/>
      <c r="AU152" s="382"/>
      <c r="AV152" s="382"/>
      <c r="AW152" s="382"/>
      <c r="AX152" s="382"/>
      <c r="AY152" s="382"/>
      <c r="AZ152" s="382"/>
      <c r="BA152" s="382"/>
      <c r="BB152" s="382"/>
      <c r="BC152" s="382"/>
      <c r="BD152" s="382"/>
      <c r="BE152" s="382"/>
      <c r="BF152" s="382"/>
      <c r="BG152" s="382"/>
      <c r="BH152" s="382"/>
      <c r="BI152" s="382"/>
      <c r="BJ152" s="382"/>
      <c r="BK152" s="382"/>
      <c r="BL152" s="382"/>
      <c r="BM152" s="382"/>
      <c r="BN152" s="382"/>
      <c r="BO152" s="382"/>
    </row>
    <row r="153" spans="1:67" s="88" customFormat="1" ht="10.55" customHeight="1" x14ac:dyDescent="0.2">
      <c r="A153" s="512" t="s">
        <v>365</v>
      </c>
      <c r="B153" s="2807"/>
      <c r="C153" s="2808"/>
      <c r="D153" s="2809"/>
      <c r="E153" s="2561"/>
      <c r="F153" s="2562"/>
      <c r="G153" s="1785">
        <v>15</v>
      </c>
      <c r="H153" s="524"/>
      <c r="I153" s="1409">
        <f t="shared" si="32"/>
        <v>8.0766456051533542E-2</v>
      </c>
      <c r="J153" s="1421">
        <f t="shared" si="33"/>
        <v>0</v>
      </c>
      <c r="K153" s="678">
        <v>3</v>
      </c>
      <c r="L153" s="1002"/>
      <c r="M153" s="1428">
        <f t="shared" si="34"/>
        <v>0</v>
      </c>
      <c r="N153" s="1110"/>
      <c r="O153" s="674">
        <f t="shared" si="35"/>
        <v>15</v>
      </c>
      <c r="P153" s="682"/>
      <c r="Q153" s="286"/>
      <c r="R153" s="287"/>
      <c r="S153" s="280"/>
      <c r="T153" s="280"/>
      <c r="U153" s="280"/>
      <c r="V153" s="280"/>
      <c r="W153" s="280"/>
      <c r="X153" s="280"/>
      <c r="Y153" s="280"/>
      <c r="Z153" s="284"/>
      <c r="AA153" s="284"/>
      <c r="AB153" s="284"/>
      <c r="AC153" s="284"/>
      <c r="AD153" s="284"/>
      <c r="AE153" s="284"/>
      <c r="AF153" s="447"/>
      <c r="AG153" s="447"/>
      <c r="AH153" s="447"/>
      <c r="AI153" s="382"/>
      <c r="AJ153" s="382"/>
      <c r="AK153" s="382"/>
      <c r="AL153" s="382"/>
      <c r="AM153" s="382"/>
      <c r="AN153" s="382"/>
      <c r="AO153" s="382"/>
      <c r="AP153" s="382"/>
      <c r="AQ153" s="382"/>
      <c r="AR153" s="382"/>
      <c r="AS153" s="382"/>
      <c r="AT153" s="382"/>
      <c r="AU153" s="382"/>
      <c r="AV153" s="382"/>
      <c r="AW153" s="382"/>
      <c r="AX153" s="382"/>
      <c r="AY153" s="382"/>
      <c r="AZ153" s="382"/>
      <c r="BA153" s="382"/>
      <c r="BB153" s="382"/>
      <c r="BC153" s="382"/>
      <c r="BD153" s="382"/>
      <c r="BE153" s="382"/>
      <c r="BF153" s="382"/>
      <c r="BG153" s="382"/>
      <c r="BH153" s="382"/>
      <c r="BI153" s="382"/>
      <c r="BJ153" s="382"/>
      <c r="BK153" s="382"/>
      <c r="BL153" s="382"/>
      <c r="BM153" s="382"/>
      <c r="BN153" s="382"/>
      <c r="BO153" s="382"/>
    </row>
    <row r="154" spans="1:67" s="88" customFormat="1" ht="10.55" customHeight="1" x14ac:dyDescent="0.2">
      <c r="A154" s="512" t="s">
        <v>366</v>
      </c>
      <c r="B154" s="2807"/>
      <c r="C154" s="2808"/>
      <c r="D154" s="2809"/>
      <c r="E154" s="2561"/>
      <c r="F154" s="2562"/>
      <c r="G154" s="1785">
        <v>15</v>
      </c>
      <c r="H154" s="524"/>
      <c r="I154" s="1409">
        <f t="shared" si="32"/>
        <v>8.0766456051533542E-2</v>
      </c>
      <c r="J154" s="1421">
        <f t="shared" si="33"/>
        <v>0</v>
      </c>
      <c r="K154" s="678">
        <v>3</v>
      </c>
      <c r="L154" s="1002"/>
      <c r="M154" s="1428">
        <f t="shared" si="34"/>
        <v>0</v>
      </c>
      <c r="N154" s="1110"/>
      <c r="O154" s="674">
        <f t="shared" si="35"/>
        <v>15</v>
      </c>
      <c r="P154" s="682"/>
      <c r="Q154" s="286"/>
      <c r="R154" s="287"/>
      <c r="S154" s="280"/>
      <c r="T154" s="280"/>
      <c r="U154" s="280"/>
      <c r="V154" s="280"/>
      <c r="W154" s="280"/>
      <c r="X154" s="280"/>
      <c r="Y154" s="280"/>
      <c r="Z154" s="284"/>
      <c r="AA154" s="284"/>
      <c r="AB154" s="284"/>
      <c r="AC154" s="284"/>
      <c r="AD154" s="284"/>
      <c r="AE154" s="284"/>
      <c r="AF154" s="447"/>
      <c r="AG154" s="447"/>
      <c r="AH154" s="447"/>
      <c r="AI154" s="382"/>
      <c r="AJ154" s="382"/>
      <c r="AK154" s="382"/>
      <c r="AL154" s="382"/>
      <c r="AM154" s="382"/>
      <c r="AN154" s="382"/>
      <c r="AO154" s="382"/>
      <c r="AP154" s="382"/>
      <c r="AQ154" s="382"/>
      <c r="AR154" s="382"/>
      <c r="AS154" s="382"/>
      <c r="AT154" s="382"/>
      <c r="AU154" s="382"/>
      <c r="AV154" s="382"/>
      <c r="AW154" s="382"/>
      <c r="AX154" s="382"/>
      <c r="AY154" s="382"/>
      <c r="AZ154" s="382"/>
      <c r="BA154" s="382"/>
      <c r="BB154" s="382"/>
      <c r="BC154" s="382"/>
      <c r="BD154" s="382"/>
      <c r="BE154" s="382"/>
      <c r="BF154" s="382"/>
      <c r="BG154" s="382"/>
      <c r="BH154" s="382"/>
      <c r="BI154" s="382"/>
      <c r="BJ154" s="382"/>
      <c r="BK154" s="382"/>
      <c r="BL154" s="382"/>
      <c r="BM154" s="382"/>
      <c r="BN154" s="382"/>
      <c r="BO154" s="382"/>
    </row>
    <row r="155" spans="1:67" s="88" customFormat="1" ht="10.55" customHeight="1" x14ac:dyDescent="0.2">
      <c r="A155" s="512" t="s">
        <v>367</v>
      </c>
      <c r="B155" s="2807"/>
      <c r="C155" s="2808"/>
      <c r="D155" s="2809"/>
      <c r="E155" s="2561"/>
      <c r="F155" s="2562"/>
      <c r="G155" s="1785">
        <v>15</v>
      </c>
      <c r="H155" s="524"/>
      <c r="I155" s="1409">
        <f t="shared" si="32"/>
        <v>8.0766456051533542E-2</v>
      </c>
      <c r="J155" s="1421">
        <f t="shared" si="33"/>
        <v>0</v>
      </c>
      <c r="K155" s="678">
        <v>3</v>
      </c>
      <c r="L155" s="1002"/>
      <c r="M155" s="1428">
        <f t="shared" si="34"/>
        <v>0</v>
      </c>
      <c r="N155" s="1110"/>
      <c r="O155" s="674">
        <f t="shared" si="35"/>
        <v>15</v>
      </c>
      <c r="P155" s="682"/>
      <c r="Q155" s="286"/>
      <c r="R155" s="287"/>
      <c r="S155" s="280"/>
      <c r="T155" s="280"/>
      <c r="U155" s="280"/>
      <c r="V155" s="280"/>
      <c r="W155" s="280"/>
      <c r="X155" s="280"/>
      <c r="Y155" s="280"/>
      <c r="Z155" s="284"/>
      <c r="AA155" s="284"/>
      <c r="AB155" s="284"/>
      <c r="AC155" s="284"/>
      <c r="AD155" s="284"/>
      <c r="AE155" s="284"/>
      <c r="AF155" s="447"/>
      <c r="AG155" s="447"/>
      <c r="AH155" s="447"/>
      <c r="AI155" s="382"/>
      <c r="AJ155" s="382"/>
      <c r="AK155" s="382"/>
      <c r="AL155" s="382"/>
      <c r="AM155" s="382"/>
      <c r="AN155" s="382"/>
      <c r="AO155" s="382"/>
      <c r="AP155" s="382"/>
      <c r="AQ155" s="382"/>
      <c r="AR155" s="382"/>
      <c r="AS155" s="382"/>
      <c r="AT155" s="382"/>
      <c r="AU155" s="382"/>
      <c r="AV155" s="382"/>
      <c r="AW155" s="382"/>
      <c r="AX155" s="382"/>
      <c r="AY155" s="382"/>
      <c r="AZ155" s="382"/>
      <c r="BA155" s="382"/>
      <c r="BB155" s="382"/>
      <c r="BC155" s="382"/>
      <c r="BD155" s="382"/>
      <c r="BE155" s="382"/>
      <c r="BF155" s="382"/>
      <c r="BG155" s="382"/>
      <c r="BH155" s="382"/>
      <c r="BI155" s="382"/>
      <c r="BJ155" s="382"/>
      <c r="BK155" s="382"/>
      <c r="BL155" s="382"/>
      <c r="BM155" s="382"/>
      <c r="BN155" s="382"/>
      <c r="BO155" s="382"/>
    </row>
    <row r="156" spans="1:67" s="88" customFormat="1" ht="10.55" customHeight="1" x14ac:dyDescent="0.2">
      <c r="A156" s="675"/>
      <c r="B156" s="2807"/>
      <c r="C156" s="2808"/>
      <c r="D156" s="2809"/>
      <c r="E156" s="2561"/>
      <c r="F156" s="2562"/>
      <c r="G156" s="1015"/>
      <c r="H156" s="524"/>
      <c r="I156" s="1409">
        <f t="shared" si="32"/>
        <v>0</v>
      </c>
      <c r="J156" s="1421">
        <f t="shared" si="33"/>
        <v>0</v>
      </c>
      <c r="K156" s="679"/>
      <c r="L156" s="1002"/>
      <c r="M156" s="1428">
        <f t="shared" si="34"/>
        <v>0</v>
      </c>
      <c r="N156" s="1110"/>
      <c r="O156" s="674">
        <f t="shared" si="35"/>
        <v>0</v>
      </c>
      <c r="P156" s="682"/>
      <c r="Q156" s="286"/>
      <c r="R156" s="287"/>
      <c r="S156" s="280"/>
      <c r="T156" s="280"/>
      <c r="U156" s="280"/>
      <c r="V156" s="280"/>
      <c r="W156" s="280"/>
      <c r="X156" s="280"/>
      <c r="Y156" s="280"/>
      <c r="Z156" s="284"/>
      <c r="AA156" s="284"/>
      <c r="AB156" s="284"/>
      <c r="AC156" s="284"/>
      <c r="AD156" s="284"/>
      <c r="AE156" s="284"/>
      <c r="AF156" s="447"/>
      <c r="AG156" s="447"/>
      <c r="AH156" s="447"/>
      <c r="AI156" s="382"/>
      <c r="AJ156" s="382"/>
      <c r="AK156" s="382"/>
      <c r="AL156" s="382"/>
      <c r="AM156" s="382"/>
      <c r="AN156" s="382"/>
      <c r="AO156" s="382"/>
      <c r="AP156" s="382"/>
      <c r="AQ156" s="382"/>
      <c r="AR156" s="382"/>
      <c r="AS156" s="382"/>
      <c r="AT156" s="382"/>
      <c r="AU156" s="382"/>
      <c r="AV156" s="382"/>
      <c r="AW156" s="382"/>
      <c r="AX156" s="382"/>
      <c r="AY156" s="382"/>
      <c r="AZ156" s="382"/>
      <c r="BA156" s="382"/>
      <c r="BB156" s="382"/>
      <c r="BC156" s="382"/>
      <c r="BD156" s="382"/>
      <c r="BE156" s="382"/>
      <c r="BF156" s="382"/>
      <c r="BG156" s="382"/>
      <c r="BH156" s="382"/>
      <c r="BI156" s="382"/>
      <c r="BJ156" s="382"/>
      <c r="BK156" s="382"/>
      <c r="BL156" s="382"/>
      <c r="BM156" s="382"/>
      <c r="BN156" s="382"/>
      <c r="BO156" s="382"/>
    </row>
    <row r="157" spans="1:67" s="88" customFormat="1" ht="10.55" customHeight="1" x14ac:dyDescent="0.2">
      <c r="A157" s="675"/>
      <c r="B157" s="2807"/>
      <c r="C157" s="2808"/>
      <c r="D157" s="2809"/>
      <c r="E157" s="2561"/>
      <c r="F157" s="2562"/>
      <c r="G157" s="1015"/>
      <c r="H157" s="524"/>
      <c r="I157" s="1409">
        <f t="shared" si="32"/>
        <v>0</v>
      </c>
      <c r="J157" s="1421">
        <f t="shared" si="33"/>
        <v>0</v>
      </c>
      <c r="K157" s="679"/>
      <c r="L157" s="1002"/>
      <c r="M157" s="1428">
        <f t="shared" si="34"/>
        <v>0</v>
      </c>
      <c r="N157" s="1110"/>
      <c r="O157" s="674">
        <f t="shared" si="35"/>
        <v>0</v>
      </c>
      <c r="P157" s="682"/>
      <c r="Q157" s="286"/>
      <c r="R157" s="287"/>
      <c r="S157" s="280"/>
      <c r="T157" s="280"/>
      <c r="U157" s="280"/>
      <c r="V157" s="280"/>
      <c r="W157" s="280"/>
      <c r="X157" s="280"/>
      <c r="Y157" s="280"/>
      <c r="Z157" s="284"/>
      <c r="AA157" s="284"/>
      <c r="AB157" s="284"/>
      <c r="AC157" s="284"/>
      <c r="AD157" s="284"/>
      <c r="AE157" s="284"/>
      <c r="AF157" s="447"/>
      <c r="AG157" s="447"/>
      <c r="AH157" s="447"/>
      <c r="AI157" s="382"/>
      <c r="AJ157" s="382"/>
      <c r="AK157" s="382"/>
      <c r="AL157" s="382"/>
      <c r="AM157" s="382"/>
      <c r="AN157" s="382"/>
      <c r="AO157" s="382"/>
      <c r="AP157" s="382"/>
      <c r="AQ157" s="382"/>
      <c r="AR157" s="382"/>
      <c r="AS157" s="382"/>
      <c r="AT157" s="382"/>
      <c r="AU157" s="382"/>
      <c r="AV157" s="382"/>
      <c r="AW157" s="382"/>
      <c r="AX157" s="382"/>
      <c r="AY157" s="382"/>
      <c r="AZ157" s="382"/>
      <c r="BA157" s="382"/>
      <c r="BB157" s="382"/>
      <c r="BC157" s="382"/>
      <c r="BD157" s="382"/>
      <c r="BE157" s="382"/>
      <c r="BF157" s="382"/>
      <c r="BG157" s="382"/>
      <c r="BH157" s="382"/>
      <c r="BI157" s="382"/>
      <c r="BJ157" s="382"/>
      <c r="BK157" s="382"/>
      <c r="BL157" s="382"/>
      <c r="BM157" s="382"/>
      <c r="BN157" s="382"/>
      <c r="BO157" s="382"/>
    </row>
    <row r="158" spans="1:67" s="88" customFormat="1" ht="10.55" customHeight="1" x14ac:dyDescent="0.2">
      <c r="A158" s="675"/>
      <c r="B158" s="2807"/>
      <c r="C158" s="2808"/>
      <c r="D158" s="2809"/>
      <c r="E158" s="2561"/>
      <c r="F158" s="2562"/>
      <c r="G158" s="1015"/>
      <c r="H158" s="524"/>
      <c r="I158" s="1409">
        <f t="shared" si="32"/>
        <v>0</v>
      </c>
      <c r="J158" s="1421">
        <f t="shared" si="33"/>
        <v>0</v>
      </c>
      <c r="K158" s="679"/>
      <c r="L158" s="1002"/>
      <c r="M158" s="1428">
        <f t="shared" si="34"/>
        <v>0</v>
      </c>
      <c r="N158" s="1110"/>
      <c r="O158" s="674">
        <f t="shared" si="35"/>
        <v>0</v>
      </c>
      <c r="P158" s="682"/>
      <c r="Q158" s="286"/>
      <c r="R158" s="287"/>
      <c r="S158" s="280"/>
      <c r="T158" s="280"/>
      <c r="U158" s="280"/>
      <c r="V158" s="280"/>
      <c r="W158" s="280"/>
      <c r="X158" s="280"/>
      <c r="Y158" s="280"/>
      <c r="Z158" s="284"/>
      <c r="AA158" s="284"/>
      <c r="AB158" s="284"/>
      <c r="AC158" s="284"/>
      <c r="AD158" s="284"/>
      <c r="AE158" s="284"/>
      <c r="AF158" s="447"/>
      <c r="AG158" s="447"/>
      <c r="AH158" s="447"/>
      <c r="AI158" s="382"/>
      <c r="AJ158" s="382"/>
      <c r="AK158" s="382"/>
      <c r="AL158" s="382"/>
      <c r="AM158" s="382"/>
      <c r="AN158" s="382"/>
      <c r="AO158" s="382"/>
      <c r="AP158" s="382"/>
      <c r="AQ158" s="382"/>
      <c r="AR158" s="382"/>
      <c r="AS158" s="382"/>
      <c r="AT158" s="382"/>
      <c r="AU158" s="382"/>
      <c r="AV158" s="382"/>
      <c r="AW158" s="382"/>
      <c r="AX158" s="382"/>
      <c r="AY158" s="382"/>
      <c r="AZ158" s="382"/>
      <c r="BA158" s="382"/>
      <c r="BB158" s="382"/>
      <c r="BC158" s="382"/>
      <c r="BD158" s="382"/>
      <c r="BE158" s="382"/>
      <c r="BF158" s="382"/>
      <c r="BG158" s="382"/>
      <c r="BH158" s="382"/>
      <c r="BI158" s="382"/>
      <c r="BJ158" s="382"/>
      <c r="BK158" s="382"/>
      <c r="BL158" s="382"/>
      <c r="BM158" s="382"/>
      <c r="BN158" s="382"/>
      <c r="BO158" s="382"/>
    </row>
    <row r="159" spans="1:67" s="88" customFormat="1" ht="10.55" customHeight="1" x14ac:dyDescent="0.2">
      <c r="A159" s="675"/>
      <c r="B159" s="2807"/>
      <c r="C159" s="2808"/>
      <c r="D159" s="2809"/>
      <c r="E159" s="2561"/>
      <c r="F159" s="2562"/>
      <c r="G159" s="1015"/>
      <c r="H159" s="524"/>
      <c r="I159" s="1409">
        <f t="shared" si="32"/>
        <v>0</v>
      </c>
      <c r="J159" s="1421">
        <f t="shared" si="33"/>
        <v>0</v>
      </c>
      <c r="K159" s="679"/>
      <c r="L159" s="1002"/>
      <c r="M159" s="1428">
        <f t="shared" si="34"/>
        <v>0</v>
      </c>
      <c r="N159" s="1110"/>
      <c r="O159" s="674">
        <f t="shared" si="35"/>
        <v>0</v>
      </c>
      <c r="P159" s="682"/>
      <c r="Q159" s="286"/>
      <c r="R159" s="287"/>
      <c r="S159" s="280"/>
      <c r="T159" s="280"/>
      <c r="U159" s="280"/>
      <c r="V159" s="280"/>
      <c r="W159" s="280"/>
      <c r="X159" s="280"/>
      <c r="Y159" s="280"/>
      <c r="Z159" s="284"/>
      <c r="AA159" s="284"/>
      <c r="AB159" s="284"/>
      <c r="AC159" s="284"/>
      <c r="AD159" s="284"/>
      <c r="AE159" s="284"/>
      <c r="AF159" s="447"/>
      <c r="AG159" s="447"/>
      <c r="AH159" s="447"/>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82"/>
      <c r="BG159" s="382"/>
      <c r="BH159" s="382"/>
      <c r="BI159" s="382"/>
      <c r="BJ159" s="382"/>
      <c r="BK159" s="382"/>
      <c r="BL159" s="382"/>
      <c r="BM159" s="382"/>
      <c r="BN159" s="382"/>
      <c r="BO159" s="382"/>
    </row>
    <row r="160" spans="1:67" s="88" customFormat="1" ht="10.55" customHeight="1" x14ac:dyDescent="0.2">
      <c r="A160" s="675"/>
      <c r="B160" s="2807"/>
      <c r="C160" s="2808"/>
      <c r="D160" s="2809"/>
      <c r="E160" s="2561"/>
      <c r="F160" s="2562"/>
      <c r="G160" s="1015"/>
      <c r="H160" s="524"/>
      <c r="I160" s="1409">
        <f t="shared" si="32"/>
        <v>0</v>
      </c>
      <c r="J160" s="1421">
        <f t="shared" si="33"/>
        <v>0</v>
      </c>
      <c r="K160" s="679"/>
      <c r="L160" s="1002"/>
      <c r="M160" s="1428">
        <f t="shared" si="34"/>
        <v>0</v>
      </c>
      <c r="N160" s="1110"/>
      <c r="O160" s="674">
        <f t="shared" si="35"/>
        <v>0</v>
      </c>
      <c r="P160" s="682"/>
      <c r="Q160" s="286"/>
      <c r="R160" s="287"/>
      <c r="S160" s="280"/>
      <c r="T160" s="280"/>
      <c r="U160" s="280"/>
      <c r="V160" s="280"/>
      <c r="W160" s="280"/>
      <c r="X160" s="280"/>
      <c r="Y160" s="280"/>
      <c r="Z160" s="284"/>
      <c r="AA160" s="284"/>
      <c r="AB160" s="284"/>
      <c r="AC160" s="284"/>
      <c r="AD160" s="284"/>
      <c r="AE160" s="284"/>
      <c r="AF160" s="447"/>
      <c r="AG160" s="447"/>
      <c r="AH160" s="447"/>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2"/>
      <c r="BG160" s="382"/>
      <c r="BH160" s="382"/>
      <c r="BI160" s="382"/>
      <c r="BJ160" s="382"/>
      <c r="BK160" s="382"/>
      <c r="BL160" s="382"/>
      <c r="BM160" s="382"/>
      <c r="BN160" s="382"/>
      <c r="BO160" s="382"/>
    </row>
    <row r="161" spans="1:67" s="88" customFormat="1" ht="10.55" customHeight="1" x14ac:dyDescent="0.2">
      <c r="A161" s="675"/>
      <c r="B161" s="2807"/>
      <c r="C161" s="2808"/>
      <c r="D161" s="2809"/>
      <c r="E161" s="2561"/>
      <c r="F161" s="2562"/>
      <c r="G161" s="1015"/>
      <c r="H161" s="524"/>
      <c r="I161" s="1409">
        <f t="shared" si="32"/>
        <v>0</v>
      </c>
      <c r="J161" s="1421">
        <f t="shared" si="33"/>
        <v>0</v>
      </c>
      <c r="K161" s="679"/>
      <c r="L161" s="1002"/>
      <c r="M161" s="1428">
        <f t="shared" si="34"/>
        <v>0</v>
      </c>
      <c r="N161" s="1110"/>
      <c r="O161" s="674">
        <f t="shared" si="35"/>
        <v>0</v>
      </c>
      <c r="P161" s="682"/>
      <c r="Q161" s="286"/>
      <c r="R161" s="287"/>
      <c r="S161" s="280"/>
      <c r="T161" s="280"/>
      <c r="U161" s="280"/>
      <c r="V161" s="280"/>
      <c r="W161" s="280"/>
      <c r="X161" s="280"/>
      <c r="Y161" s="280"/>
      <c r="Z161" s="284"/>
      <c r="AA161" s="284"/>
      <c r="AB161" s="284"/>
      <c r="AC161" s="284"/>
      <c r="AD161" s="284"/>
      <c r="AE161" s="284"/>
      <c r="AF161" s="447"/>
      <c r="AG161" s="447"/>
      <c r="AH161" s="447"/>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2"/>
      <c r="BG161" s="382"/>
      <c r="BH161" s="382"/>
      <c r="BI161" s="382"/>
      <c r="BJ161" s="382"/>
      <c r="BK161" s="382"/>
      <c r="BL161" s="382"/>
      <c r="BM161" s="382"/>
      <c r="BN161" s="382"/>
      <c r="BO161" s="382"/>
    </row>
    <row r="162" spans="1:67" s="88" customFormat="1" ht="10.55" customHeight="1" x14ac:dyDescent="0.2">
      <c r="A162" s="675"/>
      <c r="B162" s="2807"/>
      <c r="C162" s="2808"/>
      <c r="D162" s="2809"/>
      <c r="E162" s="2561"/>
      <c r="F162" s="2562"/>
      <c r="G162" s="1015"/>
      <c r="H162" s="524"/>
      <c r="I162" s="1409">
        <f t="shared" si="32"/>
        <v>0</v>
      </c>
      <c r="J162" s="1421">
        <f t="shared" si="33"/>
        <v>0</v>
      </c>
      <c r="K162" s="679"/>
      <c r="L162" s="1002"/>
      <c r="M162" s="1428">
        <f t="shared" si="34"/>
        <v>0</v>
      </c>
      <c r="N162" s="1110"/>
      <c r="O162" s="674">
        <f t="shared" si="35"/>
        <v>0</v>
      </c>
      <c r="P162" s="682"/>
      <c r="Q162" s="286"/>
      <c r="R162" s="287"/>
      <c r="S162" s="280"/>
      <c r="T162" s="280"/>
      <c r="U162" s="280"/>
      <c r="V162" s="280"/>
      <c r="W162" s="280"/>
      <c r="X162" s="280"/>
      <c r="Y162" s="280"/>
      <c r="Z162" s="284"/>
      <c r="AA162" s="284"/>
      <c r="AB162" s="284"/>
      <c r="AC162" s="284"/>
      <c r="AD162" s="284"/>
      <c r="AE162" s="284"/>
      <c r="AF162" s="447"/>
      <c r="AG162" s="447"/>
      <c r="AH162" s="447"/>
      <c r="AI162" s="382"/>
      <c r="AJ162" s="382"/>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2"/>
      <c r="BG162" s="382"/>
      <c r="BH162" s="382"/>
      <c r="BI162" s="382"/>
      <c r="BJ162" s="382"/>
      <c r="BK162" s="382"/>
      <c r="BL162" s="382"/>
      <c r="BM162" s="382"/>
      <c r="BN162" s="382"/>
      <c r="BO162" s="382"/>
    </row>
    <row r="163" spans="1:67" s="88" customFormat="1" ht="10.55" customHeight="1" x14ac:dyDescent="0.2">
      <c r="A163" s="675"/>
      <c r="B163" s="2807"/>
      <c r="C163" s="2808"/>
      <c r="D163" s="2809"/>
      <c r="E163" s="2561"/>
      <c r="F163" s="2562"/>
      <c r="G163" s="1015"/>
      <c r="H163" s="524"/>
      <c r="I163" s="1409">
        <f t="shared" si="32"/>
        <v>0</v>
      </c>
      <c r="J163" s="1421">
        <f t="shared" si="33"/>
        <v>0</v>
      </c>
      <c r="K163" s="679"/>
      <c r="L163" s="1002"/>
      <c r="M163" s="1428">
        <f t="shared" si="34"/>
        <v>0</v>
      </c>
      <c r="N163" s="1110"/>
      <c r="O163" s="674">
        <f t="shared" si="35"/>
        <v>0</v>
      </c>
      <c r="P163" s="682"/>
      <c r="Q163" s="286"/>
      <c r="R163" s="287"/>
      <c r="S163" s="280"/>
      <c r="T163" s="280"/>
      <c r="U163" s="280"/>
      <c r="V163" s="280"/>
      <c r="W163" s="280"/>
      <c r="X163" s="280"/>
      <c r="Y163" s="280"/>
      <c r="Z163" s="284"/>
      <c r="AA163" s="284"/>
      <c r="AB163" s="284"/>
      <c r="AC163" s="284"/>
      <c r="AD163" s="284"/>
      <c r="AE163" s="284"/>
      <c r="AF163" s="447"/>
      <c r="AG163" s="447"/>
      <c r="AH163" s="447"/>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2"/>
      <c r="BG163" s="382"/>
      <c r="BH163" s="382"/>
      <c r="BI163" s="382"/>
      <c r="BJ163" s="382"/>
      <c r="BK163" s="382"/>
      <c r="BL163" s="382"/>
      <c r="BM163" s="382"/>
      <c r="BN163" s="382"/>
      <c r="BO163" s="382"/>
    </row>
    <row r="164" spans="1:67" s="88" customFormat="1" ht="10.55" customHeight="1" x14ac:dyDescent="0.2">
      <c r="A164" s="675"/>
      <c r="B164" s="2807"/>
      <c r="C164" s="2808"/>
      <c r="D164" s="2809"/>
      <c r="E164" s="2561"/>
      <c r="F164" s="2562"/>
      <c r="G164" s="1015"/>
      <c r="H164" s="524"/>
      <c r="I164" s="1409">
        <f t="shared" si="32"/>
        <v>0</v>
      </c>
      <c r="J164" s="1421">
        <f t="shared" si="33"/>
        <v>0</v>
      </c>
      <c r="K164" s="679"/>
      <c r="L164" s="1002"/>
      <c r="M164" s="1428">
        <f t="shared" si="34"/>
        <v>0</v>
      </c>
      <c r="N164" s="1110"/>
      <c r="O164" s="674">
        <f t="shared" si="35"/>
        <v>0</v>
      </c>
      <c r="P164" s="682"/>
      <c r="Q164" s="286"/>
      <c r="R164" s="287"/>
      <c r="S164" s="280"/>
      <c r="T164" s="280"/>
      <c r="U164" s="280"/>
      <c r="V164" s="280"/>
      <c r="W164" s="280"/>
      <c r="X164" s="280"/>
      <c r="Y164" s="280"/>
      <c r="Z164" s="284"/>
      <c r="AA164" s="284"/>
      <c r="AB164" s="284"/>
      <c r="AC164" s="284"/>
      <c r="AD164" s="284"/>
      <c r="AE164" s="284"/>
      <c r="AF164" s="447"/>
      <c r="AG164" s="447"/>
      <c r="AH164" s="447"/>
      <c r="AI164" s="382"/>
      <c r="AJ164" s="382"/>
      <c r="AK164" s="382"/>
      <c r="AL164" s="382"/>
      <c r="AM164" s="382"/>
      <c r="AN164" s="382"/>
      <c r="AO164" s="382"/>
      <c r="AP164" s="382"/>
      <c r="AQ164" s="382"/>
      <c r="AR164" s="382"/>
      <c r="AS164" s="382"/>
      <c r="AT164" s="382"/>
      <c r="AU164" s="382"/>
      <c r="AV164" s="382"/>
      <c r="AW164" s="382"/>
      <c r="AX164" s="382"/>
      <c r="AY164" s="382"/>
      <c r="AZ164" s="382"/>
      <c r="BA164" s="382"/>
      <c r="BB164" s="382"/>
      <c r="BC164" s="382"/>
      <c r="BD164" s="382"/>
      <c r="BE164" s="382"/>
      <c r="BF164" s="382"/>
      <c r="BG164" s="382"/>
      <c r="BH164" s="382"/>
      <c r="BI164" s="382"/>
      <c r="BJ164" s="382"/>
      <c r="BK164" s="382"/>
      <c r="BL164" s="382"/>
      <c r="BM164" s="382"/>
      <c r="BN164" s="382"/>
      <c r="BO164" s="382"/>
    </row>
    <row r="165" spans="1:67" s="88" customFormat="1" ht="10.55" customHeight="1" x14ac:dyDescent="0.2">
      <c r="A165" s="1153"/>
      <c r="B165" s="2884"/>
      <c r="C165" s="2885"/>
      <c r="D165" s="2886"/>
      <c r="E165" s="2793"/>
      <c r="F165" s="2794"/>
      <c r="G165" s="1086"/>
      <c r="H165" s="1087"/>
      <c r="I165" s="1437">
        <f t="shared" si="32"/>
        <v>0</v>
      </c>
      <c r="J165" s="1413"/>
      <c r="K165" s="1088"/>
      <c r="L165" s="1089"/>
      <c r="M165" s="1431">
        <f t="shared" si="34"/>
        <v>0</v>
      </c>
      <c r="N165" s="1110"/>
      <c r="O165" s="674">
        <f t="shared" si="35"/>
        <v>0</v>
      </c>
      <c r="P165" s="682"/>
      <c r="Q165" s="286"/>
      <c r="R165" s="287"/>
      <c r="S165" s="280"/>
      <c r="T165" s="280"/>
      <c r="U165" s="280"/>
      <c r="V165" s="280"/>
      <c r="W165" s="280"/>
      <c r="X165" s="280"/>
      <c r="Y165" s="280"/>
      <c r="Z165" s="284"/>
      <c r="AA165" s="284"/>
      <c r="AB165" s="284"/>
      <c r="AC165" s="284"/>
      <c r="AD165" s="284"/>
      <c r="AE165" s="284"/>
      <c r="AF165" s="447"/>
      <c r="AG165" s="447"/>
      <c r="AH165" s="447"/>
      <c r="AI165" s="382"/>
      <c r="AJ165" s="382"/>
      <c r="AK165" s="382"/>
      <c r="AL165" s="382"/>
      <c r="AM165" s="382"/>
      <c r="AN165" s="382"/>
      <c r="AO165" s="382"/>
      <c r="AP165" s="382"/>
      <c r="AQ165" s="382"/>
      <c r="AR165" s="382"/>
      <c r="AS165" s="382"/>
      <c r="AT165" s="382"/>
      <c r="AU165" s="382"/>
      <c r="AV165" s="382"/>
      <c r="AW165" s="382"/>
      <c r="AX165" s="382"/>
      <c r="AY165" s="382"/>
      <c r="AZ165" s="382"/>
      <c r="BA165" s="382"/>
      <c r="BB165" s="382"/>
      <c r="BC165" s="382"/>
      <c r="BD165" s="382"/>
      <c r="BE165" s="382"/>
      <c r="BF165" s="382"/>
      <c r="BG165" s="382"/>
      <c r="BH165" s="382"/>
      <c r="BI165" s="382"/>
      <c r="BJ165" s="382"/>
      <c r="BK165" s="382"/>
      <c r="BL165" s="382"/>
      <c r="BM165" s="382"/>
      <c r="BN165" s="382"/>
      <c r="BO165" s="382"/>
    </row>
    <row r="166" spans="1:67" s="88" customFormat="1" ht="10.55" customHeight="1" x14ac:dyDescent="0.2">
      <c r="A166" s="1145" t="s">
        <v>368</v>
      </c>
      <c r="B166" s="2783"/>
      <c r="C166" s="2784"/>
      <c r="D166" s="2785"/>
      <c r="E166" s="2810">
        <f>SUM(E167:E179)</f>
        <v>0</v>
      </c>
      <c r="F166" s="2811"/>
      <c r="G166" s="2747"/>
      <c r="H166" s="2748"/>
      <c r="I166" s="1435">
        <f>IF(E166=0,0,J166/E166)</f>
        <v>0</v>
      </c>
      <c r="J166" s="1423">
        <f>SUM(J167:J179)</f>
        <v>0</v>
      </c>
      <c r="K166" s="2749">
        <f>IF(E166=0,0,M166/E166*100)</f>
        <v>0</v>
      </c>
      <c r="L166" s="2750"/>
      <c r="M166" s="1430">
        <f>SUM(M167:M179)</f>
        <v>0</v>
      </c>
      <c r="N166" s="1110"/>
      <c r="O166" s="387">
        <f>IF(H166="",G166,H166)</f>
        <v>0</v>
      </c>
      <c r="P166" s="682"/>
      <c r="Q166" s="286"/>
      <c r="R166" s="287"/>
      <c r="S166" s="280"/>
      <c r="T166" s="280"/>
      <c r="U166" s="280"/>
      <c r="V166" s="280"/>
      <c r="W166" s="280"/>
      <c r="X166" s="280"/>
      <c r="Y166" s="280"/>
      <c r="Z166" s="284"/>
      <c r="AA166" s="284"/>
      <c r="AB166" s="284"/>
      <c r="AC166" s="284"/>
      <c r="AD166" s="284"/>
      <c r="AE166" s="284"/>
      <c r="AF166" s="447"/>
      <c r="AG166" s="447"/>
      <c r="AH166" s="447"/>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2"/>
      <c r="BG166" s="382"/>
      <c r="BH166" s="382"/>
      <c r="BI166" s="382"/>
      <c r="BJ166" s="382"/>
      <c r="BK166" s="382"/>
      <c r="BL166" s="382"/>
      <c r="BM166" s="382"/>
      <c r="BN166" s="382"/>
      <c r="BO166" s="382"/>
    </row>
    <row r="167" spans="1:67" s="88" customFormat="1" ht="10.55" customHeight="1" x14ac:dyDescent="0.2">
      <c r="A167" s="512" t="s">
        <v>369</v>
      </c>
      <c r="B167" s="2790"/>
      <c r="C167" s="2791"/>
      <c r="D167" s="2792"/>
      <c r="E167" s="2734"/>
      <c r="F167" s="2735"/>
      <c r="G167" s="1785">
        <v>30</v>
      </c>
      <c r="H167" s="524"/>
      <c r="I167" s="1409">
        <f t="shared" ref="I167:I180" si="36">IF($O167&gt;0,-PMT(($I$9),$O167,1),0)</f>
        <v>4.7777640736176463E-2</v>
      </c>
      <c r="J167" s="1421">
        <f t="shared" ref="J167:J179" si="37">ROUND(E167*I167,0)</f>
        <v>0</v>
      </c>
      <c r="K167" s="678">
        <v>1</v>
      </c>
      <c r="L167" s="1002"/>
      <c r="M167" s="1428">
        <f t="shared" ref="M167:M180" si="38">ROUND(E167/100*IF(ISBLANK(L167),K167,L167),0)</f>
        <v>0</v>
      </c>
      <c r="N167" s="1110"/>
      <c r="O167" s="674">
        <f t="shared" ref="O167:O180" si="39">IF(ISBLANK(H167),G167,H167)</f>
        <v>30</v>
      </c>
      <c r="P167" s="682"/>
      <c r="Q167" s="286"/>
      <c r="R167" s="287"/>
      <c r="S167" s="280"/>
      <c r="T167" s="280"/>
      <c r="U167" s="280"/>
      <c r="V167" s="280"/>
      <c r="W167" s="280"/>
      <c r="X167" s="280"/>
      <c r="Y167" s="280"/>
      <c r="Z167" s="284"/>
      <c r="AA167" s="284"/>
      <c r="AB167" s="284"/>
      <c r="AC167" s="284"/>
      <c r="AD167" s="284"/>
      <c r="AE167" s="284"/>
      <c r="AF167" s="447"/>
      <c r="AG167" s="447"/>
      <c r="AH167" s="447"/>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2"/>
      <c r="BG167" s="382"/>
      <c r="BH167" s="382"/>
      <c r="BI167" s="382"/>
      <c r="BJ167" s="382"/>
      <c r="BK167" s="382"/>
      <c r="BL167" s="382"/>
      <c r="BM167" s="382"/>
      <c r="BN167" s="382"/>
      <c r="BO167" s="382"/>
    </row>
    <row r="168" spans="1:67" s="88" customFormat="1" ht="10.55" customHeight="1" x14ac:dyDescent="0.2">
      <c r="A168" s="512" t="s">
        <v>370</v>
      </c>
      <c r="B168" s="2807"/>
      <c r="C168" s="2808"/>
      <c r="D168" s="2809"/>
      <c r="E168" s="2561"/>
      <c r="F168" s="2562"/>
      <c r="G168" s="1785">
        <v>40</v>
      </c>
      <c r="H168" s="524"/>
      <c r="I168" s="1409">
        <f t="shared" si="36"/>
        <v>3.9836233162469814E-2</v>
      </c>
      <c r="J168" s="1421">
        <f t="shared" si="37"/>
        <v>0</v>
      </c>
      <c r="K168" s="678">
        <v>1.5</v>
      </c>
      <c r="L168" s="1002"/>
      <c r="M168" s="1428">
        <f t="shared" si="38"/>
        <v>0</v>
      </c>
      <c r="N168" s="1110"/>
      <c r="O168" s="674">
        <f t="shared" si="39"/>
        <v>40</v>
      </c>
      <c r="P168" s="682"/>
      <c r="Q168" s="286"/>
      <c r="R168" s="287"/>
      <c r="S168" s="280"/>
      <c r="T168" s="280"/>
      <c r="U168" s="280"/>
      <c r="V168" s="280"/>
      <c r="W168" s="280"/>
      <c r="X168" s="280"/>
      <c r="Y168" s="280"/>
      <c r="Z168" s="284"/>
      <c r="AA168" s="284"/>
      <c r="AB168" s="284"/>
      <c r="AC168" s="284"/>
      <c r="AD168" s="284"/>
      <c r="AE168" s="284"/>
      <c r="AF168" s="447"/>
      <c r="AG168" s="447"/>
      <c r="AH168" s="447"/>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382"/>
      <c r="BM168" s="382"/>
      <c r="BN168" s="382"/>
      <c r="BO168" s="382"/>
    </row>
    <row r="169" spans="1:67" s="88" customFormat="1" ht="10.55" customHeight="1" x14ac:dyDescent="0.2">
      <c r="A169" s="512" t="s">
        <v>371</v>
      </c>
      <c r="B169" s="2807"/>
      <c r="C169" s="2808"/>
      <c r="D169" s="2809"/>
      <c r="E169" s="2561"/>
      <c r="F169" s="2562"/>
      <c r="G169" s="1785">
        <v>40</v>
      </c>
      <c r="H169" s="524"/>
      <c r="I169" s="1409">
        <f t="shared" si="36"/>
        <v>3.9836233162469814E-2</v>
      </c>
      <c r="J169" s="1421">
        <f t="shared" si="37"/>
        <v>0</v>
      </c>
      <c r="K169" s="678">
        <v>1.5</v>
      </c>
      <c r="L169" s="1002"/>
      <c r="M169" s="1428">
        <f t="shared" si="38"/>
        <v>0</v>
      </c>
      <c r="N169" s="1110"/>
      <c r="O169" s="674">
        <f t="shared" si="39"/>
        <v>40</v>
      </c>
      <c r="P169" s="682"/>
      <c r="Q169" s="286"/>
      <c r="R169" s="287"/>
      <c r="S169" s="280"/>
      <c r="T169" s="280"/>
      <c r="U169" s="280"/>
      <c r="V169" s="280"/>
      <c r="W169" s="280"/>
      <c r="X169" s="280"/>
      <c r="Y169" s="280"/>
      <c r="Z169" s="284"/>
      <c r="AA169" s="284"/>
      <c r="AB169" s="284"/>
      <c r="AC169" s="284"/>
      <c r="AD169" s="284"/>
      <c r="AE169" s="284"/>
      <c r="AF169" s="447"/>
      <c r="AG169" s="447"/>
      <c r="AH169" s="447"/>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2"/>
      <c r="BG169" s="382"/>
      <c r="BH169" s="382"/>
      <c r="BI169" s="382"/>
      <c r="BJ169" s="382"/>
      <c r="BK169" s="382"/>
      <c r="BL169" s="382"/>
      <c r="BM169" s="382"/>
      <c r="BN169" s="382"/>
      <c r="BO169" s="382"/>
    </row>
    <row r="170" spans="1:67" s="88" customFormat="1" ht="10.55" customHeight="1" x14ac:dyDescent="0.2">
      <c r="A170" s="512" t="s">
        <v>372</v>
      </c>
      <c r="B170" s="2807"/>
      <c r="C170" s="2808"/>
      <c r="D170" s="2809"/>
      <c r="E170" s="2561"/>
      <c r="F170" s="2562"/>
      <c r="G170" s="1785">
        <v>40</v>
      </c>
      <c r="H170" s="524"/>
      <c r="I170" s="1409">
        <f t="shared" si="36"/>
        <v>3.9836233162469814E-2</v>
      </c>
      <c r="J170" s="1421">
        <f t="shared" si="37"/>
        <v>0</v>
      </c>
      <c r="K170" s="678">
        <v>1</v>
      </c>
      <c r="L170" s="1002"/>
      <c r="M170" s="1428">
        <f t="shared" si="38"/>
        <v>0</v>
      </c>
      <c r="N170" s="1110"/>
      <c r="O170" s="674">
        <f t="shared" si="39"/>
        <v>40</v>
      </c>
      <c r="P170" s="682"/>
      <c r="Q170" s="286"/>
      <c r="R170" s="287"/>
      <c r="S170" s="280"/>
      <c r="T170" s="280"/>
      <c r="U170" s="280"/>
      <c r="V170" s="280"/>
      <c r="W170" s="280"/>
      <c r="X170" s="280"/>
      <c r="Y170" s="280"/>
      <c r="Z170" s="284"/>
      <c r="AA170" s="284"/>
      <c r="AB170" s="284"/>
      <c r="AC170" s="284"/>
      <c r="AD170" s="284"/>
      <c r="AE170" s="284"/>
      <c r="AF170" s="447"/>
      <c r="AG170" s="447"/>
      <c r="AH170" s="447"/>
      <c r="AI170" s="382"/>
      <c r="AJ170" s="382"/>
      <c r="AK170" s="382"/>
      <c r="AL170" s="382"/>
      <c r="AM170" s="382"/>
      <c r="AN170" s="382"/>
      <c r="AO170" s="382"/>
      <c r="AP170" s="382"/>
      <c r="AQ170" s="382"/>
      <c r="AR170" s="382"/>
      <c r="AS170" s="382"/>
      <c r="AT170" s="382"/>
      <c r="AU170" s="382"/>
      <c r="AV170" s="382"/>
      <c r="AW170" s="382"/>
      <c r="AX170" s="382"/>
      <c r="AY170" s="382"/>
      <c r="AZ170" s="382"/>
      <c r="BA170" s="382"/>
      <c r="BB170" s="382"/>
      <c r="BC170" s="382"/>
      <c r="BD170" s="382"/>
      <c r="BE170" s="382"/>
      <c r="BF170" s="382"/>
      <c r="BG170" s="382"/>
      <c r="BH170" s="382"/>
      <c r="BI170" s="382"/>
      <c r="BJ170" s="382"/>
      <c r="BK170" s="382"/>
      <c r="BL170" s="382"/>
      <c r="BM170" s="382"/>
      <c r="BN170" s="382"/>
      <c r="BO170" s="382"/>
    </row>
    <row r="171" spans="1:67" s="88" customFormat="1" ht="10.55" customHeight="1" x14ac:dyDescent="0.2">
      <c r="A171" s="512" t="s">
        <v>373</v>
      </c>
      <c r="B171" s="2807"/>
      <c r="C171" s="2808"/>
      <c r="D171" s="2809"/>
      <c r="E171" s="2561"/>
      <c r="F171" s="2562"/>
      <c r="G171" s="1785">
        <v>40</v>
      </c>
      <c r="H171" s="524"/>
      <c r="I171" s="1409">
        <f t="shared" si="36"/>
        <v>3.9836233162469814E-2</v>
      </c>
      <c r="J171" s="1421">
        <f t="shared" si="37"/>
        <v>0</v>
      </c>
      <c r="K171" s="678">
        <v>1.5</v>
      </c>
      <c r="L171" s="1002"/>
      <c r="M171" s="1428">
        <f t="shared" si="38"/>
        <v>0</v>
      </c>
      <c r="N171" s="1110"/>
      <c r="O171" s="674">
        <f t="shared" si="39"/>
        <v>40</v>
      </c>
      <c r="P171" s="682"/>
      <c r="Q171" s="286"/>
      <c r="R171" s="287"/>
      <c r="S171" s="280"/>
      <c r="T171" s="280"/>
      <c r="U171" s="280"/>
      <c r="V171" s="280"/>
      <c r="W171" s="280"/>
      <c r="X171" s="280"/>
      <c r="Y171" s="280"/>
      <c r="Z171" s="284"/>
      <c r="AA171" s="284"/>
      <c r="AB171" s="284"/>
      <c r="AC171" s="284"/>
      <c r="AD171" s="284"/>
      <c r="AE171" s="284"/>
      <c r="AF171" s="447"/>
      <c r="AG171" s="447"/>
      <c r="AH171" s="447"/>
      <c r="AI171" s="382"/>
      <c r="AJ171" s="382"/>
      <c r="AK171" s="382"/>
      <c r="AL171" s="382"/>
      <c r="AM171" s="382"/>
      <c r="AN171" s="382"/>
      <c r="AO171" s="382"/>
      <c r="AP171" s="382"/>
      <c r="AQ171" s="382"/>
      <c r="AR171" s="382"/>
      <c r="AS171" s="382"/>
      <c r="AT171" s="382"/>
      <c r="AU171" s="382"/>
      <c r="AV171" s="382"/>
      <c r="AW171" s="382"/>
      <c r="AX171" s="382"/>
      <c r="AY171" s="382"/>
      <c r="AZ171" s="382"/>
      <c r="BA171" s="382"/>
      <c r="BB171" s="382"/>
      <c r="BC171" s="382"/>
      <c r="BD171" s="382"/>
      <c r="BE171" s="382"/>
      <c r="BF171" s="382"/>
      <c r="BG171" s="382"/>
      <c r="BH171" s="382"/>
      <c r="BI171" s="382"/>
      <c r="BJ171" s="382"/>
      <c r="BK171" s="382"/>
      <c r="BL171" s="382"/>
      <c r="BM171" s="382"/>
      <c r="BN171" s="382"/>
      <c r="BO171" s="382"/>
    </row>
    <row r="172" spans="1:67" s="88" customFormat="1" ht="10.55" customHeight="1" x14ac:dyDescent="0.2">
      <c r="A172" s="512" t="s">
        <v>374</v>
      </c>
      <c r="B172" s="2807"/>
      <c r="C172" s="2808"/>
      <c r="D172" s="2809"/>
      <c r="E172" s="2561"/>
      <c r="F172" s="2562"/>
      <c r="G172" s="1785">
        <v>20</v>
      </c>
      <c r="H172" s="524"/>
      <c r="I172" s="1409">
        <f t="shared" si="36"/>
        <v>6.4147128734474465E-2</v>
      </c>
      <c r="J172" s="1421">
        <f t="shared" si="37"/>
        <v>0</v>
      </c>
      <c r="K172" s="678">
        <v>1.5</v>
      </c>
      <c r="L172" s="1002"/>
      <c r="M172" s="1428">
        <f t="shared" si="38"/>
        <v>0</v>
      </c>
      <c r="N172" s="1110"/>
      <c r="O172" s="674">
        <f t="shared" si="39"/>
        <v>20</v>
      </c>
      <c r="P172" s="682"/>
      <c r="Q172" s="286"/>
      <c r="R172" s="287"/>
      <c r="S172" s="280"/>
      <c r="T172" s="280"/>
      <c r="U172" s="280"/>
      <c r="V172" s="280"/>
      <c r="W172" s="280"/>
      <c r="X172" s="280"/>
      <c r="Y172" s="280"/>
      <c r="Z172" s="284"/>
      <c r="AA172" s="284"/>
      <c r="AB172" s="284"/>
      <c r="AC172" s="284"/>
      <c r="AD172" s="284"/>
      <c r="AE172" s="284"/>
      <c r="AF172" s="447"/>
      <c r="AG172" s="447"/>
      <c r="AH172" s="447"/>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382"/>
      <c r="BM172" s="382"/>
      <c r="BN172" s="382"/>
      <c r="BO172" s="382"/>
    </row>
    <row r="173" spans="1:67" s="88" customFormat="1" ht="10.55" customHeight="1" x14ac:dyDescent="0.2">
      <c r="A173" s="512" t="s">
        <v>375</v>
      </c>
      <c r="B173" s="2807"/>
      <c r="C173" s="2808"/>
      <c r="D173" s="2809"/>
      <c r="E173" s="2561"/>
      <c r="F173" s="2562"/>
      <c r="G173" s="1785">
        <v>40</v>
      </c>
      <c r="H173" s="524"/>
      <c r="I173" s="1409">
        <f t="shared" si="36"/>
        <v>3.9836233162469814E-2</v>
      </c>
      <c r="J173" s="1421">
        <f t="shared" si="37"/>
        <v>0</v>
      </c>
      <c r="K173" s="678">
        <v>1</v>
      </c>
      <c r="L173" s="1002"/>
      <c r="M173" s="1428">
        <f t="shared" si="38"/>
        <v>0</v>
      </c>
      <c r="N173" s="1110"/>
      <c r="O173" s="674">
        <f t="shared" si="39"/>
        <v>40</v>
      </c>
      <c r="P173" s="682"/>
      <c r="Q173" s="286"/>
      <c r="R173" s="287"/>
      <c r="S173" s="280"/>
      <c r="T173" s="280"/>
      <c r="U173" s="280"/>
      <c r="V173" s="280"/>
      <c r="W173" s="280"/>
      <c r="X173" s="280"/>
      <c r="Y173" s="280"/>
      <c r="Z173" s="284"/>
      <c r="AA173" s="284"/>
      <c r="AB173" s="284"/>
      <c r="AC173" s="284"/>
      <c r="AD173" s="284"/>
      <c r="AE173" s="284"/>
      <c r="AF173" s="447"/>
      <c r="AG173" s="447"/>
      <c r="AH173" s="447"/>
      <c r="AI173" s="382"/>
      <c r="AJ173" s="382"/>
      <c r="AK173" s="382"/>
      <c r="AL173" s="382"/>
      <c r="AM173" s="382"/>
      <c r="AN173" s="382"/>
      <c r="AO173" s="382"/>
      <c r="AP173" s="382"/>
      <c r="AQ173" s="382"/>
      <c r="AR173" s="382"/>
      <c r="AS173" s="382"/>
      <c r="AT173" s="382"/>
      <c r="AU173" s="382"/>
      <c r="AV173" s="382"/>
      <c r="AW173" s="382"/>
      <c r="AX173" s="382"/>
      <c r="AY173" s="382"/>
      <c r="AZ173" s="382"/>
      <c r="BA173" s="382"/>
      <c r="BB173" s="382"/>
      <c r="BC173" s="382"/>
      <c r="BD173" s="382"/>
      <c r="BE173" s="382"/>
      <c r="BF173" s="382"/>
      <c r="BG173" s="382"/>
      <c r="BH173" s="382"/>
      <c r="BI173" s="382"/>
      <c r="BJ173" s="382"/>
      <c r="BK173" s="382"/>
      <c r="BL173" s="382"/>
      <c r="BM173" s="382"/>
      <c r="BN173" s="382"/>
      <c r="BO173" s="382"/>
    </row>
    <row r="174" spans="1:67" s="88" customFormat="1" ht="10.55" customHeight="1" x14ac:dyDescent="0.2">
      <c r="A174" s="512" t="s">
        <v>333</v>
      </c>
      <c r="B174" s="2807"/>
      <c r="C174" s="2808"/>
      <c r="D174" s="2809"/>
      <c r="E174" s="2561"/>
      <c r="F174" s="2562"/>
      <c r="G174" s="1785">
        <v>20</v>
      </c>
      <c r="H174" s="524"/>
      <c r="I174" s="1409">
        <f t="shared" si="36"/>
        <v>6.4147128734474465E-2</v>
      </c>
      <c r="J174" s="1421">
        <f t="shared" si="37"/>
        <v>0</v>
      </c>
      <c r="K174" s="678">
        <v>8</v>
      </c>
      <c r="L174" s="1002"/>
      <c r="M174" s="1428">
        <f t="shared" si="38"/>
        <v>0</v>
      </c>
      <c r="N174" s="1110"/>
      <c r="O174" s="674">
        <f t="shared" si="39"/>
        <v>20</v>
      </c>
      <c r="P174" s="682"/>
      <c r="Q174" s="286"/>
      <c r="R174" s="287"/>
      <c r="S174" s="280"/>
      <c r="T174" s="280"/>
      <c r="U174" s="280"/>
      <c r="V174" s="280"/>
      <c r="W174" s="280"/>
      <c r="X174" s="280"/>
      <c r="Y174" s="280"/>
      <c r="Z174" s="284"/>
      <c r="AA174" s="284"/>
      <c r="AB174" s="284"/>
      <c r="AC174" s="284"/>
      <c r="AD174" s="284"/>
      <c r="AE174" s="284"/>
      <c r="AF174" s="447"/>
      <c r="AG174" s="447"/>
      <c r="AH174" s="447"/>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row>
    <row r="175" spans="1:67" s="88" customFormat="1" ht="10.55" customHeight="1" x14ac:dyDescent="0.2">
      <c r="A175" s="512" t="s">
        <v>334</v>
      </c>
      <c r="B175" s="2807"/>
      <c r="C175" s="2808"/>
      <c r="D175" s="2809"/>
      <c r="E175" s="2561"/>
      <c r="F175" s="2562"/>
      <c r="G175" s="1785">
        <v>30</v>
      </c>
      <c r="H175" s="524"/>
      <c r="I175" s="1409">
        <f t="shared" si="36"/>
        <v>4.7777640736176463E-2</v>
      </c>
      <c r="J175" s="1421">
        <f t="shared" si="37"/>
        <v>0</v>
      </c>
      <c r="K175" s="678"/>
      <c r="L175" s="1002"/>
      <c r="M175" s="1428">
        <f t="shared" si="38"/>
        <v>0</v>
      </c>
      <c r="N175" s="1110"/>
      <c r="O175" s="674">
        <f t="shared" si="39"/>
        <v>30</v>
      </c>
      <c r="P175" s="682"/>
      <c r="Q175" s="286"/>
      <c r="R175" s="287"/>
      <c r="S175" s="280"/>
      <c r="T175" s="280"/>
      <c r="U175" s="280"/>
      <c r="V175" s="280"/>
      <c r="W175" s="280"/>
      <c r="X175" s="280"/>
      <c r="Y175" s="280"/>
      <c r="Z175" s="284"/>
      <c r="AA175" s="284"/>
      <c r="AB175" s="284"/>
      <c r="AC175" s="284"/>
      <c r="AD175" s="284"/>
      <c r="AE175" s="284"/>
      <c r="AF175" s="447"/>
      <c r="AG175" s="447"/>
      <c r="AH175" s="447"/>
      <c r="AI175" s="382"/>
      <c r="AJ175" s="382"/>
      <c r="AK175" s="382"/>
      <c r="AL175" s="382"/>
      <c r="AM175" s="382"/>
      <c r="AN175" s="382"/>
      <c r="AO175" s="382"/>
      <c r="AP175" s="382"/>
      <c r="AQ175" s="382"/>
      <c r="AR175" s="382"/>
      <c r="AS175" s="382"/>
      <c r="AT175" s="382"/>
      <c r="AU175" s="382"/>
      <c r="AV175" s="382"/>
      <c r="AW175" s="382"/>
      <c r="AX175" s="382"/>
      <c r="AY175" s="382"/>
      <c r="AZ175" s="382"/>
      <c r="BA175" s="382"/>
      <c r="BB175" s="382"/>
      <c r="BC175" s="382"/>
      <c r="BD175" s="382"/>
      <c r="BE175" s="382"/>
      <c r="BF175" s="382"/>
      <c r="BG175" s="382"/>
      <c r="BH175" s="382"/>
      <c r="BI175" s="382"/>
      <c r="BJ175" s="382"/>
      <c r="BK175" s="382"/>
      <c r="BL175" s="382"/>
      <c r="BM175" s="382"/>
      <c r="BN175" s="382"/>
      <c r="BO175" s="382"/>
    </row>
    <row r="176" spans="1:67" s="88" customFormat="1" ht="10.55" customHeight="1" x14ac:dyDescent="0.2">
      <c r="A176" s="675"/>
      <c r="B176" s="2807"/>
      <c r="C176" s="2808"/>
      <c r="D176" s="2809"/>
      <c r="E176" s="2561"/>
      <c r="F176" s="2562"/>
      <c r="G176" s="1015"/>
      <c r="H176" s="524"/>
      <c r="I176" s="1409">
        <f t="shared" si="36"/>
        <v>0</v>
      </c>
      <c r="J176" s="1421">
        <f t="shared" si="37"/>
        <v>0</v>
      </c>
      <c r="K176" s="679"/>
      <c r="L176" s="1002"/>
      <c r="M176" s="1428">
        <f t="shared" si="38"/>
        <v>0</v>
      </c>
      <c r="N176" s="1110"/>
      <c r="O176" s="674">
        <f t="shared" si="39"/>
        <v>0</v>
      </c>
      <c r="P176" s="682"/>
      <c r="Q176" s="286"/>
      <c r="R176" s="287"/>
      <c r="S176" s="280"/>
      <c r="T176" s="280"/>
      <c r="U176" s="280"/>
      <c r="V176" s="280"/>
      <c r="W176" s="280"/>
      <c r="X176" s="280"/>
      <c r="Y176" s="280"/>
      <c r="Z176" s="284"/>
      <c r="AA176" s="284"/>
      <c r="AB176" s="284"/>
      <c r="AC176" s="284"/>
      <c r="AD176" s="284"/>
      <c r="AE176" s="284"/>
      <c r="AF176" s="447"/>
      <c r="AG176" s="447"/>
      <c r="AH176" s="447"/>
      <c r="AI176" s="382"/>
      <c r="AJ176" s="382"/>
      <c r="AK176" s="382"/>
      <c r="AL176" s="382"/>
      <c r="AM176" s="382"/>
      <c r="AN176" s="382"/>
      <c r="AO176" s="382"/>
      <c r="AP176" s="382"/>
      <c r="AQ176" s="382"/>
      <c r="AR176" s="382"/>
      <c r="AS176" s="382"/>
      <c r="AT176" s="382"/>
      <c r="AU176" s="382"/>
      <c r="AV176" s="382"/>
      <c r="AW176" s="382"/>
      <c r="AX176" s="382"/>
      <c r="AY176" s="382"/>
      <c r="AZ176" s="382"/>
      <c r="BA176" s="382"/>
      <c r="BB176" s="382"/>
      <c r="BC176" s="382"/>
      <c r="BD176" s="382"/>
      <c r="BE176" s="382"/>
      <c r="BF176" s="382"/>
      <c r="BG176" s="382"/>
      <c r="BH176" s="382"/>
      <c r="BI176" s="382"/>
      <c r="BJ176" s="382"/>
      <c r="BK176" s="382"/>
      <c r="BL176" s="382"/>
      <c r="BM176" s="382"/>
      <c r="BN176" s="382"/>
      <c r="BO176" s="382"/>
    </row>
    <row r="177" spans="1:67" s="88" customFormat="1" ht="10.55" customHeight="1" x14ac:dyDescent="0.2">
      <c r="A177" s="675"/>
      <c r="B177" s="2807"/>
      <c r="C177" s="2808"/>
      <c r="D177" s="2809"/>
      <c r="E177" s="2561"/>
      <c r="F177" s="2562"/>
      <c r="G177" s="1015"/>
      <c r="H177" s="524"/>
      <c r="I177" s="1409">
        <f t="shared" si="36"/>
        <v>0</v>
      </c>
      <c r="J177" s="1421">
        <f t="shared" si="37"/>
        <v>0</v>
      </c>
      <c r="K177" s="679"/>
      <c r="L177" s="1002"/>
      <c r="M177" s="1428">
        <f t="shared" si="38"/>
        <v>0</v>
      </c>
      <c r="N177" s="1110"/>
      <c r="O177" s="674">
        <f t="shared" si="39"/>
        <v>0</v>
      </c>
      <c r="P177" s="682"/>
      <c r="Q177" s="286"/>
      <c r="R177" s="287"/>
      <c r="S177" s="280"/>
      <c r="T177" s="280"/>
      <c r="U177" s="280"/>
      <c r="V177" s="280"/>
      <c r="W177" s="280"/>
      <c r="X177" s="280"/>
      <c r="Y177" s="280"/>
      <c r="Z177" s="284"/>
      <c r="AA177" s="284"/>
      <c r="AB177" s="284"/>
      <c r="AC177" s="284"/>
      <c r="AD177" s="284"/>
      <c r="AE177" s="284"/>
      <c r="AF177" s="447"/>
      <c r="AG177" s="447"/>
      <c r="AH177" s="447"/>
      <c r="AI177" s="382"/>
      <c r="AJ177" s="382"/>
      <c r="AK177" s="382"/>
      <c r="AL177" s="382"/>
      <c r="AM177" s="382"/>
      <c r="AN177" s="382"/>
      <c r="AO177" s="382"/>
      <c r="AP177" s="382"/>
      <c r="AQ177" s="382"/>
      <c r="AR177" s="382"/>
      <c r="AS177" s="382"/>
      <c r="AT177" s="382"/>
      <c r="AU177" s="382"/>
      <c r="AV177" s="382"/>
      <c r="AW177" s="382"/>
      <c r="AX177" s="382"/>
      <c r="AY177" s="382"/>
      <c r="AZ177" s="382"/>
      <c r="BA177" s="382"/>
      <c r="BB177" s="382"/>
      <c r="BC177" s="382"/>
      <c r="BD177" s="382"/>
      <c r="BE177" s="382"/>
      <c r="BF177" s="382"/>
      <c r="BG177" s="382"/>
      <c r="BH177" s="382"/>
      <c r="BI177" s="382"/>
      <c r="BJ177" s="382"/>
      <c r="BK177" s="382"/>
      <c r="BL177" s="382"/>
      <c r="BM177" s="382"/>
      <c r="BN177" s="382"/>
      <c r="BO177" s="382"/>
    </row>
    <row r="178" spans="1:67" s="88" customFormat="1" ht="10.55" customHeight="1" x14ac:dyDescent="0.2">
      <c r="A178" s="675"/>
      <c r="B178" s="2807"/>
      <c r="C178" s="2808"/>
      <c r="D178" s="2809"/>
      <c r="E178" s="2561"/>
      <c r="F178" s="2562"/>
      <c r="G178" s="1015"/>
      <c r="H178" s="524"/>
      <c r="I178" s="1409">
        <f t="shared" si="36"/>
        <v>0</v>
      </c>
      <c r="J178" s="1421">
        <f t="shared" si="37"/>
        <v>0</v>
      </c>
      <c r="K178" s="679"/>
      <c r="L178" s="1002"/>
      <c r="M178" s="1428">
        <f t="shared" si="38"/>
        <v>0</v>
      </c>
      <c r="N178" s="1110"/>
      <c r="O178" s="674">
        <f t="shared" si="39"/>
        <v>0</v>
      </c>
      <c r="P178" s="682"/>
      <c r="Q178" s="286"/>
      <c r="R178" s="287"/>
      <c r="S178" s="280"/>
      <c r="T178" s="280"/>
      <c r="U178" s="280"/>
      <c r="V178" s="280"/>
      <c r="W178" s="280"/>
      <c r="X178" s="280"/>
      <c r="Y178" s="280"/>
      <c r="Z178" s="284"/>
      <c r="AA178" s="284"/>
      <c r="AB178" s="284"/>
      <c r="AC178" s="284"/>
      <c r="AD178" s="284"/>
      <c r="AE178" s="284"/>
      <c r="AF178" s="447"/>
      <c r="AG178" s="447"/>
      <c r="AH178" s="447"/>
      <c r="AI178" s="382"/>
      <c r="AJ178" s="382"/>
      <c r="AK178" s="382"/>
      <c r="AL178" s="382"/>
      <c r="AM178" s="382"/>
      <c r="AN178" s="382"/>
      <c r="AO178" s="382"/>
      <c r="AP178" s="382"/>
      <c r="AQ178" s="382"/>
      <c r="AR178" s="382"/>
      <c r="AS178" s="382"/>
      <c r="AT178" s="382"/>
      <c r="AU178" s="382"/>
      <c r="AV178" s="382"/>
      <c r="AW178" s="382"/>
      <c r="AX178" s="382"/>
      <c r="AY178" s="382"/>
      <c r="AZ178" s="382"/>
      <c r="BA178" s="382"/>
      <c r="BB178" s="382"/>
      <c r="BC178" s="382"/>
      <c r="BD178" s="382"/>
      <c r="BE178" s="382"/>
      <c r="BF178" s="382"/>
      <c r="BG178" s="382"/>
      <c r="BH178" s="382"/>
      <c r="BI178" s="382"/>
      <c r="BJ178" s="382"/>
      <c r="BK178" s="382"/>
      <c r="BL178" s="382"/>
      <c r="BM178" s="382"/>
      <c r="BN178" s="382"/>
      <c r="BO178" s="382"/>
    </row>
    <row r="179" spans="1:67" s="88" customFormat="1" ht="10.55" customHeight="1" x14ac:dyDescent="0.2">
      <c r="A179" s="675"/>
      <c r="B179" s="2807"/>
      <c r="C179" s="2808"/>
      <c r="D179" s="2809"/>
      <c r="E179" s="2561"/>
      <c r="F179" s="2562"/>
      <c r="G179" s="1015"/>
      <c r="H179" s="524"/>
      <c r="I179" s="1409">
        <f t="shared" si="36"/>
        <v>0</v>
      </c>
      <c r="J179" s="1421">
        <f t="shared" si="37"/>
        <v>0</v>
      </c>
      <c r="K179" s="679"/>
      <c r="L179" s="1002"/>
      <c r="M179" s="1428">
        <f t="shared" si="38"/>
        <v>0</v>
      </c>
      <c r="N179" s="1110"/>
      <c r="O179" s="674">
        <f t="shared" si="39"/>
        <v>0</v>
      </c>
      <c r="P179" s="682"/>
      <c r="Q179" s="286"/>
      <c r="R179" s="287"/>
      <c r="S179" s="280"/>
      <c r="T179" s="280"/>
      <c r="U179" s="280"/>
      <c r="V179" s="280"/>
      <c r="W179" s="280"/>
      <c r="X179" s="280"/>
      <c r="Y179" s="280"/>
      <c r="Z179" s="284"/>
      <c r="AA179" s="284"/>
      <c r="AB179" s="284"/>
      <c r="AC179" s="284"/>
      <c r="AD179" s="284"/>
      <c r="AE179" s="284"/>
      <c r="AF179" s="447"/>
      <c r="AG179" s="447"/>
      <c r="AH179" s="447"/>
      <c r="AI179" s="382"/>
      <c r="AJ179" s="382"/>
      <c r="AK179" s="382"/>
      <c r="AL179" s="382"/>
      <c r="AM179" s="382"/>
      <c r="AN179" s="382"/>
      <c r="AO179" s="382"/>
      <c r="AP179" s="382"/>
      <c r="AQ179" s="382"/>
      <c r="AR179" s="382"/>
      <c r="AS179" s="382"/>
      <c r="AT179" s="382"/>
      <c r="AU179" s="382"/>
      <c r="AV179" s="382"/>
      <c r="AW179" s="382"/>
      <c r="AX179" s="382"/>
      <c r="AY179" s="382"/>
      <c r="AZ179" s="382"/>
      <c r="BA179" s="382"/>
      <c r="BB179" s="382"/>
      <c r="BC179" s="382"/>
      <c r="BD179" s="382"/>
      <c r="BE179" s="382"/>
      <c r="BF179" s="382"/>
      <c r="BG179" s="382"/>
      <c r="BH179" s="382"/>
      <c r="BI179" s="382"/>
      <c r="BJ179" s="382"/>
      <c r="BK179" s="382"/>
      <c r="BL179" s="382"/>
      <c r="BM179" s="382"/>
      <c r="BN179" s="382"/>
      <c r="BO179" s="382"/>
    </row>
    <row r="180" spans="1:67" s="88" customFormat="1" ht="10.55" customHeight="1" x14ac:dyDescent="0.2">
      <c r="A180" s="511"/>
      <c r="B180" s="2884"/>
      <c r="C180" s="2885"/>
      <c r="D180" s="2886"/>
      <c r="E180" s="2793"/>
      <c r="F180" s="2794"/>
      <c r="G180" s="1018"/>
      <c r="H180" s="1019"/>
      <c r="I180" s="1436">
        <f t="shared" si="36"/>
        <v>0</v>
      </c>
      <c r="J180" s="1422"/>
      <c r="K180" s="680"/>
      <c r="L180" s="1020"/>
      <c r="M180" s="1429">
        <f t="shared" si="38"/>
        <v>0</v>
      </c>
      <c r="N180" s="1110"/>
      <c r="O180" s="674">
        <f t="shared" si="39"/>
        <v>0</v>
      </c>
      <c r="P180" s="682"/>
      <c r="Q180" s="286"/>
      <c r="R180" s="287"/>
      <c r="S180" s="280"/>
      <c r="T180" s="280"/>
      <c r="U180" s="280"/>
      <c r="V180" s="280"/>
      <c r="W180" s="280"/>
      <c r="X180" s="280"/>
      <c r="Y180" s="280"/>
      <c r="Z180" s="284"/>
      <c r="AA180" s="284"/>
      <c r="AB180" s="284"/>
      <c r="AC180" s="284"/>
      <c r="AD180" s="284"/>
      <c r="AE180" s="284"/>
      <c r="AF180" s="447"/>
      <c r="AG180" s="447"/>
      <c r="AH180" s="447"/>
      <c r="AI180" s="382"/>
      <c r="AJ180" s="382"/>
      <c r="AK180" s="382"/>
      <c r="AL180" s="382"/>
      <c r="AM180" s="382"/>
      <c r="AN180" s="382"/>
      <c r="AO180" s="382"/>
      <c r="AP180" s="382"/>
      <c r="AQ180" s="382"/>
      <c r="AR180" s="382"/>
      <c r="AS180" s="382"/>
      <c r="AT180" s="382"/>
      <c r="AU180" s="382"/>
      <c r="AV180" s="382"/>
      <c r="AW180" s="382"/>
      <c r="AX180" s="382"/>
      <c r="AY180" s="382"/>
      <c r="AZ180" s="382"/>
      <c r="BA180" s="382"/>
      <c r="BB180" s="382"/>
      <c r="BC180" s="382"/>
      <c r="BD180" s="382"/>
      <c r="BE180" s="382"/>
      <c r="BF180" s="382"/>
      <c r="BG180" s="382"/>
      <c r="BH180" s="382"/>
      <c r="BI180" s="382"/>
      <c r="BJ180" s="382"/>
      <c r="BK180" s="382"/>
      <c r="BL180" s="382"/>
      <c r="BM180" s="382"/>
      <c r="BN180" s="382"/>
      <c r="BO180" s="382"/>
    </row>
    <row r="181" spans="1:67" s="88" customFormat="1" ht="10.55" customHeight="1" x14ac:dyDescent="0.2">
      <c r="A181" s="1145" t="s">
        <v>376</v>
      </c>
      <c r="B181" s="2783"/>
      <c r="C181" s="2784"/>
      <c r="D181" s="2785"/>
      <c r="E181" s="2810">
        <f>SUM(E182:E194)</f>
        <v>0</v>
      </c>
      <c r="F181" s="2811"/>
      <c r="G181" s="2747"/>
      <c r="H181" s="2748"/>
      <c r="I181" s="1435">
        <f>IF(E181=0,0,J181/E181)</f>
        <v>0</v>
      </c>
      <c r="J181" s="1423">
        <f>SUM(J182:J194)</f>
        <v>0</v>
      </c>
      <c r="K181" s="2749">
        <f>IF(E181=0,0,M181/E181*100)</f>
        <v>0</v>
      </c>
      <c r="L181" s="2750"/>
      <c r="M181" s="1430">
        <f>SUM(M182:M194)</f>
        <v>0</v>
      </c>
      <c r="N181" s="1110"/>
      <c r="O181" s="387">
        <f>IF(H181="",G181,H181)</f>
        <v>0</v>
      </c>
      <c r="P181" s="682"/>
      <c r="Q181" s="286"/>
      <c r="R181" s="287"/>
      <c r="S181" s="280"/>
      <c r="T181" s="280"/>
      <c r="U181" s="280"/>
      <c r="V181" s="280"/>
      <c r="W181" s="280"/>
      <c r="X181" s="280"/>
      <c r="Y181" s="280"/>
      <c r="Z181" s="284"/>
      <c r="AA181" s="284"/>
      <c r="AB181" s="284"/>
      <c r="AC181" s="284"/>
      <c r="AD181" s="284"/>
      <c r="AE181" s="284"/>
      <c r="AF181" s="447"/>
      <c r="AG181" s="447"/>
      <c r="AH181" s="447"/>
      <c r="AI181" s="382"/>
      <c r="AJ181" s="382"/>
      <c r="AK181" s="382"/>
      <c r="AL181" s="382"/>
      <c r="AM181" s="382"/>
      <c r="AN181" s="382"/>
      <c r="AO181" s="382"/>
      <c r="AP181" s="382"/>
      <c r="AQ181" s="382"/>
      <c r="AR181" s="382"/>
      <c r="AS181" s="382"/>
      <c r="AT181" s="382"/>
      <c r="AU181" s="382"/>
      <c r="AV181" s="382"/>
      <c r="AW181" s="382"/>
      <c r="AX181" s="382"/>
      <c r="AY181" s="382"/>
      <c r="AZ181" s="382"/>
      <c r="BA181" s="382"/>
      <c r="BB181" s="382"/>
      <c r="BC181" s="382"/>
      <c r="BD181" s="382"/>
      <c r="BE181" s="382"/>
      <c r="BF181" s="382"/>
      <c r="BG181" s="382"/>
      <c r="BH181" s="382"/>
      <c r="BI181" s="382"/>
      <c r="BJ181" s="382"/>
      <c r="BK181" s="382"/>
      <c r="BL181" s="382"/>
      <c r="BM181" s="382"/>
      <c r="BN181" s="382"/>
      <c r="BO181" s="382"/>
    </row>
    <row r="182" spans="1:67" s="88" customFormat="1" ht="10.55" customHeight="1" x14ac:dyDescent="0.2">
      <c r="A182" s="1013" t="s">
        <v>836</v>
      </c>
      <c r="B182" s="2790"/>
      <c r="C182" s="2791"/>
      <c r="D182" s="2792"/>
      <c r="E182" s="2734"/>
      <c r="F182" s="2735"/>
      <c r="G182" s="1785">
        <v>25</v>
      </c>
      <c r="H182" s="524"/>
      <c r="I182" s="1409">
        <f t="shared" ref="I182:I195" si="40">IF($O182&gt;0,-PMT(($I$9),$O182,1),0)</f>
        <v>5.4275921045792611E-2</v>
      </c>
      <c r="J182" s="1421">
        <f t="shared" ref="J182:J194" si="41">ROUND(E182*I182,0)</f>
        <v>0</v>
      </c>
      <c r="K182" s="678">
        <v>4</v>
      </c>
      <c r="L182" s="1002"/>
      <c r="M182" s="1428">
        <f t="shared" ref="M182:M195" si="42">ROUND(E182/100*IF(ISBLANK(L182),K182,L182),0)</f>
        <v>0</v>
      </c>
      <c r="N182" s="1110"/>
      <c r="O182" s="674">
        <f t="shared" ref="O182:O195" si="43">IF(ISBLANK(H182),G182,H182)</f>
        <v>25</v>
      </c>
      <c r="P182" s="682"/>
      <c r="Q182" s="286"/>
      <c r="R182" s="287"/>
      <c r="S182" s="280"/>
      <c r="T182" s="280"/>
      <c r="U182" s="280"/>
      <c r="V182" s="280"/>
      <c r="W182" s="280"/>
      <c r="X182" s="280"/>
      <c r="Y182" s="280"/>
      <c r="Z182" s="284"/>
      <c r="AA182" s="284"/>
      <c r="AB182" s="284"/>
      <c r="AC182" s="284"/>
      <c r="AD182" s="284"/>
      <c r="AE182" s="284"/>
      <c r="AF182" s="447"/>
      <c r="AG182" s="447"/>
      <c r="AH182" s="447"/>
      <c r="AI182" s="382"/>
      <c r="AJ182" s="382"/>
      <c r="AK182" s="382"/>
      <c r="AL182" s="382"/>
      <c r="AM182" s="382"/>
      <c r="AN182" s="382"/>
      <c r="AO182" s="382"/>
      <c r="AP182" s="382"/>
      <c r="AQ182" s="382"/>
      <c r="AR182" s="382"/>
      <c r="AS182" s="382"/>
      <c r="AT182" s="382"/>
      <c r="AU182" s="382"/>
      <c r="AV182" s="382"/>
      <c r="AW182" s="382"/>
      <c r="AX182" s="382"/>
      <c r="AY182" s="382"/>
      <c r="AZ182" s="382"/>
      <c r="BA182" s="382"/>
      <c r="BB182" s="382"/>
      <c r="BC182" s="382"/>
      <c r="BD182" s="382"/>
      <c r="BE182" s="382"/>
      <c r="BF182" s="382"/>
      <c r="BG182" s="382"/>
      <c r="BH182" s="382"/>
      <c r="BI182" s="382"/>
      <c r="BJ182" s="382"/>
      <c r="BK182" s="382"/>
      <c r="BL182" s="382"/>
      <c r="BM182" s="382"/>
      <c r="BN182" s="382"/>
      <c r="BO182" s="382"/>
    </row>
    <row r="183" spans="1:67" s="88" customFormat="1" ht="10.55" customHeight="1" x14ac:dyDescent="0.2">
      <c r="A183" s="1013" t="s">
        <v>377</v>
      </c>
      <c r="B183" s="2807"/>
      <c r="C183" s="2808"/>
      <c r="D183" s="2809"/>
      <c r="E183" s="2561"/>
      <c r="F183" s="2562"/>
      <c r="G183" s="1785">
        <v>25</v>
      </c>
      <c r="H183" s="524"/>
      <c r="I183" s="1409">
        <f t="shared" si="40"/>
        <v>5.4275921045792611E-2</v>
      </c>
      <c r="J183" s="1421">
        <f t="shared" si="41"/>
        <v>0</v>
      </c>
      <c r="K183" s="678">
        <v>2</v>
      </c>
      <c r="L183" s="1002"/>
      <c r="M183" s="1428">
        <f t="shared" si="42"/>
        <v>0</v>
      </c>
      <c r="N183" s="1110"/>
      <c r="O183" s="674">
        <f t="shared" si="43"/>
        <v>25</v>
      </c>
      <c r="P183" s="682"/>
      <c r="Q183" s="286"/>
      <c r="R183" s="287"/>
      <c r="S183" s="280"/>
      <c r="T183" s="280"/>
      <c r="U183" s="280"/>
      <c r="V183" s="280"/>
      <c r="W183" s="280"/>
      <c r="X183" s="280"/>
      <c r="Y183" s="280"/>
      <c r="Z183" s="284"/>
      <c r="AA183" s="284"/>
      <c r="AB183" s="284"/>
      <c r="AC183" s="284"/>
      <c r="AD183" s="284"/>
      <c r="AE183" s="284"/>
      <c r="AF183" s="447"/>
      <c r="AG183" s="447"/>
      <c r="AH183" s="447"/>
      <c r="AI183" s="382"/>
      <c r="AJ183" s="382"/>
      <c r="AK183" s="382"/>
      <c r="AL183" s="382"/>
      <c r="AM183" s="382"/>
      <c r="AN183" s="382"/>
      <c r="AO183" s="382"/>
      <c r="AP183" s="382"/>
      <c r="AQ183" s="382"/>
      <c r="AR183" s="382"/>
      <c r="AS183" s="382"/>
      <c r="AT183" s="382"/>
      <c r="AU183" s="382"/>
      <c r="AV183" s="382"/>
      <c r="AW183" s="382"/>
      <c r="AX183" s="382"/>
      <c r="AY183" s="382"/>
      <c r="AZ183" s="382"/>
      <c r="BA183" s="382"/>
      <c r="BB183" s="382"/>
      <c r="BC183" s="382"/>
      <c r="BD183" s="382"/>
      <c r="BE183" s="382"/>
      <c r="BF183" s="382"/>
      <c r="BG183" s="382"/>
      <c r="BH183" s="382"/>
      <c r="BI183" s="382"/>
      <c r="BJ183" s="382"/>
      <c r="BK183" s="382"/>
      <c r="BL183" s="382"/>
      <c r="BM183" s="382"/>
      <c r="BN183" s="382"/>
      <c r="BO183" s="382"/>
    </row>
    <row r="184" spans="1:67" s="88" customFormat="1" ht="10.55" customHeight="1" x14ac:dyDescent="0.2">
      <c r="A184" s="1013" t="s">
        <v>378</v>
      </c>
      <c r="B184" s="2807"/>
      <c r="C184" s="2808"/>
      <c r="D184" s="2809"/>
      <c r="E184" s="2561"/>
      <c r="F184" s="2562"/>
      <c r="G184" s="1785">
        <v>15</v>
      </c>
      <c r="H184" s="524"/>
      <c r="I184" s="1409">
        <f t="shared" si="40"/>
        <v>8.0766456051533542E-2</v>
      </c>
      <c r="J184" s="1421">
        <f t="shared" si="41"/>
        <v>0</v>
      </c>
      <c r="K184" s="678">
        <v>1</v>
      </c>
      <c r="L184" s="1002"/>
      <c r="M184" s="1428">
        <f t="shared" si="42"/>
        <v>0</v>
      </c>
      <c r="N184" s="1110"/>
      <c r="O184" s="674">
        <f t="shared" si="43"/>
        <v>15</v>
      </c>
      <c r="P184" s="682"/>
      <c r="Q184" s="286"/>
      <c r="R184" s="287"/>
      <c r="S184" s="280"/>
      <c r="T184" s="280"/>
      <c r="U184" s="280"/>
      <c r="V184" s="280"/>
      <c r="W184" s="280"/>
      <c r="X184" s="280"/>
      <c r="Y184" s="280"/>
      <c r="Z184" s="284"/>
      <c r="AA184" s="284"/>
      <c r="AB184" s="284"/>
      <c r="AC184" s="284"/>
      <c r="AD184" s="284"/>
      <c r="AE184" s="284"/>
      <c r="AF184" s="447"/>
      <c r="AG184" s="447"/>
      <c r="AH184" s="447"/>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382"/>
      <c r="BM184" s="382"/>
      <c r="BN184" s="382"/>
      <c r="BO184" s="382"/>
    </row>
    <row r="185" spans="1:67" s="88" customFormat="1" ht="10.55" customHeight="1" x14ac:dyDescent="0.2">
      <c r="A185" s="1013" t="s">
        <v>379</v>
      </c>
      <c r="B185" s="2807"/>
      <c r="C185" s="2808"/>
      <c r="D185" s="2809"/>
      <c r="E185" s="2561"/>
      <c r="F185" s="2562"/>
      <c r="G185" s="1785">
        <v>40</v>
      </c>
      <c r="H185" s="524"/>
      <c r="I185" s="1409">
        <f t="shared" si="40"/>
        <v>3.9836233162469814E-2</v>
      </c>
      <c r="J185" s="1421">
        <f t="shared" si="41"/>
        <v>0</v>
      </c>
      <c r="K185" s="678">
        <v>1</v>
      </c>
      <c r="L185" s="1002"/>
      <c r="M185" s="1428">
        <f t="shared" si="42"/>
        <v>0</v>
      </c>
      <c r="N185" s="1110"/>
      <c r="O185" s="674">
        <f t="shared" si="43"/>
        <v>40</v>
      </c>
      <c r="P185" s="682"/>
      <c r="Q185" s="286"/>
      <c r="R185" s="287"/>
      <c r="S185" s="280"/>
      <c r="T185" s="280"/>
      <c r="U185" s="280"/>
      <c r="V185" s="280"/>
      <c r="W185" s="280"/>
      <c r="X185" s="280"/>
      <c r="Y185" s="280"/>
      <c r="Z185" s="284"/>
      <c r="AA185" s="284"/>
      <c r="AB185" s="284"/>
      <c r="AC185" s="284"/>
      <c r="AD185" s="284"/>
      <c r="AE185" s="284"/>
      <c r="AF185" s="447"/>
      <c r="AG185" s="447"/>
      <c r="AH185" s="447"/>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row>
    <row r="186" spans="1:67" s="88" customFormat="1" ht="10.55" customHeight="1" x14ac:dyDescent="0.2">
      <c r="A186" s="1013" t="s">
        <v>334</v>
      </c>
      <c r="B186" s="2807"/>
      <c r="C186" s="2808"/>
      <c r="D186" s="2809"/>
      <c r="E186" s="2561"/>
      <c r="F186" s="2562"/>
      <c r="G186" s="1785">
        <v>30</v>
      </c>
      <c r="H186" s="524"/>
      <c r="I186" s="1409">
        <f t="shared" si="40"/>
        <v>4.7777640736176463E-2</v>
      </c>
      <c r="J186" s="1421">
        <f t="shared" si="41"/>
        <v>0</v>
      </c>
      <c r="K186" s="678"/>
      <c r="L186" s="1002"/>
      <c r="M186" s="1428">
        <f t="shared" si="42"/>
        <v>0</v>
      </c>
      <c r="N186" s="1110"/>
      <c r="O186" s="674">
        <f t="shared" si="43"/>
        <v>30</v>
      </c>
      <c r="P186" s="682"/>
      <c r="Q186" s="286"/>
      <c r="R186" s="287"/>
      <c r="S186" s="280"/>
      <c r="T186" s="280"/>
      <c r="U186" s="280"/>
      <c r="V186" s="280"/>
      <c r="W186" s="280"/>
      <c r="X186" s="280"/>
      <c r="Y186" s="280"/>
      <c r="Z186" s="284"/>
      <c r="AA186" s="284"/>
      <c r="AB186" s="284"/>
      <c r="AC186" s="284"/>
      <c r="AD186" s="284"/>
      <c r="AE186" s="284"/>
      <c r="AF186" s="447"/>
      <c r="AG186" s="447"/>
      <c r="AH186" s="447"/>
      <c r="AI186" s="382"/>
      <c r="AJ186" s="382"/>
      <c r="AK186" s="382"/>
      <c r="AL186" s="382"/>
      <c r="AM186" s="382"/>
      <c r="AN186" s="382"/>
      <c r="AO186" s="382"/>
      <c r="AP186" s="382"/>
      <c r="AQ186" s="382"/>
      <c r="AR186" s="382"/>
      <c r="AS186" s="382"/>
      <c r="AT186" s="382"/>
      <c r="AU186" s="382"/>
      <c r="AV186" s="382"/>
      <c r="AW186" s="382"/>
      <c r="AX186" s="382"/>
      <c r="AY186" s="382"/>
      <c r="AZ186" s="382"/>
      <c r="BA186" s="382"/>
      <c r="BB186" s="382"/>
      <c r="BC186" s="382"/>
      <c r="BD186" s="382"/>
      <c r="BE186" s="382"/>
      <c r="BF186" s="382"/>
      <c r="BG186" s="382"/>
      <c r="BH186" s="382"/>
      <c r="BI186" s="382"/>
      <c r="BJ186" s="382"/>
      <c r="BK186" s="382"/>
      <c r="BL186" s="382"/>
      <c r="BM186" s="382"/>
      <c r="BN186" s="382"/>
      <c r="BO186" s="382"/>
    </row>
    <row r="187" spans="1:67" s="88" customFormat="1" ht="10.55" customHeight="1" x14ac:dyDescent="0.2">
      <c r="A187" s="675"/>
      <c r="B187" s="2807"/>
      <c r="C187" s="2808"/>
      <c r="D187" s="2809"/>
      <c r="E187" s="2561"/>
      <c r="F187" s="2562"/>
      <c r="G187" s="1015"/>
      <c r="H187" s="524"/>
      <c r="I187" s="1409">
        <f t="shared" si="40"/>
        <v>0</v>
      </c>
      <c r="J187" s="1421">
        <f t="shared" si="41"/>
        <v>0</v>
      </c>
      <c r="K187" s="679"/>
      <c r="L187" s="1002"/>
      <c r="M187" s="1428">
        <f t="shared" si="42"/>
        <v>0</v>
      </c>
      <c r="N187" s="1110"/>
      <c r="O187" s="674">
        <f t="shared" si="43"/>
        <v>0</v>
      </c>
      <c r="P187" s="682"/>
      <c r="Q187" s="286"/>
      <c r="R187" s="287"/>
      <c r="S187" s="280"/>
      <c r="T187" s="280"/>
      <c r="U187" s="280"/>
      <c r="V187" s="280"/>
      <c r="W187" s="280"/>
      <c r="X187" s="280"/>
      <c r="Y187" s="280"/>
      <c r="Z187" s="284"/>
      <c r="AA187" s="284"/>
      <c r="AB187" s="284"/>
      <c r="AC187" s="284"/>
      <c r="AD187" s="284"/>
      <c r="AE187" s="284"/>
      <c r="AF187" s="447"/>
      <c r="AG187" s="447"/>
      <c r="AH187" s="447"/>
      <c r="AI187" s="382"/>
      <c r="AJ187" s="382"/>
      <c r="AK187" s="382"/>
      <c r="AL187" s="382"/>
      <c r="AM187" s="382"/>
      <c r="AN187" s="382"/>
      <c r="AO187" s="382"/>
      <c r="AP187" s="382"/>
      <c r="AQ187" s="382"/>
      <c r="AR187" s="382"/>
      <c r="AS187" s="382"/>
      <c r="AT187" s="382"/>
      <c r="AU187" s="382"/>
      <c r="AV187" s="382"/>
      <c r="AW187" s="382"/>
      <c r="AX187" s="382"/>
      <c r="AY187" s="382"/>
      <c r="AZ187" s="382"/>
      <c r="BA187" s="382"/>
      <c r="BB187" s="382"/>
      <c r="BC187" s="382"/>
      <c r="BD187" s="382"/>
      <c r="BE187" s="382"/>
      <c r="BF187" s="382"/>
      <c r="BG187" s="382"/>
      <c r="BH187" s="382"/>
      <c r="BI187" s="382"/>
      <c r="BJ187" s="382"/>
      <c r="BK187" s="382"/>
      <c r="BL187" s="382"/>
      <c r="BM187" s="382"/>
      <c r="BN187" s="382"/>
      <c r="BO187" s="382"/>
    </row>
    <row r="188" spans="1:67" s="88" customFormat="1" ht="10.55" customHeight="1" x14ac:dyDescent="0.2">
      <c r="A188" s="675"/>
      <c r="B188" s="2807"/>
      <c r="C188" s="2808"/>
      <c r="D188" s="2809"/>
      <c r="E188" s="2561"/>
      <c r="F188" s="2562"/>
      <c r="G188" s="1015"/>
      <c r="H188" s="524"/>
      <c r="I188" s="1409">
        <f t="shared" si="40"/>
        <v>0</v>
      </c>
      <c r="J188" s="1421">
        <f t="shared" si="41"/>
        <v>0</v>
      </c>
      <c r="K188" s="679"/>
      <c r="L188" s="1002"/>
      <c r="M188" s="1428">
        <f t="shared" si="42"/>
        <v>0</v>
      </c>
      <c r="N188" s="1110"/>
      <c r="O188" s="674">
        <f t="shared" si="43"/>
        <v>0</v>
      </c>
      <c r="P188" s="682"/>
      <c r="Q188" s="286"/>
      <c r="R188" s="287"/>
      <c r="S188" s="280"/>
      <c r="T188" s="280"/>
      <c r="U188" s="280"/>
      <c r="V188" s="280"/>
      <c r="W188" s="280"/>
      <c r="X188" s="280"/>
      <c r="Y188" s="280"/>
      <c r="Z188" s="284"/>
      <c r="AA188" s="284"/>
      <c r="AB188" s="284"/>
      <c r="AC188" s="284"/>
      <c r="AD188" s="284"/>
      <c r="AE188" s="284"/>
      <c r="AF188" s="447"/>
      <c r="AG188" s="447"/>
      <c r="AH188" s="447"/>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row>
    <row r="189" spans="1:67" s="88" customFormat="1" ht="10.55" customHeight="1" x14ac:dyDescent="0.2">
      <c r="A189" s="675"/>
      <c r="B189" s="2807"/>
      <c r="C189" s="2808"/>
      <c r="D189" s="2809"/>
      <c r="E189" s="2561"/>
      <c r="F189" s="2562"/>
      <c r="G189" s="1015"/>
      <c r="H189" s="524"/>
      <c r="I189" s="1409">
        <f t="shared" si="40"/>
        <v>0</v>
      </c>
      <c r="J189" s="1421">
        <f t="shared" si="41"/>
        <v>0</v>
      </c>
      <c r="K189" s="679"/>
      <c r="L189" s="1002"/>
      <c r="M189" s="1428">
        <f t="shared" si="42"/>
        <v>0</v>
      </c>
      <c r="N189" s="1110"/>
      <c r="O189" s="674">
        <f t="shared" si="43"/>
        <v>0</v>
      </c>
      <c r="P189" s="682"/>
      <c r="Q189" s="286"/>
      <c r="R189" s="287"/>
      <c r="S189" s="280"/>
      <c r="T189" s="280"/>
      <c r="U189" s="280"/>
      <c r="V189" s="280"/>
      <c r="W189" s="280"/>
      <c r="X189" s="280"/>
      <c r="Y189" s="280"/>
      <c r="Z189" s="284"/>
      <c r="AA189" s="284"/>
      <c r="AB189" s="284"/>
      <c r="AC189" s="284"/>
      <c r="AD189" s="284"/>
      <c r="AE189" s="284"/>
      <c r="AF189" s="447"/>
      <c r="AG189" s="447"/>
      <c r="AH189" s="447"/>
      <c r="AI189" s="382"/>
      <c r="AJ189" s="382"/>
      <c r="AK189" s="382"/>
      <c r="AL189" s="382"/>
      <c r="AM189" s="382"/>
      <c r="AN189" s="382"/>
      <c r="AO189" s="382"/>
      <c r="AP189" s="382"/>
      <c r="AQ189" s="382"/>
      <c r="AR189" s="382"/>
      <c r="AS189" s="382"/>
      <c r="AT189" s="382"/>
      <c r="AU189" s="382"/>
      <c r="AV189" s="382"/>
      <c r="AW189" s="382"/>
      <c r="AX189" s="382"/>
      <c r="AY189" s="382"/>
      <c r="AZ189" s="382"/>
      <c r="BA189" s="382"/>
      <c r="BB189" s="382"/>
      <c r="BC189" s="382"/>
      <c r="BD189" s="382"/>
      <c r="BE189" s="382"/>
      <c r="BF189" s="382"/>
      <c r="BG189" s="382"/>
      <c r="BH189" s="382"/>
      <c r="BI189" s="382"/>
      <c r="BJ189" s="382"/>
      <c r="BK189" s="382"/>
      <c r="BL189" s="382"/>
      <c r="BM189" s="382"/>
      <c r="BN189" s="382"/>
      <c r="BO189" s="382"/>
    </row>
    <row r="190" spans="1:67" s="88" customFormat="1" ht="10.55" customHeight="1" x14ac:dyDescent="0.2">
      <c r="A190" s="675"/>
      <c r="B190" s="2807"/>
      <c r="C190" s="2808"/>
      <c r="D190" s="2809"/>
      <c r="E190" s="2561"/>
      <c r="F190" s="2562"/>
      <c r="G190" s="1015"/>
      <c r="H190" s="524"/>
      <c r="I190" s="1409">
        <f t="shared" si="40"/>
        <v>0</v>
      </c>
      <c r="J190" s="1421">
        <f t="shared" si="41"/>
        <v>0</v>
      </c>
      <c r="K190" s="679"/>
      <c r="L190" s="1002"/>
      <c r="M190" s="1428">
        <f t="shared" si="42"/>
        <v>0</v>
      </c>
      <c r="N190" s="1110"/>
      <c r="O190" s="674">
        <f t="shared" si="43"/>
        <v>0</v>
      </c>
      <c r="P190" s="682"/>
      <c r="Q190" s="286"/>
      <c r="R190" s="287"/>
      <c r="S190" s="280"/>
      <c r="T190" s="280"/>
      <c r="U190" s="280"/>
      <c r="V190" s="280"/>
      <c r="W190" s="280"/>
      <c r="X190" s="280"/>
      <c r="Y190" s="280"/>
      <c r="Z190" s="284"/>
      <c r="AA190" s="284"/>
      <c r="AB190" s="284"/>
      <c r="AC190" s="284"/>
      <c r="AD190" s="284"/>
      <c r="AE190" s="284"/>
      <c r="AF190" s="447"/>
      <c r="AG190" s="447"/>
      <c r="AH190" s="447"/>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row>
    <row r="191" spans="1:67" s="88" customFormat="1" ht="10.55" customHeight="1" x14ac:dyDescent="0.2">
      <c r="A191" s="675"/>
      <c r="B191" s="2807"/>
      <c r="C191" s="2808"/>
      <c r="D191" s="2809"/>
      <c r="E191" s="2561"/>
      <c r="F191" s="2562"/>
      <c r="G191" s="1015"/>
      <c r="H191" s="524"/>
      <c r="I191" s="1409">
        <f t="shared" si="40"/>
        <v>0</v>
      </c>
      <c r="J191" s="1421">
        <f t="shared" si="41"/>
        <v>0</v>
      </c>
      <c r="K191" s="679"/>
      <c r="L191" s="1002"/>
      <c r="M191" s="1428">
        <f t="shared" si="42"/>
        <v>0</v>
      </c>
      <c r="N191" s="1110"/>
      <c r="O191" s="674">
        <f t="shared" si="43"/>
        <v>0</v>
      </c>
      <c r="P191" s="682"/>
      <c r="Q191" s="286"/>
      <c r="R191" s="287"/>
      <c r="S191" s="280"/>
      <c r="T191" s="280"/>
      <c r="U191" s="280"/>
      <c r="V191" s="280"/>
      <c r="W191" s="280"/>
      <c r="X191" s="280"/>
      <c r="Y191" s="280"/>
      <c r="Z191" s="284"/>
      <c r="AA191" s="284"/>
      <c r="AB191" s="284"/>
      <c r="AC191" s="284"/>
      <c r="AD191" s="284"/>
      <c r="AE191" s="284"/>
      <c r="AF191" s="447"/>
      <c r="AG191" s="447"/>
      <c r="AH191" s="447"/>
      <c r="AI191" s="382"/>
      <c r="AJ191" s="382"/>
      <c r="AK191" s="382"/>
      <c r="AL191" s="382"/>
      <c r="AM191" s="382"/>
      <c r="AN191" s="382"/>
      <c r="AO191" s="382"/>
      <c r="AP191" s="382"/>
      <c r="AQ191" s="382"/>
      <c r="AR191" s="382"/>
      <c r="AS191" s="382"/>
      <c r="AT191" s="382"/>
      <c r="AU191" s="382"/>
      <c r="AV191" s="382"/>
      <c r="AW191" s="382"/>
      <c r="AX191" s="382"/>
      <c r="AY191" s="382"/>
      <c r="AZ191" s="382"/>
      <c r="BA191" s="382"/>
      <c r="BB191" s="382"/>
      <c r="BC191" s="382"/>
      <c r="BD191" s="382"/>
      <c r="BE191" s="382"/>
      <c r="BF191" s="382"/>
      <c r="BG191" s="382"/>
      <c r="BH191" s="382"/>
      <c r="BI191" s="382"/>
      <c r="BJ191" s="382"/>
      <c r="BK191" s="382"/>
      <c r="BL191" s="382"/>
      <c r="BM191" s="382"/>
      <c r="BN191" s="382"/>
      <c r="BO191" s="382"/>
    </row>
    <row r="192" spans="1:67" s="88" customFormat="1" ht="10.55" customHeight="1" x14ac:dyDescent="0.2">
      <c r="A192" s="675"/>
      <c r="B192" s="2807"/>
      <c r="C192" s="2808"/>
      <c r="D192" s="2809"/>
      <c r="E192" s="2561"/>
      <c r="F192" s="2562"/>
      <c r="G192" s="1015"/>
      <c r="H192" s="524"/>
      <c r="I192" s="1409">
        <f t="shared" si="40"/>
        <v>0</v>
      </c>
      <c r="J192" s="1421">
        <f t="shared" si="41"/>
        <v>0</v>
      </c>
      <c r="K192" s="679"/>
      <c r="L192" s="1002"/>
      <c r="M192" s="1428">
        <f t="shared" si="42"/>
        <v>0</v>
      </c>
      <c r="N192" s="1110"/>
      <c r="O192" s="674">
        <f t="shared" si="43"/>
        <v>0</v>
      </c>
      <c r="P192" s="682"/>
      <c r="Q192" s="286"/>
      <c r="R192" s="287"/>
      <c r="S192" s="280"/>
      <c r="T192" s="280"/>
      <c r="U192" s="280"/>
      <c r="V192" s="280"/>
      <c r="W192" s="280"/>
      <c r="X192" s="280"/>
      <c r="Y192" s="280"/>
      <c r="Z192" s="284"/>
      <c r="AA192" s="284"/>
      <c r="AB192" s="284"/>
      <c r="AC192" s="284"/>
      <c r="AD192" s="284"/>
      <c r="AE192" s="284"/>
      <c r="AF192" s="447"/>
      <c r="AG192" s="447"/>
      <c r="AH192" s="447"/>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382"/>
      <c r="BM192" s="382"/>
      <c r="BN192" s="382"/>
      <c r="BO192" s="382"/>
    </row>
    <row r="193" spans="1:67" s="88" customFormat="1" ht="10.55" customHeight="1" x14ac:dyDescent="0.2">
      <c r="A193" s="675"/>
      <c r="B193" s="2807"/>
      <c r="C193" s="2808"/>
      <c r="D193" s="2809"/>
      <c r="E193" s="2561"/>
      <c r="F193" s="2562"/>
      <c r="G193" s="1015"/>
      <c r="H193" s="524"/>
      <c r="I193" s="1409">
        <f t="shared" si="40"/>
        <v>0</v>
      </c>
      <c r="J193" s="1421">
        <f t="shared" si="41"/>
        <v>0</v>
      </c>
      <c r="K193" s="679"/>
      <c r="L193" s="1002"/>
      <c r="M193" s="1428">
        <f t="shared" si="42"/>
        <v>0</v>
      </c>
      <c r="N193" s="1110"/>
      <c r="O193" s="674">
        <f t="shared" si="43"/>
        <v>0</v>
      </c>
      <c r="P193" s="682"/>
      <c r="Q193" s="286"/>
      <c r="R193" s="287"/>
      <c r="S193" s="280"/>
      <c r="T193" s="280"/>
      <c r="U193" s="280"/>
      <c r="V193" s="280"/>
      <c r="W193" s="280"/>
      <c r="X193" s="280"/>
      <c r="Y193" s="280"/>
      <c r="Z193" s="284"/>
      <c r="AA193" s="284"/>
      <c r="AB193" s="284"/>
      <c r="AC193" s="284"/>
      <c r="AD193" s="284"/>
      <c r="AE193" s="284"/>
      <c r="AF193" s="447"/>
      <c r="AG193" s="447"/>
      <c r="AH193" s="447"/>
      <c r="AI193" s="382"/>
      <c r="AJ193" s="382"/>
      <c r="AK193" s="382"/>
      <c r="AL193" s="382"/>
      <c r="AM193" s="382"/>
      <c r="AN193" s="382"/>
      <c r="AO193" s="382"/>
      <c r="AP193" s="382"/>
      <c r="AQ193" s="382"/>
      <c r="AR193" s="382"/>
      <c r="AS193" s="382"/>
      <c r="AT193" s="382"/>
      <c r="AU193" s="382"/>
      <c r="AV193" s="382"/>
      <c r="AW193" s="382"/>
      <c r="AX193" s="382"/>
      <c r="AY193" s="382"/>
      <c r="AZ193" s="382"/>
      <c r="BA193" s="382"/>
      <c r="BB193" s="382"/>
      <c r="BC193" s="382"/>
      <c r="BD193" s="382"/>
      <c r="BE193" s="382"/>
      <c r="BF193" s="382"/>
      <c r="BG193" s="382"/>
      <c r="BH193" s="382"/>
      <c r="BI193" s="382"/>
      <c r="BJ193" s="382"/>
      <c r="BK193" s="382"/>
      <c r="BL193" s="382"/>
      <c r="BM193" s="382"/>
      <c r="BN193" s="382"/>
      <c r="BO193" s="382"/>
    </row>
    <row r="194" spans="1:67" s="88" customFormat="1" ht="10.55" customHeight="1" x14ac:dyDescent="0.2">
      <c r="A194" s="675"/>
      <c r="B194" s="2807"/>
      <c r="C194" s="2808"/>
      <c r="D194" s="2809"/>
      <c r="E194" s="2561"/>
      <c r="F194" s="2562"/>
      <c r="G194" s="1015"/>
      <c r="H194" s="524"/>
      <c r="I194" s="1409">
        <f t="shared" si="40"/>
        <v>0</v>
      </c>
      <c r="J194" s="1421">
        <f t="shared" si="41"/>
        <v>0</v>
      </c>
      <c r="K194" s="679"/>
      <c r="L194" s="1002"/>
      <c r="M194" s="1428">
        <f t="shared" si="42"/>
        <v>0</v>
      </c>
      <c r="N194" s="1110"/>
      <c r="O194" s="674">
        <f t="shared" si="43"/>
        <v>0</v>
      </c>
      <c r="P194" s="682"/>
      <c r="Q194" s="286"/>
      <c r="R194" s="287"/>
      <c r="S194" s="280"/>
      <c r="T194" s="280"/>
      <c r="U194" s="280"/>
      <c r="V194" s="280"/>
      <c r="W194" s="280"/>
      <c r="X194" s="280"/>
      <c r="Y194" s="280"/>
      <c r="Z194" s="284"/>
      <c r="AA194" s="284"/>
      <c r="AB194" s="284"/>
      <c r="AC194" s="284"/>
      <c r="AD194" s="284"/>
      <c r="AE194" s="284"/>
      <c r="AF194" s="447"/>
      <c r="AG194" s="447"/>
      <c r="AH194" s="447"/>
      <c r="AI194" s="382"/>
      <c r="AJ194" s="382"/>
      <c r="AK194" s="382"/>
      <c r="AL194" s="382"/>
      <c r="AM194" s="382"/>
      <c r="AN194" s="382"/>
      <c r="AO194" s="382"/>
      <c r="AP194" s="382"/>
      <c r="AQ194" s="382"/>
      <c r="AR194" s="382"/>
      <c r="AS194" s="382"/>
      <c r="AT194" s="382"/>
      <c r="AU194" s="382"/>
      <c r="AV194" s="382"/>
      <c r="AW194" s="382"/>
      <c r="AX194" s="382"/>
      <c r="AY194" s="382"/>
      <c r="AZ194" s="382"/>
      <c r="BA194" s="382"/>
      <c r="BB194" s="382"/>
      <c r="BC194" s="382"/>
      <c r="BD194" s="382"/>
      <c r="BE194" s="382"/>
      <c r="BF194" s="382"/>
      <c r="BG194" s="382"/>
      <c r="BH194" s="382"/>
      <c r="BI194" s="382"/>
      <c r="BJ194" s="382"/>
      <c r="BK194" s="382"/>
      <c r="BL194" s="382"/>
      <c r="BM194" s="382"/>
      <c r="BN194" s="382"/>
      <c r="BO194" s="382"/>
    </row>
    <row r="195" spans="1:67" s="88" customFormat="1" ht="10.55" customHeight="1" x14ac:dyDescent="0.2">
      <c r="A195" s="511"/>
      <c r="B195" s="2884"/>
      <c r="C195" s="2885"/>
      <c r="D195" s="2886"/>
      <c r="E195" s="2793"/>
      <c r="F195" s="2794"/>
      <c r="G195" s="1018"/>
      <c r="H195" s="1019"/>
      <c r="I195" s="1436">
        <f t="shared" si="40"/>
        <v>0</v>
      </c>
      <c r="J195" s="1422"/>
      <c r="K195" s="680"/>
      <c r="L195" s="1020"/>
      <c r="M195" s="1429">
        <f t="shared" si="42"/>
        <v>0</v>
      </c>
      <c r="N195" s="1110"/>
      <c r="O195" s="674">
        <f t="shared" si="43"/>
        <v>0</v>
      </c>
      <c r="P195" s="682"/>
      <c r="Q195" s="286"/>
      <c r="R195" s="287"/>
      <c r="S195" s="280"/>
      <c r="T195" s="280"/>
      <c r="U195" s="280"/>
      <c r="V195" s="280"/>
      <c r="W195" s="280"/>
      <c r="X195" s="280"/>
      <c r="Y195" s="280"/>
      <c r="Z195" s="284"/>
      <c r="AA195" s="284"/>
      <c r="AB195" s="284"/>
      <c r="AC195" s="284"/>
      <c r="AD195" s="284"/>
      <c r="AE195" s="284"/>
      <c r="AF195" s="447"/>
      <c r="AG195" s="447"/>
      <c r="AH195" s="447"/>
      <c r="AI195" s="382"/>
      <c r="AJ195" s="382"/>
      <c r="AK195" s="382"/>
      <c r="AL195" s="382"/>
      <c r="AM195" s="382"/>
      <c r="AN195" s="382"/>
      <c r="AO195" s="382"/>
      <c r="AP195" s="382"/>
      <c r="AQ195" s="382"/>
      <c r="AR195" s="382"/>
      <c r="AS195" s="382"/>
      <c r="AT195" s="382"/>
      <c r="AU195" s="382"/>
      <c r="AV195" s="382"/>
      <c r="AW195" s="382"/>
      <c r="AX195" s="382"/>
      <c r="AY195" s="382"/>
      <c r="AZ195" s="382"/>
      <c r="BA195" s="382"/>
      <c r="BB195" s="382"/>
      <c r="BC195" s="382"/>
      <c r="BD195" s="382"/>
      <c r="BE195" s="382"/>
      <c r="BF195" s="382"/>
      <c r="BG195" s="382"/>
      <c r="BH195" s="382"/>
      <c r="BI195" s="382"/>
      <c r="BJ195" s="382"/>
      <c r="BK195" s="382"/>
      <c r="BL195" s="382"/>
      <c r="BM195" s="382"/>
      <c r="BN195" s="382"/>
      <c r="BO195" s="382"/>
    </row>
    <row r="196" spans="1:67" s="88" customFormat="1" ht="10.55" customHeight="1" x14ac:dyDescent="0.2">
      <c r="A196" s="1145" t="s">
        <v>380</v>
      </c>
      <c r="B196" s="2783"/>
      <c r="C196" s="2784"/>
      <c r="D196" s="2785"/>
      <c r="E196" s="2810">
        <f>SUM(E197:E209)</f>
        <v>0</v>
      </c>
      <c r="F196" s="2811"/>
      <c r="G196" s="2747"/>
      <c r="H196" s="2748"/>
      <c r="I196" s="1435">
        <f>IF(E196=0,0,J196/E196)</f>
        <v>0</v>
      </c>
      <c r="J196" s="1423">
        <f>SUM(J197:J209)</f>
        <v>0</v>
      </c>
      <c r="K196" s="2749">
        <f>IF(E196=0,0,M196/E196*100)</f>
        <v>0</v>
      </c>
      <c r="L196" s="2750"/>
      <c r="M196" s="1430">
        <f>SUM(M197:M209)</f>
        <v>0</v>
      </c>
      <c r="N196" s="1110"/>
      <c r="O196" s="387">
        <f>IF(H196="",G196,H196)</f>
        <v>0</v>
      </c>
      <c r="P196" s="682"/>
      <c r="Q196" s="286"/>
      <c r="R196" s="287"/>
      <c r="S196" s="280"/>
      <c r="T196" s="280"/>
      <c r="U196" s="280"/>
      <c r="V196" s="280"/>
      <c r="W196" s="280"/>
      <c r="X196" s="280"/>
      <c r="Y196" s="280"/>
      <c r="Z196" s="284"/>
      <c r="AA196" s="284"/>
      <c r="AB196" s="284"/>
      <c r="AC196" s="284"/>
      <c r="AD196" s="284"/>
      <c r="AE196" s="284"/>
      <c r="AF196" s="447"/>
      <c r="AG196" s="447"/>
      <c r="AH196" s="447"/>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382"/>
      <c r="BM196" s="382"/>
      <c r="BN196" s="382"/>
      <c r="BO196" s="382"/>
    </row>
    <row r="197" spans="1:67" s="88" customFormat="1" ht="10.55" customHeight="1" x14ac:dyDescent="0.2">
      <c r="A197" s="512" t="s">
        <v>381</v>
      </c>
      <c r="B197" s="2790"/>
      <c r="C197" s="2791"/>
      <c r="D197" s="2792"/>
      <c r="E197" s="2734"/>
      <c r="F197" s="2735"/>
      <c r="G197" s="1785">
        <v>30</v>
      </c>
      <c r="H197" s="524"/>
      <c r="I197" s="1409">
        <f t="shared" ref="I197:I210" si="44">IF($O197&gt;0,-PMT(($I$9),$O197,1),0)</f>
        <v>4.7777640736176463E-2</v>
      </c>
      <c r="J197" s="1421">
        <f t="shared" ref="J197:J209" si="45">ROUND(E197*I197,0)</f>
        <v>0</v>
      </c>
      <c r="K197" s="678">
        <v>1.5</v>
      </c>
      <c r="L197" s="1002"/>
      <c r="M197" s="1428">
        <f t="shared" ref="M197:M210" si="46">ROUND(E197/100*IF(ISBLANK(L197),K197,L197),0)</f>
        <v>0</v>
      </c>
      <c r="N197" s="1110"/>
      <c r="O197" s="674">
        <f t="shared" ref="O197:O210" si="47">IF(ISBLANK(H197),G197,H197)</f>
        <v>30</v>
      </c>
      <c r="P197" s="682"/>
      <c r="Q197" s="286"/>
      <c r="R197" s="287"/>
      <c r="S197" s="280"/>
      <c r="T197" s="280"/>
      <c r="U197" s="280"/>
      <c r="V197" s="280"/>
      <c r="W197" s="280"/>
      <c r="X197" s="280"/>
      <c r="Y197" s="280"/>
      <c r="Z197" s="284"/>
      <c r="AA197" s="284"/>
      <c r="AB197" s="284"/>
      <c r="AC197" s="284"/>
      <c r="AD197" s="284"/>
      <c r="AE197" s="284"/>
      <c r="AF197" s="447"/>
      <c r="AG197" s="447"/>
      <c r="AH197" s="447"/>
      <c r="AI197" s="382"/>
      <c r="AJ197" s="382"/>
      <c r="AK197" s="382"/>
      <c r="AL197" s="382"/>
      <c r="AM197" s="382"/>
      <c r="AN197" s="382"/>
      <c r="AO197" s="382"/>
      <c r="AP197" s="382"/>
      <c r="AQ197" s="382"/>
      <c r="AR197" s="382"/>
      <c r="AS197" s="382"/>
      <c r="AT197" s="382"/>
      <c r="AU197" s="382"/>
      <c r="AV197" s="382"/>
      <c r="AW197" s="382"/>
      <c r="AX197" s="382"/>
      <c r="AY197" s="382"/>
      <c r="AZ197" s="382"/>
      <c r="BA197" s="382"/>
      <c r="BB197" s="382"/>
      <c r="BC197" s="382"/>
      <c r="BD197" s="382"/>
      <c r="BE197" s="382"/>
      <c r="BF197" s="382"/>
      <c r="BG197" s="382"/>
      <c r="BH197" s="382"/>
      <c r="BI197" s="382"/>
      <c r="BJ197" s="382"/>
      <c r="BK197" s="382"/>
      <c r="BL197" s="382"/>
      <c r="BM197" s="382"/>
      <c r="BN197" s="382"/>
      <c r="BO197" s="382"/>
    </row>
    <row r="198" spans="1:67" s="88" customFormat="1" ht="10.55" customHeight="1" x14ac:dyDescent="0.2">
      <c r="A198" s="512" t="s">
        <v>382</v>
      </c>
      <c r="B198" s="2807"/>
      <c r="C198" s="2808"/>
      <c r="D198" s="2809"/>
      <c r="E198" s="2561"/>
      <c r="F198" s="2562"/>
      <c r="G198" s="1785">
        <v>30</v>
      </c>
      <c r="H198" s="524"/>
      <c r="I198" s="1409">
        <f t="shared" si="44"/>
        <v>4.7777640736176463E-2</v>
      </c>
      <c r="J198" s="1421">
        <f t="shared" si="45"/>
        <v>0</v>
      </c>
      <c r="K198" s="678">
        <v>1</v>
      </c>
      <c r="L198" s="1002"/>
      <c r="M198" s="1428">
        <f t="shared" si="46"/>
        <v>0</v>
      </c>
      <c r="N198" s="1110"/>
      <c r="O198" s="674">
        <f t="shared" si="47"/>
        <v>30</v>
      </c>
      <c r="P198" s="682"/>
      <c r="Q198" s="286"/>
      <c r="R198" s="287"/>
      <c r="S198" s="280"/>
      <c r="T198" s="280"/>
      <c r="U198" s="280"/>
      <c r="V198" s="280"/>
      <c r="W198" s="280"/>
      <c r="X198" s="280"/>
      <c r="Y198" s="280"/>
      <c r="Z198" s="284"/>
      <c r="AA198" s="284"/>
      <c r="AB198" s="284"/>
      <c r="AC198" s="284"/>
      <c r="AD198" s="284"/>
      <c r="AE198" s="284"/>
      <c r="AF198" s="447"/>
      <c r="AG198" s="447"/>
      <c r="AH198" s="447"/>
      <c r="AI198" s="382"/>
      <c r="AJ198" s="382"/>
      <c r="AK198" s="382"/>
      <c r="AL198" s="382"/>
      <c r="AM198" s="382"/>
      <c r="AN198" s="382"/>
      <c r="AO198" s="382"/>
      <c r="AP198" s="382"/>
      <c r="AQ198" s="382"/>
      <c r="AR198" s="382"/>
      <c r="AS198" s="382"/>
      <c r="AT198" s="382"/>
      <c r="AU198" s="382"/>
      <c r="AV198" s="382"/>
      <c r="AW198" s="382"/>
      <c r="AX198" s="382"/>
      <c r="AY198" s="382"/>
      <c r="AZ198" s="382"/>
      <c r="BA198" s="382"/>
      <c r="BB198" s="382"/>
      <c r="BC198" s="382"/>
      <c r="BD198" s="382"/>
      <c r="BE198" s="382"/>
      <c r="BF198" s="382"/>
      <c r="BG198" s="382"/>
      <c r="BH198" s="382"/>
      <c r="BI198" s="382"/>
      <c r="BJ198" s="382"/>
      <c r="BK198" s="382"/>
      <c r="BL198" s="382"/>
      <c r="BM198" s="382"/>
      <c r="BN198" s="382"/>
      <c r="BO198" s="382"/>
    </row>
    <row r="199" spans="1:67" s="88" customFormat="1" ht="10.55" customHeight="1" x14ac:dyDescent="0.2">
      <c r="A199" s="512" t="s">
        <v>383</v>
      </c>
      <c r="B199" s="2807"/>
      <c r="C199" s="2808"/>
      <c r="D199" s="2809"/>
      <c r="E199" s="2561"/>
      <c r="F199" s="2562"/>
      <c r="G199" s="1785">
        <v>30</v>
      </c>
      <c r="H199" s="524"/>
      <c r="I199" s="1409">
        <f t="shared" si="44"/>
        <v>4.7777640736176463E-2</v>
      </c>
      <c r="J199" s="1421">
        <f t="shared" si="45"/>
        <v>0</v>
      </c>
      <c r="K199" s="678">
        <v>0.5</v>
      </c>
      <c r="L199" s="1002"/>
      <c r="M199" s="1428">
        <f t="shared" si="46"/>
        <v>0</v>
      </c>
      <c r="N199" s="1110"/>
      <c r="O199" s="674">
        <f t="shared" si="47"/>
        <v>30</v>
      </c>
      <c r="P199" s="682"/>
      <c r="Q199" s="286"/>
      <c r="R199" s="287"/>
      <c r="S199" s="280"/>
      <c r="T199" s="280"/>
      <c r="U199" s="280"/>
      <c r="V199" s="280"/>
      <c r="W199" s="280"/>
      <c r="X199" s="280"/>
      <c r="Y199" s="280"/>
      <c r="Z199" s="284"/>
      <c r="AA199" s="284"/>
      <c r="AB199" s="284"/>
      <c r="AC199" s="284"/>
      <c r="AD199" s="284"/>
      <c r="AE199" s="284"/>
      <c r="AF199" s="447"/>
      <c r="AG199" s="447"/>
      <c r="AH199" s="447"/>
      <c r="AI199" s="382"/>
      <c r="AJ199" s="382"/>
      <c r="AK199" s="382"/>
      <c r="AL199" s="382"/>
      <c r="AM199" s="382"/>
      <c r="AN199" s="382"/>
      <c r="AO199" s="382"/>
      <c r="AP199" s="382"/>
      <c r="AQ199" s="382"/>
      <c r="AR199" s="382"/>
      <c r="AS199" s="382"/>
      <c r="AT199" s="382"/>
      <c r="AU199" s="382"/>
      <c r="AV199" s="382"/>
      <c r="AW199" s="382"/>
      <c r="AX199" s="382"/>
      <c r="AY199" s="382"/>
      <c r="AZ199" s="382"/>
      <c r="BA199" s="382"/>
      <c r="BB199" s="382"/>
      <c r="BC199" s="382"/>
      <c r="BD199" s="382"/>
      <c r="BE199" s="382"/>
      <c r="BF199" s="382"/>
      <c r="BG199" s="382"/>
      <c r="BH199" s="382"/>
      <c r="BI199" s="382"/>
      <c r="BJ199" s="382"/>
      <c r="BK199" s="382"/>
      <c r="BL199" s="382"/>
      <c r="BM199" s="382"/>
      <c r="BN199" s="382"/>
      <c r="BO199" s="382"/>
    </row>
    <row r="200" spans="1:67" s="88" customFormat="1" ht="10.55" customHeight="1" x14ac:dyDescent="0.2">
      <c r="A200" s="512" t="s">
        <v>384</v>
      </c>
      <c r="B200" s="2807"/>
      <c r="C200" s="2808"/>
      <c r="D200" s="2809"/>
      <c r="E200" s="2561"/>
      <c r="F200" s="2562"/>
      <c r="G200" s="1785">
        <v>30</v>
      </c>
      <c r="H200" s="524"/>
      <c r="I200" s="1409">
        <f t="shared" si="44"/>
        <v>4.7777640736176463E-2</v>
      </c>
      <c r="J200" s="1421">
        <f t="shared" si="45"/>
        <v>0</v>
      </c>
      <c r="K200" s="678">
        <v>0.5</v>
      </c>
      <c r="L200" s="1002"/>
      <c r="M200" s="1428">
        <f t="shared" si="46"/>
        <v>0</v>
      </c>
      <c r="N200" s="1110"/>
      <c r="O200" s="674">
        <f t="shared" si="47"/>
        <v>30</v>
      </c>
      <c r="P200" s="682"/>
      <c r="Q200" s="286"/>
      <c r="R200" s="287"/>
      <c r="S200" s="280"/>
      <c r="T200" s="280"/>
      <c r="U200" s="280"/>
      <c r="V200" s="280"/>
      <c r="W200" s="280"/>
      <c r="X200" s="280"/>
      <c r="Y200" s="280"/>
      <c r="Z200" s="284"/>
      <c r="AA200" s="284"/>
      <c r="AB200" s="284"/>
      <c r="AC200" s="284"/>
      <c r="AD200" s="284"/>
      <c r="AE200" s="284"/>
      <c r="AF200" s="447"/>
      <c r="AG200" s="447"/>
      <c r="AH200" s="447"/>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382"/>
      <c r="BM200" s="382"/>
      <c r="BN200" s="382"/>
      <c r="BO200" s="382"/>
    </row>
    <row r="201" spans="1:67" s="88" customFormat="1" ht="10.55" customHeight="1" x14ac:dyDescent="0.2">
      <c r="A201" s="512" t="s">
        <v>385</v>
      </c>
      <c r="B201" s="2807"/>
      <c r="C201" s="2808"/>
      <c r="D201" s="2809"/>
      <c r="E201" s="2561"/>
      <c r="F201" s="2562"/>
      <c r="G201" s="1785">
        <v>15</v>
      </c>
      <c r="H201" s="524"/>
      <c r="I201" s="1409">
        <f t="shared" si="44"/>
        <v>8.0766456051533542E-2</v>
      </c>
      <c r="J201" s="1421">
        <f t="shared" si="45"/>
        <v>0</v>
      </c>
      <c r="K201" s="678">
        <v>2</v>
      </c>
      <c r="L201" s="1002"/>
      <c r="M201" s="1428">
        <f t="shared" si="46"/>
        <v>0</v>
      </c>
      <c r="N201" s="1110"/>
      <c r="O201" s="674">
        <f t="shared" si="47"/>
        <v>15</v>
      </c>
      <c r="P201" s="682"/>
      <c r="Q201" s="286"/>
      <c r="R201" s="287"/>
      <c r="S201" s="280"/>
      <c r="T201" s="280"/>
      <c r="U201" s="280"/>
      <c r="V201" s="280"/>
      <c r="W201" s="280"/>
      <c r="X201" s="280"/>
      <c r="Y201" s="280"/>
      <c r="Z201" s="284"/>
      <c r="AA201" s="284"/>
      <c r="AB201" s="284"/>
      <c r="AC201" s="284"/>
      <c r="AD201" s="284"/>
      <c r="AE201" s="284"/>
      <c r="AF201" s="447"/>
      <c r="AG201" s="447"/>
      <c r="AH201" s="447"/>
      <c r="AI201" s="382"/>
      <c r="AJ201" s="382"/>
      <c r="AK201" s="382"/>
      <c r="AL201" s="382"/>
      <c r="AM201" s="382"/>
      <c r="AN201" s="382"/>
      <c r="AO201" s="382"/>
      <c r="AP201" s="382"/>
      <c r="AQ201" s="382"/>
      <c r="AR201" s="382"/>
      <c r="AS201" s="382"/>
      <c r="AT201" s="382"/>
      <c r="AU201" s="382"/>
      <c r="AV201" s="382"/>
      <c r="AW201" s="382"/>
      <c r="AX201" s="382"/>
      <c r="AY201" s="382"/>
      <c r="AZ201" s="382"/>
      <c r="BA201" s="382"/>
      <c r="BB201" s="382"/>
      <c r="BC201" s="382"/>
      <c r="BD201" s="382"/>
      <c r="BE201" s="382"/>
      <c r="BF201" s="382"/>
      <c r="BG201" s="382"/>
      <c r="BH201" s="382"/>
      <c r="BI201" s="382"/>
      <c r="BJ201" s="382"/>
      <c r="BK201" s="382"/>
      <c r="BL201" s="382"/>
      <c r="BM201" s="382"/>
      <c r="BN201" s="382"/>
      <c r="BO201" s="382"/>
    </row>
    <row r="202" spans="1:67" s="88" customFormat="1" ht="10.55" customHeight="1" x14ac:dyDescent="0.2">
      <c r="A202" s="512" t="s">
        <v>460</v>
      </c>
      <c r="B202" s="2807"/>
      <c r="C202" s="2808"/>
      <c r="D202" s="2809"/>
      <c r="E202" s="2561"/>
      <c r="F202" s="2562"/>
      <c r="G202" s="1785">
        <v>15</v>
      </c>
      <c r="H202" s="524"/>
      <c r="I202" s="1409">
        <f t="shared" si="44"/>
        <v>8.0766456051533542E-2</v>
      </c>
      <c r="J202" s="1421">
        <f t="shared" si="45"/>
        <v>0</v>
      </c>
      <c r="K202" s="678">
        <v>1.5</v>
      </c>
      <c r="L202" s="1002"/>
      <c r="M202" s="1428">
        <f t="shared" si="46"/>
        <v>0</v>
      </c>
      <c r="N202" s="1110"/>
      <c r="O202" s="674">
        <f t="shared" si="47"/>
        <v>15</v>
      </c>
      <c r="P202" s="682"/>
      <c r="Q202" s="286"/>
      <c r="R202" s="287"/>
      <c r="S202" s="280"/>
      <c r="T202" s="280"/>
      <c r="U202" s="280"/>
      <c r="V202" s="280"/>
      <c r="W202" s="280"/>
      <c r="X202" s="280"/>
      <c r="Y202" s="280"/>
      <c r="Z202" s="284"/>
      <c r="AA202" s="284"/>
      <c r="AB202" s="284"/>
      <c r="AC202" s="284"/>
      <c r="AD202" s="284"/>
      <c r="AE202" s="284"/>
      <c r="AF202" s="447"/>
      <c r="AG202" s="447"/>
      <c r="AH202" s="447"/>
      <c r="AI202" s="382"/>
      <c r="AJ202" s="382"/>
      <c r="AK202" s="382"/>
      <c r="AL202" s="382"/>
      <c r="AM202" s="382"/>
      <c r="AN202" s="382"/>
      <c r="AO202" s="382"/>
      <c r="AP202" s="382"/>
      <c r="AQ202" s="382"/>
      <c r="AR202" s="382"/>
      <c r="AS202" s="382"/>
      <c r="AT202" s="382"/>
      <c r="AU202" s="382"/>
      <c r="AV202" s="382"/>
      <c r="AW202" s="382"/>
      <c r="AX202" s="382"/>
      <c r="AY202" s="382"/>
      <c r="AZ202" s="382"/>
      <c r="BA202" s="382"/>
      <c r="BB202" s="382"/>
      <c r="BC202" s="382"/>
      <c r="BD202" s="382"/>
      <c r="BE202" s="382"/>
      <c r="BF202" s="382"/>
      <c r="BG202" s="382"/>
      <c r="BH202" s="382"/>
      <c r="BI202" s="382"/>
      <c r="BJ202" s="382"/>
      <c r="BK202" s="382"/>
      <c r="BL202" s="382"/>
      <c r="BM202" s="382"/>
      <c r="BN202" s="382"/>
      <c r="BO202" s="382"/>
    </row>
    <row r="203" spans="1:67" s="88" customFormat="1" ht="10.55" customHeight="1" x14ac:dyDescent="0.2">
      <c r="A203" s="675"/>
      <c r="B203" s="2807"/>
      <c r="C203" s="2808"/>
      <c r="D203" s="2809"/>
      <c r="E203" s="2561"/>
      <c r="F203" s="2562"/>
      <c r="G203" s="1015"/>
      <c r="H203" s="524"/>
      <c r="I203" s="1409">
        <f t="shared" si="44"/>
        <v>0</v>
      </c>
      <c r="J203" s="1421">
        <f t="shared" si="45"/>
        <v>0</v>
      </c>
      <c r="K203" s="679"/>
      <c r="L203" s="1002"/>
      <c r="M203" s="1428">
        <f t="shared" si="46"/>
        <v>0</v>
      </c>
      <c r="N203" s="1110"/>
      <c r="O203" s="674">
        <f t="shared" si="47"/>
        <v>0</v>
      </c>
      <c r="P203" s="682"/>
      <c r="Q203" s="286"/>
      <c r="R203" s="287"/>
      <c r="S203" s="280"/>
      <c r="T203" s="280"/>
      <c r="U203" s="280"/>
      <c r="V203" s="280"/>
      <c r="W203" s="280"/>
      <c r="X203" s="280"/>
      <c r="Y203" s="280"/>
      <c r="Z203" s="284"/>
      <c r="AA203" s="284"/>
      <c r="AB203" s="284"/>
      <c r="AC203" s="284"/>
      <c r="AD203" s="284"/>
      <c r="AE203" s="284"/>
      <c r="AF203" s="447"/>
      <c r="AG203" s="447"/>
      <c r="AH203" s="447"/>
      <c r="AI203" s="382"/>
      <c r="AJ203" s="382"/>
      <c r="AK203" s="382"/>
      <c r="AL203" s="382"/>
      <c r="AM203" s="382"/>
      <c r="AN203" s="382"/>
      <c r="AO203" s="382"/>
      <c r="AP203" s="382"/>
      <c r="AQ203" s="382"/>
      <c r="AR203" s="382"/>
      <c r="AS203" s="382"/>
      <c r="AT203" s="382"/>
      <c r="AU203" s="382"/>
      <c r="AV203" s="382"/>
      <c r="AW203" s="382"/>
      <c r="AX203" s="382"/>
      <c r="AY203" s="382"/>
      <c r="AZ203" s="382"/>
      <c r="BA203" s="382"/>
      <c r="BB203" s="382"/>
      <c r="BC203" s="382"/>
      <c r="BD203" s="382"/>
      <c r="BE203" s="382"/>
      <c r="BF203" s="382"/>
      <c r="BG203" s="382"/>
      <c r="BH203" s="382"/>
      <c r="BI203" s="382"/>
      <c r="BJ203" s="382"/>
      <c r="BK203" s="382"/>
      <c r="BL203" s="382"/>
      <c r="BM203" s="382"/>
      <c r="BN203" s="382"/>
      <c r="BO203" s="382"/>
    </row>
    <row r="204" spans="1:67" s="88" customFormat="1" ht="10.55" customHeight="1" x14ac:dyDescent="0.2">
      <c r="A204" s="675"/>
      <c r="B204" s="2807"/>
      <c r="C204" s="2808"/>
      <c r="D204" s="2809"/>
      <c r="E204" s="2561"/>
      <c r="F204" s="2562"/>
      <c r="G204" s="1015"/>
      <c r="H204" s="524"/>
      <c r="I204" s="1409">
        <f t="shared" si="44"/>
        <v>0</v>
      </c>
      <c r="J204" s="1421">
        <f t="shared" si="45"/>
        <v>0</v>
      </c>
      <c r="K204" s="679"/>
      <c r="L204" s="1002"/>
      <c r="M204" s="1428">
        <f t="shared" si="46"/>
        <v>0</v>
      </c>
      <c r="N204" s="1110"/>
      <c r="O204" s="674">
        <f t="shared" si="47"/>
        <v>0</v>
      </c>
      <c r="P204" s="682"/>
      <c r="Q204" s="286"/>
      <c r="R204" s="287"/>
      <c r="S204" s="280"/>
      <c r="T204" s="280"/>
      <c r="U204" s="280"/>
      <c r="V204" s="280"/>
      <c r="W204" s="280"/>
      <c r="X204" s="280"/>
      <c r="Y204" s="280"/>
      <c r="Z204" s="284"/>
      <c r="AA204" s="284"/>
      <c r="AB204" s="284"/>
      <c r="AC204" s="284"/>
      <c r="AD204" s="284"/>
      <c r="AE204" s="284"/>
      <c r="AF204" s="447"/>
      <c r="AG204" s="447"/>
      <c r="AH204" s="447"/>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382"/>
      <c r="BM204" s="382"/>
      <c r="BN204" s="382"/>
      <c r="BO204" s="382"/>
    </row>
    <row r="205" spans="1:67" s="88" customFormat="1" ht="10.55" customHeight="1" x14ac:dyDescent="0.2">
      <c r="A205" s="675"/>
      <c r="B205" s="2807"/>
      <c r="C205" s="2808"/>
      <c r="D205" s="2809"/>
      <c r="E205" s="2561"/>
      <c r="F205" s="2562"/>
      <c r="G205" s="1015"/>
      <c r="H205" s="524"/>
      <c r="I205" s="1409">
        <f t="shared" si="44"/>
        <v>0</v>
      </c>
      <c r="J205" s="1421">
        <f t="shared" si="45"/>
        <v>0</v>
      </c>
      <c r="K205" s="679"/>
      <c r="L205" s="1002"/>
      <c r="M205" s="1428">
        <f t="shared" si="46"/>
        <v>0</v>
      </c>
      <c r="N205" s="1110"/>
      <c r="O205" s="674">
        <f t="shared" si="47"/>
        <v>0</v>
      </c>
      <c r="P205" s="682"/>
      <c r="Q205" s="286"/>
      <c r="R205" s="287"/>
      <c r="S205" s="280"/>
      <c r="T205" s="280"/>
      <c r="U205" s="280"/>
      <c r="V205" s="280"/>
      <c r="W205" s="280"/>
      <c r="X205" s="280"/>
      <c r="Y205" s="280"/>
      <c r="Z205" s="284"/>
      <c r="AA205" s="284"/>
      <c r="AB205" s="284"/>
      <c r="AC205" s="284"/>
      <c r="AD205" s="284"/>
      <c r="AE205" s="284"/>
      <c r="AF205" s="447"/>
      <c r="AG205" s="447"/>
      <c r="AH205" s="447"/>
      <c r="AI205" s="382"/>
      <c r="AJ205" s="382"/>
      <c r="AK205" s="382"/>
      <c r="AL205" s="382"/>
      <c r="AM205" s="382"/>
      <c r="AN205" s="382"/>
      <c r="AO205" s="382"/>
      <c r="AP205" s="382"/>
      <c r="AQ205" s="382"/>
      <c r="AR205" s="382"/>
      <c r="AS205" s="382"/>
      <c r="AT205" s="382"/>
      <c r="AU205" s="382"/>
      <c r="AV205" s="382"/>
      <c r="AW205" s="382"/>
      <c r="AX205" s="382"/>
      <c r="AY205" s="382"/>
      <c r="AZ205" s="382"/>
      <c r="BA205" s="382"/>
      <c r="BB205" s="382"/>
      <c r="BC205" s="382"/>
      <c r="BD205" s="382"/>
      <c r="BE205" s="382"/>
      <c r="BF205" s="382"/>
      <c r="BG205" s="382"/>
      <c r="BH205" s="382"/>
      <c r="BI205" s="382"/>
      <c r="BJ205" s="382"/>
      <c r="BK205" s="382"/>
      <c r="BL205" s="382"/>
      <c r="BM205" s="382"/>
      <c r="BN205" s="382"/>
      <c r="BO205" s="382"/>
    </row>
    <row r="206" spans="1:67" s="88" customFormat="1" ht="10.55" customHeight="1" x14ac:dyDescent="0.2">
      <c r="A206" s="675"/>
      <c r="B206" s="2807"/>
      <c r="C206" s="2808"/>
      <c r="D206" s="2809"/>
      <c r="E206" s="2561"/>
      <c r="F206" s="2562"/>
      <c r="G206" s="1015"/>
      <c r="H206" s="524"/>
      <c r="I206" s="1409">
        <f t="shared" si="44"/>
        <v>0</v>
      </c>
      <c r="J206" s="1421">
        <f t="shared" si="45"/>
        <v>0</v>
      </c>
      <c r="K206" s="679"/>
      <c r="L206" s="1002"/>
      <c r="M206" s="1428">
        <f t="shared" si="46"/>
        <v>0</v>
      </c>
      <c r="N206" s="1110"/>
      <c r="O206" s="674">
        <f t="shared" si="47"/>
        <v>0</v>
      </c>
      <c r="P206" s="682"/>
      <c r="Q206" s="286"/>
      <c r="R206" s="287"/>
      <c r="S206" s="280"/>
      <c r="T206" s="280"/>
      <c r="U206" s="280"/>
      <c r="V206" s="280"/>
      <c r="W206" s="280"/>
      <c r="X206" s="280"/>
      <c r="Y206" s="280"/>
      <c r="Z206" s="284"/>
      <c r="AA206" s="284"/>
      <c r="AB206" s="284"/>
      <c r="AC206" s="284"/>
      <c r="AD206" s="284"/>
      <c r="AE206" s="284"/>
      <c r="AF206" s="447"/>
      <c r="AG206" s="447"/>
      <c r="AH206" s="447"/>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2"/>
      <c r="BL206" s="382"/>
      <c r="BM206" s="382"/>
      <c r="BN206" s="382"/>
      <c r="BO206" s="382"/>
    </row>
    <row r="207" spans="1:67" s="88" customFormat="1" ht="10.55" customHeight="1" x14ac:dyDescent="0.2">
      <c r="A207" s="675"/>
      <c r="B207" s="2807"/>
      <c r="C207" s="2808"/>
      <c r="D207" s="2809"/>
      <c r="E207" s="2561"/>
      <c r="F207" s="2562"/>
      <c r="G207" s="1015"/>
      <c r="H207" s="524"/>
      <c r="I207" s="1409">
        <f t="shared" si="44"/>
        <v>0</v>
      </c>
      <c r="J207" s="1421">
        <f t="shared" si="45"/>
        <v>0</v>
      </c>
      <c r="K207" s="679"/>
      <c r="L207" s="1002"/>
      <c r="M207" s="1428">
        <f t="shared" si="46"/>
        <v>0</v>
      </c>
      <c r="N207" s="1110"/>
      <c r="O207" s="674">
        <f t="shared" si="47"/>
        <v>0</v>
      </c>
      <c r="P207" s="682"/>
      <c r="Q207" s="286"/>
      <c r="R207" s="287"/>
      <c r="S207" s="280"/>
      <c r="T207" s="280"/>
      <c r="U207" s="280"/>
      <c r="V207" s="280"/>
      <c r="W207" s="280"/>
      <c r="X207" s="280"/>
      <c r="Y207" s="280"/>
      <c r="Z207" s="284"/>
      <c r="AA207" s="284"/>
      <c r="AB207" s="284"/>
      <c r="AC207" s="284"/>
      <c r="AD207" s="284"/>
      <c r="AE207" s="284"/>
      <c r="AF207" s="447"/>
      <c r="AG207" s="447"/>
      <c r="AH207" s="447"/>
      <c r="AI207" s="382"/>
      <c r="AJ207" s="382"/>
      <c r="AK207" s="382"/>
      <c r="AL207" s="382"/>
      <c r="AM207" s="382"/>
      <c r="AN207" s="382"/>
      <c r="AO207" s="382"/>
      <c r="AP207" s="382"/>
      <c r="AQ207" s="382"/>
      <c r="AR207" s="382"/>
      <c r="AS207" s="382"/>
      <c r="AT207" s="382"/>
      <c r="AU207" s="382"/>
      <c r="AV207" s="382"/>
      <c r="AW207" s="382"/>
      <c r="AX207" s="382"/>
      <c r="AY207" s="382"/>
      <c r="AZ207" s="382"/>
      <c r="BA207" s="382"/>
      <c r="BB207" s="382"/>
      <c r="BC207" s="382"/>
      <c r="BD207" s="382"/>
      <c r="BE207" s="382"/>
      <c r="BF207" s="382"/>
      <c r="BG207" s="382"/>
      <c r="BH207" s="382"/>
      <c r="BI207" s="382"/>
      <c r="BJ207" s="382"/>
      <c r="BK207" s="382"/>
      <c r="BL207" s="382"/>
      <c r="BM207" s="382"/>
      <c r="BN207" s="382"/>
      <c r="BO207" s="382"/>
    </row>
    <row r="208" spans="1:67" s="88" customFormat="1" ht="10.55" customHeight="1" x14ac:dyDescent="0.2">
      <c r="A208" s="675"/>
      <c r="B208" s="2807"/>
      <c r="C208" s="2808"/>
      <c r="D208" s="2809"/>
      <c r="E208" s="2561"/>
      <c r="F208" s="2562"/>
      <c r="G208" s="1015"/>
      <c r="H208" s="524"/>
      <c r="I208" s="1409">
        <f t="shared" si="44"/>
        <v>0</v>
      </c>
      <c r="J208" s="1421">
        <f t="shared" si="45"/>
        <v>0</v>
      </c>
      <c r="K208" s="679"/>
      <c r="L208" s="1002"/>
      <c r="M208" s="1428">
        <f t="shared" si="46"/>
        <v>0</v>
      </c>
      <c r="N208" s="1110"/>
      <c r="O208" s="674">
        <f t="shared" si="47"/>
        <v>0</v>
      </c>
      <c r="P208" s="682"/>
      <c r="Q208" s="286"/>
      <c r="R208" s="287"/>
      <c r="S208" s="280"/>
      <c r="T208" s="280"/>
      <c r="U208" s="280"/>
      <c r="V208" s="280"/>
      <c r="W208" s="280"/>
      <c r="X208" s="280"/>
      <c r="Y208" s="280"/>
      <c r="Z208" s="284"/>
      <c r="AA208" s="284"/>
      <c r="AB208" s="284"/>
      <c r="AC208" s="284"/>
      <c r="AD208" s="284"/>
      <c r="AE208" s="284"/>
      <c r="AF208" s="447"/>
      <c r="AG208" s="447"/>
      <c r="AH208" s="447"/>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382"/>
      <c r="BM208" s="382"/>
      <c r="BN208" s="382"/>
      <c r="BO208" s="382"/>
    </row>
    <row r="209" spans="1:67" s="88" customFormat="1" ht="10.55" customHeight="1" x14ac:dyDescent="0.2">
      <c r="A209" s="675"/>
      <c r="B209" s="2807"/>
      <c r="C209" s="2808"/>
      <c r="D209" s="2809"/>
      <c r="E209" s="2561"/>
      <c r="F209" s="2562"/>
      <c r="G209" s="1015"/>
      <c r="H209" s="524"/>
      <c r="I209" s="1409">
        <f t="shared" si="44"/>
        <v>0</v>
      </c>
      <c r="J209" s="1421">
        <f t="shared" si="45"/>
        <v>0</v>
      </c>
      <c r="K209" s="679"/>
      <c r="L209" s="1002"/>
      <c r="M209" s="1428">
        <f t="shared" si="46"/>
        <v>0</v>
      </c>
      <c r="N209" s="1110"/>
      <c r="O209" s="674">
        <f t="shared" si="47"/>
        <v>0</v>
      </c>
      <c r="P209" s="682"/>
      <c r="Q209" s="286"/>
      <c r="R209" s="287"/>
      <c r="S209" s="280"/>
      <c r="T209" s="280"/>
      <c r="U209" s="280"/>
      <c r="V209" s="280"/>
      <c r="W209" s="280"/>
      <c r="X209" s="280"/>
      <c r="Y209" s="280"/>
      <c r="Z209" s="284"/>
      <c r="AA209" s="284"/>
      <c r="AB209" s="284"/>
      <c r="AC209" s="284"/>
      <c r="AD209" s="284"/>
      <c r="AE209" s="284"/>
      <c r="AF209" s="447"/>
      <c r="AG209" s="447"/>
      <c r="AH209" s="447"/>
      <c r="AI209" s="382"/>
      <c r="AJ209" s="382"/>
      <c r="AK209" s="382"/>
      <c r="AL209" s="382"/>
      <c r="AM209" s="382"/>
      <c r="AN209" s="382"/>
      <c r="AO209" s="382"/>
      <c r="AP209" s="382"/>
      <c r="AQ209" s="382"/>
      <c r="AR209" s="382"/>
      <c r="AS209" s="382"/>
      <c r="AT209" s="382"/>
      <c r="AU209" s="382"/>
      <c r="AV209" s="382"/>
      <c r="AW209" s="382"/>
      <c r="AX209" s="382"/>
      <c r="AY209" s="382"/>
      <c r="AZ209" s="382"/>
      <c r="BA209" s="382"/>
      <c r="BB209" s="382"/>
      <c r="BC209" s="382"/>
      <c r="BD209" s="382"/>
      <c r="BE209" s="382"/>
      <c r="BF209" s="382"/>
      <c r="BG209" s="382"/>
      <c r="BH209" s="382"/>
      <c r="BI209" s="382"/>
      <c r="BJ209" s="382"/>
      <c r="BK209" s="382"/>
      <c r="BL209" s="382"/>
      <c r="BM209" s="382"/>
      <c r="BN209" s="382"/>
      <c r="BO209" s="382"/>
    </row>
    <row r="210" spans="1:67" s="88" customFormat="1" ht="10.55" customHeight="1" x14ac:dyDescent="0.2">
      <c r="A210" s="511"/>
      <c r="B210" s="2884"/>
      <c r="C210" s="2885"/>
      <c r="D210" s="2886"/>
      <c r="E210" s="2793"/>
      <c r="F210" s="2794"/>
      <c r="G210" s="1018"/>
      <c r="H210" s="1019"/>
      <c r="I210" s="1436">
        <f t="shared" si="44"/>
        <v>0</v>
      </c>
      <c r="J210" s="1422"/>
      <c r="K210" s="680"/>
      <c r="L210" s="1020"/>
      <c r="M210" s="1429">
        <f t="shared" si="46"/>
        <v>0</v>
      </c>
      <c r="N210" s="1110"/>
      <c r="O210" s="674">
        <f t="shared" si="47"/>
        <v>0</v>
      </c>
      <c r="P210" s="682"/>
      <c r="Q210" s="286"/>
      <c r="R210" s="287"/>
      <c r="S210" s="280"/>
      <c r="T210" s="280"/>
      <c r="U210" s="280"/>
      <c r="V210" s="280"/>
      <c r="W210" s="280"/>
      <c r="X210" s="280"/>
      <c r="Y210" s="280"/>
      <c r="Z210" s="284"/>
      <c r="AA210" s="284"/>
      <c r="AB210" s="284"/>
      <c r="AC210" s="284"/>
      <c r="AD210" s="284"/>
      <c r="AE210" s="284"/>
      <c r="AF210" s="447"/>
      <c r="AG210" s="447"/>
      <c r="AH210" s="447"/>
      <c r="AI210" s="382"/>
      <c r="AJ210" s="382"/>
      <c r="AK210" s="382"/>
      <c r="AL210" s="382"/>
      <c r="AM210" s="382"/>
      <c r="AN210" s="382"/>
      <c r="AO210" s="382"/>
      <c r="AP210" s="382"/>
      <c r="AQ210" s="382"/>
      <c r="AR210" s="382"/>
      <c r="AS210" s="382"/>
      <c r="AT210" s="382"/>
      <c r="AU210" s="382"/>
      <c r="AV210" s="382"/>
      <c r="AW210" s="382"/>
      <c r="AX210" s="382"/>
      <c r="AY210" s="382"/>
      <c r="AZ210" s="382"/>
      <c r="BA210" s="382"/>
      <c r="BB210" s="382"/>
      <c r="BC210" s="382"/>
      <c r="BD210" s="382"/>
      <c r="BE210" s="382"/>
      <c r="BF210" s="382"/>
      <c r="BG210" s="382"/>
      <c r="BH210" s="382"/>
      <c r="BI210" s="382"/>
      <c r="BJ210" s="382"/>
      <c r="BK210" s="382"/>
      <c r="BL210" s="382"/>
      <c r="BM210" s="382"/>
      <c r="BN210" s="382"/>
      <c r="BO210" s="382"/>
    </row>
    <row r="211" spans="1:67" s="88" customFormat="1" ht="10.55" customHeight="1" x14ac:dyDescent="0.2">
      <c r="A211" s="1145" t="s">
        <v>386</v>
      </c>
      <c r="B211" s="2783"/>
      <c r="C211" s="2784"/>
      <c r="D211" s="2785"/>
      <c r="E211" s="2810">
        <f>SUM(E212:E224)</f>
        <v>0</v>
      </c>
      <c r="F211" s="2811"/>
      <c r="G211" s="2747"/>
      <c r="H211" s="2748"/>
      <c r="I211" s="1435">
        <f>IF(E211=0,0,J211/E211)</f>
        <v>0</v>
      </c>
      <c r="J211" s="1423">
        <f>SUM(J212:J224)</f>
        <v>0</v>
      </c>
      <c r="K211" s="2749">
        <f>IF(E211=0,0,M211/E211*100)</f>
        <v>0</v>
      </c>
      <c r="L211" s="2750"/>
      <c r="M211" s="1430">
        <f>SUM(M212:M224)</f>
        <v>0</v>
      </c>
      <c r="N211" s="1110"/>
      <c r="O211" s="387">
        <f>IF(H211="",G211,H211)</f>
        <v>0</v>
      </c>
      <c r="P211" s="682"/>
      <c r="Q211" s="286"/>
      <c r="R211" s="287"/>
      <c r="S211" s="280"/>
      <c r="T211" s="280"/>
      <c r="U211" s="280"/>
      <c r="V211" s="280"/>
      <c r="W211" s="280"/>
      <c r="X211" s="280"/>
      <c r="Y211" s="280"/>
      <c r="Z211" s="284"/>
      <c r="AA211" s="284"/>
      <c r="AB211" s="284"/>
      <c r="AC211" s="284"/>
      <c r="AD211" s="284"/>
      <c r="AE211" s="284"/>
      <c r="AF211" s="447"/>
      <c r="AG211" s="447"/>
      <c r="AH211" s="447"/>
      <c r="AI211" s="382"/>
      <c r="AJ211" s="382"/>
      <c r="AK211" s="382"/>
      <c r="AL211" s="382"/>
      <c r="AM211" s="382"/>
      <c r="AN211" s="382"/>
      <c r="AO211" s="382"/>
      <c r="AP211" s="382"/>
      <c r="AQ211" s="382"/>
      <c r="AR211" s="382"/>
      <c r="AS211" s="382"/>
      <c r="AT211" s="382"/>
      <c r="AU211" s="382"/>
      <c r="AV211" s="382"/>
      <c r="AW211" s="382"/>
      <c r="AX211" s="382"/>
      <c r="AY211" s="382"/>
      <c r="AZ211" s="382"/>
      <c r="BA211" s="382"/>
      <c r="BB211" s="382"/>
      <c r="BC211" s="382"/>
      <c r="BD211" s="382"/>
      <c r="BE211" s="382"/>
      <c r="BF211" s="382"/>
      <c r="BG211" s="382"/>
      <c r="BH211" s="382"/>
      <c r="BI211" s="382"/>
      <c r="BJ211" s="382"/>
      <c r="BK211" s="382"/>
      <c r="BL211" s="382"/>
      <c r="BM211" s="382"/>
      <c r="BN211" s="382"/>
      <c r="BO211" s="382"/>
    </row>
    <row r="212" spans="1:67" s="88" customFormat="1" ht="10.55" customHeight="1" x14ac:dyDescent="0.2">
      <c r="A212" s="512" t="s">
        <v>387</v>
      </c>
      <c r="B212" s="2790"/>
      <c r="C212" s="2791"/>
      <c r="D212" s="2792"/>
      <c r="E212" s="2734"/>
      <c r="F212" s="2735"/>
      <c r="G212" s="1785">
        <v>30</v>
      </c>
      <c r="H212" s="524"/>
      <c r="I212" s="1409">
        <f t="shared" ref="I212:I225" si="48">IF($O212&gt;0,-PMT(($I$9),$O212,1),0)</f>
        <v>4.7777640736176463E-2</v>
      </c>
      <c r="J212" s="1421">
        <f t="shared" ref="J212:J224" si="49">ROUND(E212*I212,0)</f>
        <v>0</v>
      </c>
      <c r="K212" s="678">
        <v>0.5</v>
      </c>
      <c r="L212" s="1002"/>
      <c r="M212" s="1428">
        <f t="shared" ref="M212:M225" si="50">ROUND(E212/100*IF(ISBLANK(L212),K212,L212),0)</f>
        <v>0</v>
      </c>
      <c r="N212" s="1110"/>
      <c r="O212" s="674">
        <f t="shared" ref="O212:O225" si="51">IF(ISBLANK(H212),G212,H212)</f>
        <v>30</v>
      </c>
      <c r="P212" s="682"/>
      <c r="Q212" s="286"/>
      <c r="R212" s="287"/>
      <c r="S212" s="280"/>
      <c r="T212" s="280"/>
      <c r="U212" s="280"/>
      <c r="V212" s="280"/>
      <c r="W212" s="280"/>
      <c r="X212" s="280"/>
      <c r="Y212" s="280"/>
      <c r="Z212" s="284"/>
      <c r="AA212" s="284"/>
      <c r="AB212" s="284"/>
      <c r="AC212" s="284"/>
      <c r="AD212" s="284"/>
      <c r="AE212" s="284"/>
      <c r="AF212" s="447"/>
      <c r="AG212" s="447"/>
      <c r="AH212" s="447"/>
      <c r="AI212" s="382"/>
      <c r="AJ212" s="382"/>
      <c r="AK212" s="382"/>
      <c r="AL212" s="382"/>
      <c r="AM212" s="382"/>
      <c r="AN212" s="382"/>
      <c r="AO212" s="382"/>
      <c r="AP212" s="382"/>
      <c r="AQ212" s="382"/>
      <c r="AR212" s="382"/>
      <c r="AS212" s="382"/>
      <c r="AT212" s="382"/>
      <c r="AU212" s="382"/>
      <c r="AV212" s="382"/>
      <c r="AW212" s="382"/>
      <c r="AX212" s="382"/>
      <c r="AY212" s="382"/>
      <c r="AZ212" s="382"/>
      <c r="BA212" s="382"/>
      <c r="BB212" s="382"/>
      <c r="BC212" s="382"/>
      <c r="BD212" s="382"/>
      <c r="BE212" s="382"/>
      <c r="BF212" s="382"/>
      <c r="BG212" s="382"/>
      <c r="BH212" s="382"/>
      <c r="BI212" s="382"/>
      <c r="BJ212" s="382"/>
      <c r="BK212" s="382"/>
      <c r="BL212" s="382"/>
      <c r="BM212" s="382"/>
      <c r="BN212" s="382"/>
      <c r="BO212" s="382"/>
    </row>
    <row r="213" spans="1:67" s="88" customFormat="1" ht="10.55" customHeight="1" x14ac:dyDescent="0.2">
      <c r="A213" s="512" t="s">
        <v>388</v>
      </c>
      <c r="B213" s="2807"/>
      <c r="C213" s="2808"/>
      <c r="D213" s="2809"/>
      <c r="E213" s="2561"/>
      <c r="F213" s="2562"/>
      <c r="G213" s="1785">
        <v>30</v>
      </c>
      <c r="H213" s="524"/>
      <c r="I213" s="1409">
        <f t="shared" si="48"/>
        <v>4.7777640736176463E-2</v>
      </c>
      <c r="J213" s="1421">
        <f t="shared" si="49"/>
        <v>0</v>
      </c>
      <c r="K213" s="678">
        <v>1.5</v>
      </c>
      <c r="L213" s="1002"/>
      <c r="M213" s="1428">
        <f t="shared" si="50"/>
        <v>0</v>
      </c>
      <c r="N213" s="1110"/>
      <c r="O213" s="674">
        <f t="shared" si="51"/>
        <v>30</v>
      </c>
      <c r="P213" s="682"/>
      <c r="Q213" s="286"/>
      <c r="R213" s="287"/>
      <c r="S213" s="280"/>
      <c r="T213" s="280"/>
      <c r="U213" s="280"/>
      <c r="V213" s="280"/>
      <c r="W213" s="280"/>
      <c r="X213" s="280"/>
      <c r="Y213" s="280"/>
      <c r="Z213" s="284"/>
      <c r="AA213" s="284"/>
      <c r="AB213" s="284"/>
      <c r="AC213" s="284"/>
      <c r="AD213" s="284"/>
      <c r="AE213" s="284"/>
      <c r="AF213" s="447"/>
      <c r="AG213" s="447"/>
      <c r="AH213" s="447"/>
      <c r="AI213" s="382"/>
      <c r="AJ213" s="382"/>
      <c r="AK213" s="382"/>
      <c r="AL213" s="382"/>
      <c r="AM213" s="382"/>
      <c r="AN213" s="382"/>
      <c r="AO213" s="382"/>
      <c r="AP213" s="382"/>
      <c r="AQ213" s="382"/>
      <c r="AR213" s="382"/>
      <c r="AS213" s="382"/>
      <c r="AT213" s="382"/>
      <c r="AU213" s="382"/>
      <c r="AV213" s="382"/>
      <c r="AW213" s="382"/>
      <c r="AX213" s="382"/>
      <c r="AY213" s="382"/>
      <c r="AZ213" s="382"/>
      <c r="BA213" s="382"/>
      <c r="BB213" s="382"/>
      <c r="BC213" s="382"/>
      <c r="BD213" s="382"/>
      <c r="BE213" s="382"/>
      <c r="BF213" s="382"/>
      <c r="BG213" s="382"/>
      <c r="BH213" s="382"/>
      <c r="BI213" s="382"/>
      <c r="BJ213" s="382"/>
      <c r="BK213" s="382"/>
      <c r="BL213" s="382"/>
      <c r="BM213" s="382"/>
      <c r="BN213" s="382"/>
      <c r="BO213" s="382"/>
    </row>
    <row r="214" spans="1:67" s="88" customFormat="1" ht="10.55" customHeight="1" x14ac:dyDescent="0.2">
      <c r="A214" s="512" t="s">
        <v>389</v>
      </c>
      <c r="B214" s="2807"/>
      <c r="C214" s="2808"/>
      <c r="D214" s="2809"/>
      <c r="E214" s="2561"/>
      <c r="F214" s="2562"/>
      <c r="G214" s="1785">
        <v>30</v>
      </c>
      <c r="H214" s="524"/>
      <c r="I214" s="1409">
        <f t="shared" si="48"/>
        <v>4.7777640736176463E-2</v>
      </c>
      <c r="J214" s="1421">
        <f t="shared" si="49"/>
        <v>0</v>
      </c>
      <c r="K214" s="678">
        <v>1.5</v>
      </c>
      <c r="L214" s="1002"/>
      <c r="M214" s="1428">
        <f t="shared" si="50"/>
        <v>0</v>
      </c>
      <c r="N214" s="1110"/>
      <c r="O214" s="674">
        <f t="shared" si="51"/>
        <v>30</v>
      </c>
      <c r="P214" s="682"/>
      <c r="Q214" s="286"/>
      <c r="R214" s="287"/>
      <c r="S214" s="280"/>
      <c r="T214" s="280"/>
      <c r="U214" s="280"/>
      <c r="V214" s="280"/>
      <c r="W214" s="280"/>
      <c r="X214" s="280"/>
      <c r="Y214" s="280"/>
      <c r="Z214" s="284"/>
      <c r="AA214" s="284"/>
      <c r="AB214" s="284"/>
      <c r="AC214" s="284"/>
      <c r="AD214" s="284"/>
      <c r="AE214" s="284"/>
      <c r="AF214" s="447"/>
      <c r="AG214" s="447"/>
      <c r="AH214" s="447"/>
      <c r="AI214" s="382"/>
      <c r="AJ214" s="382"/>
      <c r="AK214" s="382"/>
      <c r="AL214" s="382"/>
      <c r="AM214" s="382"/>
      <c r="AN214" s="382"/>
      <c r="AO214" s="382"/>
      <c r="AP214" s="382"/>
      <c r="AQ214" s="382"/>
      <c r="AR214" s="382"/>
      <c r="AS214" s="382"/>
      <c r="AT214" s="382"/>
      <c r="AU214" s="382"/>
      <c r="AV214" s="382"/>
      <c r="AW214" s="382"/>
      <c r="AX214" s="382"/>
      <c r="AY214" s="382"/>
      <c r="AZ214" s="382"/>
      <c r="BA214" s="382"/>
      <c r="BB214" s="382"/>
      <c r="BC214" s="382"/>
      <c r="BD214" s="382"/>
      <c r="BE214" s="382"/>
      <c r="BF214" s="382"/>
      <c r="BG214" s="382"/>
      <c r="BH214" s="382"/>
      <c r="BI214" s="382"/>
      <c r="BJ214" s="382"/>
      <c r="BK214" s="382"/>
      <c r="BL214" s="382"/>
      <c r="BM214" s="382"/>
      <c r="BN214" s="382"/>
      <c r="BO214" s="382"/>
    </row>
    <row r="215" spans="1:67" s="88" customFormat="1" ht="10.55" customHeight="1" x14ac:dyDescent="0.2">
      <c r="A215" s="512" t="s">
        <v>461</v>
      </c>
      <c r="B215" s="2807"/>
      <c r="C215" s="2808"/>
      <c r="D215" s="2809"/>
      <c r="E215" s="2561"/>
      <c r="F215" s="2562"/>
      <c r="G215" s="1785">
        <v>30</v>
      </c>
      <c r="H215" s="524"/>
      <c r="I215" s="1409">
        <f t="shared" si="48"/>
        <v>4.7777640736176463E-2</v>
      </c>
      <c r="J215" s="1421">
        <f t="shared" si="49"/>
        <v>0</v>
      </c>
      <c r="K215" s="678">
        <v>1.5</v>
      </c>
      <c r="L215" s="1002"/>
      <c r="M215" s="1428">
        <f t="shared" si="50"/>
        <v>0</v>
      </c>
      <c r="N215" s="1110"/>
      <c r="O215" s="674">
        <f t="shared" si="51"/>
        <v>30</v>
      </c>
      <c r="P215" s="682"/>
      <c r="Q215" s="286"/>
      <c r="R215" s="287"/>
      <c r="S215" s="280"/>
      <c r="T215" s="280"/>
      <c r="U215" s="280"/>
      <c r="V215" s="280"/>
      <c r="W215" s="280"/>
      <c r="X215" s="280"/>
      <c r="Y215" s="280"/>
      <c r="Z215" s="284"/>
      <c r="AA215" s="284"/>
      <c r="AB215" s="284"/>
      <c r="AC215" s="284"/>
      <c r="AD215" s="284"/>
      <c r="AE215" s="284"/>
      <c r="AF215" s="447"/>
      <c r="AG215" s="447"/>
      <c r="AH215" s="447"/>
      <c r="AI215" s="382"/>
      <c r="AJ215" s="382"/>
      <c r="AK215" s="382"/>
      <c r="AL215" s="382"/>
      <c r="AM215" s="382"/>
      <c r="AN215" s="382"/>
      <c r="AO215" s="382"/>
      <c r="AP215" s="382"/>
      <c r="AQ215" s="382"/>
      <c r="AR215" s="382"/>
      <c r="AS215" s="382"/>
      <c r="AT215" s="382"/>
      <c r="AU215" s="382"/>
      <c r="AV215" s="382"/>
      <c r="AW215" s="382"/>
      <c r="AX215" s="382"/>
      <c r="AY215" s="382"/>
      <c r="AZ215" s="382"/>
      <c r="BA215" s="382"/>
      <c r="BB215" s="382"/>
      <c r="BC215" s="382"/>
      <c r="BD215" s="382"/>
      <c r="BE215" s="382"/>
      <c r="BF215" s="382"/>
      <c r="BG215" s="382"/>
      <c r="BH215" s="382"/>
      <c r="BI215" s="382"/>
      <c r="BJ215" s="382"/>
      <c r="BK215" s="382"/>
      <c r="BL215" s="382"/>
      <c r="BM215" s="382"/>
      <c r="BN215" s="382"/>
      <c r="BO215" s="382"/>
    </row>
    <row r="216" spans="1:67" s="88" customFormat="1" ht="10.55" customHeight="1" x14ac:dyDescent="0.2">
      <c r="A216" s="512" t="s">
        <v>462</v>
      </c>
      <c r="B216" s="2807"/>
      <c r="C216" s="2808"/>
      <c r="D216" s="2809"/>
      <c r="E216" s="2561"/>
      <c r="F216" s="2562"/>
      <c r="G216" s="1785">
        <v>30</v>
      </c>
      <c r="H216" s="524"/>
      <c r="I216" s="1409">
        <f t="shared" si="48"/>
        <v>4.7777640736176463E-2</v>
      </c>
      <c r="J216" s="1421">
        <f t="shared" si="49"/>
        <v>0</v>
      </c>
      <c r="K216" s="678">
        <v>1.5</v>
      </c>
      <c r="L216" s="1002"/>
      <c r="M216" s="1428">
        <f t="shared" si="50"/>
        <v>0</v>
      </c>
      <c r="N216" s="1110"/>
      <c r="O216" s="674">
        <f t="shared" si="51"/>
        <v>30</v>
      </c>
      <c r="P216" s="682"/>
      <c r="Q216" s="286"/>
      <c r="R216" s="287"/>
      <c r="S216" s="280"/>
      <c r="T216" s="280"/>
      <c r="U216" s="280"/>
      <c r="V216" s="280"/>
      <c r="W216" s="280"/>
      <c r="X216" s="280"/>
      <c r="Y216" s="280"/>
      <c r="Z216" s="284"/>
      <c r="AA216" s="284"/>
      <c r="AB216" s="284"/>
      <c r="AC216" s="284"/>
      <c r="AD216" s="284"/>
      <c r="AE216" s="284"/>
      <c r="AF216" s="447"/>
      <c r="AG216" s="447"/>
      <c r="AH216" s="447"/>
      <c r="AI216" s="382"/>
      <c r="AJ216" s="382"/>
      <c r="AK216" s="382"/>
      <c r="AL216" s="382"/>
      <c r="AM216" s="382"/>
      <c r="AN216" s="382"/>
      <c r="AO216" s="382"/>
      <c r="AP216" s="382"/>
      <c r="AQ216" s="382"/>
      <c r="AR216" s="382"/>
      <c r="AS216" s="382"/>
      <c r="AT216" s="382"/>
      <c r="AU216" s="382"/>
      <c r="AV216" s="382"/>
      <c r="AW216" s="382"/>
      <c r="AX216" s="382"/>
      <c r="AY216" s="382"/>
      <c r="AZ216" s="382"/>
      <c r="BA216" s="382"/>
      <c r="BB216" s="382"/>
      <c r="BC216" s="382"/>
      <c r="BD216" s="382"/>
      <c r="BE216" s="382"/>
      <c r="BF216" s="382"/>
      <c r="BG216" s="382"/>
      <c r="BH216" s="382"/>
      <c r="BI216" s="382"/>
      <c r="BJ216" s="382"/>
      <c r="BK216" s="382"/>
      <c r="BL216" s="382"/>
      <c r="BM216" s="382"/>
      <c r="BN216" s="382"/>
      <c r="BO216" s="382"/>
    </row>
    <row r="217" spans="1:67" s="88" customFormat="1" ht="10.55" customHeight="1" x14ac:dyDescent="0.2">
      <c r="A217" s="675"/>
      <c r="B217" s="2807"/>
      <c r="C217" s="2808"/>
      <c r="D217" s="2809"/>
      <c r="E217" s="2561"/>
      <c r="F217" s="2562"/>
      <c r="G217" s="1015"/>
      <c r="H217" s="524"/>
      <c r="I217" s="1409">
        <f t="shared" si="48"/>
        <v>0</v>
      </c>
      <c r="J217" s="1421">
        <f t="shared" si="49"/>
        <v>0</v>
      </c>
      <c r="K217" s="679"/>
      <c r="L217" s="1002"/>
      <c r="M217" s="1428">
        <f t="shared" si="50"/>
        <v>0</v>
      </c>
      <c r="N217" s="1110"/>
      <c r="O217" s="674">
        <f t="shared" si="51"/>
        <v>0</v>
      </c>
      <c r="P217" s="682"/>
      <c r="Q217" s="286"/>
      <c r="R217" s="287"/>
      <c r="S217" s="280"/>
      <c r="T217" s="280"/>
      <c r="U217" s="280"/>
      <c r="V217" s="280"/>
      <c r="W217" s="280"/>
      <c r="X217" s="280"/>
      <c r="Y217" s="280"/>
      <c r="Z217" s="284"/>
      <c r="AA217" s="284"/>
      <c r="AB217" s="284"/>
      <c r="AC217" s="284"/>
      <c r="AD217" s="284"/>
      <c r="AE217" s="284"/>
      <c r="AF217" s="447"/>
      <c r="AG217" s="447"/>
      <c r="AH217" s="447"/>
      <c r="AI217" s="382"/>
      <c r="AJ217" s="382"/>
      <c r="AK217" s="382"/>
      <c r="AL217" s="382"/>
      <c r="AM217" s="382"/>
      <c r="AN217" s="382"/>
      <c r="AO217" s="382"/>
      <c r="AP217" s="382"/>
      <c r="AQ217" s="382"/>
      <c r="AR217" s="382"/>
      <c r="AS217" s="382"/>
      <c r="AT217" s="382"/>
      <c r="AU217" s="382"/>
      <c r="AV217" s="382"/>
      <c r="AW217" s="382"/>
      <c r="AX217" s="382"/>
      <c r="AY217" s="382"/>
      <c r="AZ217" s="382"/>
      <c r="BA217" s="382"/>
      <c r="BB217" s="382"/>
      <c r="BC217" s="382"/>
      <c r="BD217" s="382"/>
      <c r="BE217" s="382"/>
      <c r="BF217" s="382"/>
      <c r="BG217" s="382"/>
      <c r="BH217" s="382"/>
      <c r="BI217" s="382"/>
      <c r="BJ217" s="382"/>
      <c r="BK217" s="382"/>
      <c r="BL217" s="382"/>
      <c r="BM217" s="382"/>
      <c r="BN217" s="382"/>
      <c r="BO217" s="382"/>
    </row>
    <row r="218" spans="1:67" s="88" customFormat="1" ht="10.55" customHeight="1" x14ac:dyDescent="0.2">
      <c r="A218" s="675"/>
      <c r="B218" s="2807"/>
      <c r="C218" s="2808"/>
      <c r="D218" s="2809"/>
      <c r="E218" s="2561"/>
      <c r="F218" s="2562"/>
      <c r="G218" s="1015"/>
      <c r="H218" s="524"/>
      <c r="I218" s="1409">
        <f t="shared" si="48"/>
        <v>0</v>
      </c>
      <c r="J218" s="1421">
        <f t="shared" si="49"/>
        <v>0</v>
      </c>
      <c r="K218" s="679"/>
      <c r="L218" s="1002"/>
      <c r="M218" s="1428">
        <f t="shared" si="50"/>
        <v>0</v>
      </c>
      <c r="N218" s="1110"/>
      <c r="O218" s="674">
        <f t="shared" si="51"/>
        <v>0</v>
      </c>
      <c r="P218" s="682"/>
      <c r="Q218" s="286"/>
      <c r="R218" s="287"/>
      <c r="S218" s="280"/>
      <c r="T218" s="280"/>
      <c r="U218" s="280"/>
      <c r="V218" s="280"/>
      <c r="W218" s="280"/>
      <c r="X218" s="280"/>
      <c r="Y218" s="280"/>
      <c r="Z218" s="284"/>
      <c r="AA218" s="284"/>
      <c r="AB218" s="284"/>
      <c r="AC218" s="284"/>
      <c r="AD218" s="284"/>
      <c r="AE218" s="284"/>
      <c r="AF218" s="447"/>
      <c r="AG218" s="447"/>
      <c r="AH218" s="447"/>
      <c r="AI218" s="382"/>
      <c r="AJ218" s="382"/>
      <c r="AK218" s="382"/>
      <c r="AL218" s="382"/>
      <c r="AM218" s="382"/>
      <c r="AN218" s="382"/>
      <c r="AO218" s="382"/>
      <c r="AP218" s="382"/>
      <c r="AQ218" s="382"/>
      <c r="AR218" s="382"/>
      <c r="AS218" s="382"/>
      <c r="AT218" s="382"/>
      <c r="AU218" s="382"/>
      <c r="AV218" s="382"/>
      <c r="AW218" s="382"/>
      <c r="AX218" s="382"/>
      <c r="AY218" s="382"/>
      <c r="AZ218" s="382"/>
      <c r="BA218" s="382"/>
      <c r="BB218" s="382"/>
      <c r="BC218" s="382"/>
      <c r="BD218" s="382"/>
      <c r="BE218" s="382"/>
      <c r="BF218" s="382"/>
      <c r="BG218" s="382"/>
      <c r="BH218" s="382"/>
      <c r="BI218" s="382"/>
      <c r="BJ218" s="382"/>
      <c r="BK218" s="382"/>
      <c r="BL218" s="382"/>
      <c r="BM218" s="382"/>
      <c r="BN218" s="382"/>
      <c r="BO218" s="382"/>
    </row>
    <row r="219" spans="1:67" s="88" customFormat="1" ht="10.55" customHeight="1" x14ac:dyDescent="0.2">
      <c r="A219" s="675"/>
      <c r="B219" s="2807"/>
      <c r="C219" s="2808"/>
      <c r="D219" s="2809"/>
      <c r="E219" s="2561"/>
      <c r="F219" s="2562"/>
      <c r="G219" s="1015"/>
      <c r="H219" s="524"/>
      <c r="I219" s="1409">
        <f t="shared" si="48"/>
        <v>0</v>
      </c>
      <c r="J219" s="1421">
        <f t="shared" si="49"/>
        <v>0</v>
      </c>
      <c r="K219" s="679"/>
      <c r="L219" s="1002"/>
      <c r="M219" s="1428">
        <f t="shared" si="50"/>
        <v>0</v>
      </c>
      <c r="N219" s="1110"/>
      <c r="O219" s="674">
        <f t="shared" si="51"/>
        <v>0</v>
      </c>
      <c r="P219" s="682"/>
      <c r="Q219" s="286"/>
      <c r="R219" s="287"/>
      <c r="S219" s="280"/>
      <c r="T219" s="280"/>
      <c r="U219" s="280"/>
      <c r="V219" s="280"/>
      <c r="W219" s="280"/>
      <c r="X219" s="280"/>
      <c r="Y219" s="280"/>
      <c r="Z219" s="284"/>
      <c r="AA219" s="284"/>
      <c r="AB219" s="284"/>
      <c r="AC219" s="284"/>
      <c r="AD219" s="284"/>
      <c r="AE219" s="284"/>
      <c r="AF219" s="447"/>
      <c r="AG219" s="447"/>
      <c r="AH219" s="447"/>
      <c r="AI219" s="382"/>
      <c r="AJ219" s="382"/>
      <c r="AK219" s="382"/>
      <c r="AL219" s="382"/>
      <c r="AM219" s="382"/>
      <c r="AN219" s="382"/>
      <c r="AO219" s="382"/>
      <c r="AP219" s="382"/>
      <c r="AQ219" s="382"/>
      <c r="AR219" s="382"/>
      <c r="AS219" s="382"/>
      <c r="AT219" s="382"/>
      <c r="AU219" s="382"/>
      <c r="AV219" s="382"/>
      <c r="AW219" s="382"/>
      <c r="AX219" s="382"/>
      <c r="AY219" s="382"/>
      <c r="AZ219" s="382"/>
      <c r="BA219" s="382"/>
      <c r="BB219" s="382"/>
      <c r="BC219" s="382"/>
      <c r="BD219" s="382"/>
      <c r="BE219" s="382"/>
      <c r="BF219" s="382"/>
      <c r="BG219" s="382"/>
      <c r="BH219" s="382"/>
      <c r="BI219" s="382"/>
      <c r="BJ219" s="382"/>
      <c r="BK219" s="382"/>
      <c r="BL219" s="382"/>
      <c r="BM219" s="382"/>
      <c r="BN219" s="382"/>
      <c r="BO219" s="382"/>
    </row>
    <row r="220" spans="1:67" s="88" customFormat="1" ht="10.55" customHeight="1" x14ac:dyDescent="0.2">
      <c r="A220" s="675"/>
      <c r="B220" s="2807"/>
      <c r="C220" s="2808"/>
      <c r="D220" s="2809"/>
      <c r="E220" s="2561"/>
      <c r="F220" s="2562"/>
      <c r="G220" s="1015"/>
      <c r="H220" s="524"/>
      <c r="I220" s="1409">
        <f t="shared" si="48"/>
        <v>0</v>
      </c>
      <c r="J220" s="1421">
        <f t="shared" si="49"/>
        <v>0</v>
      </c>
      <c r="K220" s="679"/>
      <c r="L220" s="1002"/>
      <c r="M220" s="1428">
        <f t="shared" si="50"/>
        <v>0</v>
      </c>
      <c r="N220" s="1110"/>
      <c r="O220" s="674">
        <f t="shared" si="51"/>
        <v>0</v>
      </c>
      <c r="P220" s="682"/>
      <c r="Q220" s="286"/>
      <c r="R220" s="287"/>
      <c r="S220" s="280"/>
      <c r="T220" s="280"/>
      <c r="U220" s="280"/>
      <c r="V220" s="280"/>
      <c r="W220" s="280"/>
      <c r="X220" s="280"/>
      <c r="Y220" s="280"/>
      <c r="Z220" s="284"/>
      <c r="AA220" s="284"/>
      <c r="AB220" s="284"/>
      <c r="AC220" s="284"/>
      <c r="AD220" s="284"/>
      <c r="AE220" s="284"/>
      <c r="AF220" s="447"/>
      <c r="AG220" s="447"/>
      <c r="AH220" s="447"/>
      <c r="AI220" s="382"/>
      <c r="AJ220" s="382"/>
      <c r="AK220" s="382"/>
      <c r="AL220" s="382"/>
      <c r="AM220" s="382"/>
      <c r="AN220" s="382"/>
      <c r="AO220" s="382"/>
      <c r="AP220" s="382"/>
      <c r="AQ220" s="382"/>
      <c r="AR220" s="382"/>
      <c r="AS220" s="382"/>
      <c r="AT220" s="382"/>
      <c r="AU220" s="382"/>
      <c r="AV220" s="382"/>
      <c r="AW220" s="382"/>
      <c r="AX220" s="382"/>
      <c r="AY220" s="382"/>
      <c r="AZ220" s="382"/>
      <c r="BA220" s="382"/>
      <c r="BB220" s="382"/>
      <c r="BC220" s="382"/>
      <c r="BD220" s="382"/>
      <c r="BE220" s="382"/>
      <c r="BF220" s="382"/>
      <c r="BG220" s="382"/>
      <c r="BH220" s="382"/>
      <c r="BI220" s="382"/>
      <c r="BJ220" s="382"/>
      <c r="BK220" s="382"/>
      <c r="BL220" s="382"/>
      <c r="BM220" s="382"/>
      <c r="BN220" s="382"/>
      <c r="BO220" s="382"/>
    </row>
    <row r="221" spans="1:67" s="88" customFormat="1" ht="10.55" customHeight="1" x14ac:dyDescent="0.2">
      <c r="A221" s="675"/>
      <c r="B221" s="2807"/>
      <c r="C221" s="2808"/>
      <c r="D221" s="2809"/>
      <c r="E221" s="2561"/>
      <c r="F221" s="2562"/>
      <c r="G221" s="1015"/>
      <c r="H221" s="524"/>
      <c r="I221" s="1409">
        <f t="shared" si="48"/>
        <v>0</v>
      </c>
      <c r="J221" s="1421">
        <f t="shared" si="49"/>
        <v>0</v>
      </c>
      <c r="K221" s="679"/>
      <c r="L221" s="1002"/>
      <c r="M221" s="1428">
        <f t="shared" si="50"/>
        <v>0</v>
      </c>
      <c r="N221" s="1110"/>
      <c r="O221" s="674">
        <f t="shared" si="51"/>
        <v>0</v>
      </c>
      <c r="P221" s="682"/>
      <c r="Q221" s="286"/>
      <c r="R221" s="287"/>
      <c r="S221" s="280"/>
      <c r="T221" s="280"/>
      <c r="U221" s="280"/>
      <c r="V221" s="280"/>
      <c r="W221" s="280"/>
      <c r="X221" s="280"/>
      <c r="Y221" s="280"/>
      <c r="Z221" s="284"/>
      <c r="AA221" s="284"/>
      <c r="AB221" s="284"/>
      <c r="AC221" s="284"/>
      <c r="AD221" s="284"/>
      <c r="AE221" s="284"/>
      <c r="AF221" s="447"/>
      <c r="AG221" s="447"/>
      <c r="AH221" s="447"/>
      <c r="AI221" s="382"/>
      <c r="AJ221" s="382"/>
      <c r="AK221" s="382"/>
      <c r="AL221" s="382"/>
      <c r="AM221" s="382"/>
      <c r="AN221" s="382"/>
      <c r="AO221" s="382"/>
      <c r="AP221" s="382"/>
      <c r="AQ221" s="382"/>
      <c r="AR221" s="382"/>
      <c r="AS221" s="382"/>
      <c r="AT221" s="382"/>
      <c r="AU221" s="382"/>
      <c r="AV221" s="382"/>
      <c r="AW221" s="382"/>
      <c r="AX221" s="382"/>
      <c r="AY221" s="382"/>
      <c r="AZ221" s="382"/>
      <c r="BA221" s="382"/>
      <c r="BB221" s="382"/>
      <c r="BC221" s="382"/>
      <c r="BD221" s="382"/>
      <c r="BE221" s="382"/>
      <c r="BF221" s="382"/>
      <c r="BG221" s="382"/>
      <c r="BH221" s="382"/>
      <c r="BI221" s="382"/>
      <c r="BJ221" s="382"/>
      <c r="BK221" s="382"/>
      <c r="BL221" s="382"/>
      <c r="BM221" s="382"/>
      <c r="BN221" s="382"/>
      <c r="BO221" s="382"/>
    </row>
    <row r="222" spans="1:67" s="88" customFormat="1" ht="10.55" customHeight="1" x14ac:dyDescent="0.2">
      <c r="A222" s="675"/>
      <c r="B222" s="2807"/>
      <c r="C222" s="2808"/>
      <c r="D222" s="2809"/>
      <c r="E222" s="2561"/>
      <c r="F222" s="2562"/>
      <c r="G222" s="1015"/>
      <c r="H222" s="524"/>
      <c r="I222" s="1409">
        <f t="shared" si="48"/>
        <v>0</v>
      </c>
      <c r="J222" s="1421">
        <f t="shared" si="49"/>
        <v>0</v>
      </c>
      <c r="K222" s="679"/>
      <c r="L222" s="1002"/>
      <c r="M222" s="1428">
        <f t="shared" si="50"/>
        <v>0</v>
      </c>
      <c r="N222" s="1110"/>
      <c r="O222" s="674">
        <f t="shared" si="51"/>
        <v>0</v>
      </c>
      <c r="P222" s="682"/>
      <c r="Q222" s="286"/>
      <c r="R222" s="287"/>
      <c r="S222" s="280"/>
      <c r="T222" s="280"/>
      <c r="U222" s="280"/>
      <c r="V222" s="280"/>
      <c r="W222" s="280"/>
      <c r="X222" s="280"/>
      <c r="Y222" s="280"/>
      <c r="Z222" s="284"/>
      <c r="AA222" s="284"/>
      <c r="AB222" s="284"/>
      <c r="AC222" s="284"/>
      <c r="AD222" s="284"/>
      <c r="AE222" s="284"/>
      <c r="AF222" s="447"/>
      <c r="AG222" s="447"/>
      <c r="AH222" s="447"/>
      <c r="AI222" s="382"/>
      <c r="AJ222" s="382"/>
      <c r="AK222" s="382"/>
      <c r="AL222" s="382"/>
      <c r="AM222" s="382"/>
      <c r="AN222" s="382"/>
      <c r="AO222" s="382"/>
      <c r="AP222" s="382"/>
      <c r="AQ222" s="382"/>
      <c r="AR222" s="382"/>
      <c r="AS222" s="382"/>
      <c r="AT222" s="382"/>
      <c r="AU222" s="382"/>
      <c r="AV222" s="382"/>
      <c r="AW222" s="382"/>
      <c r="AX222" s="382"/>
      <c r="AY222" s="382"/>
      <c r="AZ222" s="382"/>
      <c r="BA222" s="382"/>
      <c r="BB222" s="382"/>
      <c r="BC222" s="382"/>
      <c r="BD222" s="382"/>
      <c r="BE222" s="382"/>
      <c r="BF222" s="382"/>
      <c r="BG222" s="382"/>
      <c r="BH222" s="382"/>
      <c r="BI222" s="382"/>
      <c r="BJ222" s="382"/>
      <c r="BK222" s="382"/>
      <c r="BL222" s="382"/>
      <c r="BM222" s="382"/>
      <c r="BN222" s="382"/>
      <c r="BO222" s="382"/>
    </row>
    <row r="223" spans="1:67" s="88" customFormat="1" ht="10.55" customHeight="1" x14ac:dyDescent="0.2">
      <c r="A223" s="675"/>
      <c r="B223" s="2807"/>
      <c r="C223" s="2808"/>
      <c r="D223" s="2809"/>
      <c r="E223" s="2561"/>
      <c r="F223" s="2562"/>
      <c r="G223" s="1015"/>
      <c r="H223" s="524"/>
      <c r="I223" s="1409">
        <f t="shared" si="48"/>
        <v>0</v>
      </c>
      <c r="J223" s="1421">
        <f t="shared" si="49"/>
        <v>0</v>
      </c>
      <c r="K223" s="679"/>
      <c r="L223" s="1002"/>
      <c r="M223" s="1428">
        <f t="shared" si="50"/>
        <v>0</v>
      </c>
      <c r="N223" s="1110"/>
      <c r="O223" s="674">
        <f t="shared" si="51"/>
        <v>0</v>
      </c>
      <c r="P223" s="682"/>
      <c r="Q223" s="286"/>
      <c r="R223" s="287"/>
      <c r="S223" s="280"/>
      <c r="T223" s="280"/>
      <c r="U223" s="280"/>
      <c r="V223" s="280"/>
      <c r="W223" s="280"/>
      <c r="X223" s="280"/>
      <c r="Y223" s="280"/>
      <c r="Z223" s="284"/>
      <c r="AA223" s="284"/>
      <c r="AB223" s="284"/>
      <c r="AC223" s="284"/>
      <c r="AD223" s="284"/>
      <c r="AE223" s="284"/>
      <c r="AF223" s="447"/>
      <c r="AG223" s="447"/>
      <c r="AH223" s="447"/>
      <c r="AI223" s="382"/>
      <c r="AJ223" s="382"/>
      <c r="AK223" s="382"/>
      <c r="AL223" s="382"/>
      <c r="AM223" s="382"/>
      <c r="AN223" s="382"/>
      <c r="AO223" s="382"/>
      <c r="AP223" s="382"/>
      <c r="AQ223" s="382"/>
      <c r="AR223" s="382"/>
      <c r="AS223" s="382"/>
      <c r="AT223" s="382"/>
      <c r="AU223" s="382"/>
      <c r="AV223" s="382"/>
      <c r="AW223" s="382"/>
      <c r="AX223" s="382"/>
      <c r="AY223" s="382"/>
      <c r="AZ223" s="382"/>
      <c r="BA223" s="382"/>
      <c r="BB223" s="382"/>
      <c r="BC223" s="382"/>
      <c r="BD223" s="382"/>
      <c r="BE223" s="382"/>
      <c r="BF223" s="382"/>
      <c r="BG223" s="382"/>
      <c r="BH223" s="382"/>
      <c r="BI223" s="382"/>
      <c r="BJ223" s="382"/>
      <c r="BK223" s="382"/>
      <c r="BL223" s="382"/>
      <c r="BM223" s="382"/>
      <c r="BN223" s="382"/>
      <c r="BO223" s="382"/>
    </row>
    <row r="224" spans="1:67" s="88" customFormat="1" ht="10.55" customHeight="1" x14ac:dyDescent="0.2">
      <c r="A224" s="675"/>
      <c r="B224" s="2807"/>
      <c r="C224" s="2808"/>
      <c r="D224" s="2809"/>
      <c r="E224" s="2561"/>
      <c r="F224" s="2562"/>
      <c r="G224" s="1015"/>
      <c r="H224" s="524"/>
      <c r="I224" s="1409">
        <f t="shared" si="48"/>
        <v>0</v>
      </c>
      <c r="J224" s="1421">
        <f t="shared" si="49"/>
        <v>0</v>
      </c>
      <c r="K224" s="679"/>
      <c r="L224" s="1002"/>
      <c r="M224" s="1428">
        <f t="shared" si="50"/>
        <v>0</v>
      </c>
      <c r="N224" s="1110"/>
      <c r="O224" s="674">
        <f t="shared" si="51"/>
        <v>0</v>
      </c>
      <c r="P224" s="682"/>
      <c r="Q224" s="286"/>
      <c r="R224" s="287"/>
      <c r="S224" s="280"/>
      <c r="T224" s="280"/>
      <c r="U224" s="280"/>
      <c r="V224" s="280"/>
      <c r="W224" s="280"/>
      <c r="X224" s="280"/>
      <c r="Y224" s="280"/>
      <c r="Z224" s="284"/>
      <c r="AA224" s="284"/>
      <c r="AB224" s="284"/>
      <c r="AC224" s="284"/>
      <c r="AD224" s="284"/>
      <c r="AE224" s="284"/>
      <c r="AF224" s="447"/>
      <c r="AG224" s="447"/>
      <c r="AH224" s="447"/>
      <c r="AI224" s="382"/>
      <c r="AJ224" s="382"/>
      <c r="AK224" s="382"/>
      <c r="AL224" s="382"/>
      <c r="AM224" s="382"/>
      <c r="AN224" s="382"/>
      <c r="AO224" s="382"/>
      <c r="AP224" s="382"/>
      <c r="AQ224" s="382"/>
      <c r="AR224" s="382"/>
      <c r="AS224" s="382"/>
      <c r="AT224" s="382"/>
      <c r="AU224" s="382"/>
      <c r="AV224" s="382"/>
      <c r="AW224" s="382"/>
      <c r="AX224" s="382"/>
      <c r="AY224" s="382"/>
      <c r="AZ224" s="382"/>
      <c r="BA224" s="382"/>
      <c r="BB224" s="382"/>
      <c r="BC224" s="382"/>
      <c r="BD224" s="382"/>
      <c r="BE224" s="382"/>
      <c r="BF224" s="382"/>
      <c r="BG224" s="382"/>
      <c r="BH224" s="382"/>
      <c r="BI224" s="382"/>
      <c r="BJ224" s="382"/>
      <c r="BK224" s="382"/>
      <c r="BL224" s="382"/>
      <c r="BM224" s="382"/>
      <c r="BN224" s="382"/>
      <c r="BO224" s="382"/>
    </row>
    <row r="225" spans="1:67" s="88" customFormat="1" ht="10.55" customHeight="1" x14ac:dyDescent="0.2">
      <c r="A225" s="1153"/>
      <c r="B225" s="2884"/>
      <c r="C225" s="2885"/>
      <c r="D225" s="2886"/>
      <c r="E225" s="2793"/>
      <c r="F225" s="2794"/>
      <c r="G225" s="1086"/>
      <c r="H225" s="1087"/>
      <c r="I225" s="1437">
        <f t="shared" si="48"/>
        <v>0</v>
      </c>
      <c r="J225" s="1413"/>
      <c r="K225" s="1088"/>
      <c r="L225" s="1089"/>
      <c r="M225" s="1431">
        <f t="shared" si="50"/>
        <v>0</v>
      </c>
      <c r="N225" s="1110"/>
      <c r="O225" s="674">
        <f t="shared" si="51"/>
        <v>0</v>
      </c>
      <c r="P225" s="682"/>
      <c r="Q225" s="286"/>
      <c r="R225" s="287"/>
      <c r="S225" s="280"/>
      <c r="T225" s="280"/>
      <c r="U225" s="280"/>
      <c r="V225" s="280"/>
      <c r="W225" s="280"/>
      <c r="X225" s="280"/>
      <c r="Y225" s="280"/>
      <c r="Z225" s="284"/>
      <c r="AA225" s="284"/>
      <c r="AB225" s="284"/>
      <c r="AC225" s="284"/>
      <c r="AD225" s="284"/>
      <c r="AE225" s="284"/>
      <c r="AF225" s="447"/>
      <c r="AG225" s="447"/>
      <c r="AH225" s="447"/>
      <c r="AI225" s="382"/>
      <c r="AJ225" s="382"/>
      <c r="AK225" s="382"/>
      <c r="AL225" s="382"/>
      <c r="AM225" s="382"/>
      <c r="AN225" s="382"/>
      <c r="AO225" s="382"/>
      <c r="AP225" s="382"/>
      <c r="AQ225" s="382"/>
      <c r="AR225" s="382"/>
      <c r="AS225" s="382"/>
      <c r="AT225" s="382"/>
      <c r="AU225" s="382"/>
      <c r="AV225" s="382"/>
      <c r="AW225" s="382"/>
      <c r="AX225" s="382"/>
      <c r="AY225" s="382"/>
      <c r="AZ225" s="382"/>
      <c r="BA225" s="382"/>
      <c r="BB225" s="382"/>
      <c r="BC225" s="382"/>
      <c r="BD225" s="382"/>
      <c r="BE225" s="382"/>
      <c r="BF225" s="382"/>
      <c r="BG225" s="382"/>
      <c r="BH225" s="382"/>
      <c r="BI225" s="382"/>
      <c r="BJ225" s="382"/>
      <c r="BK225" s="382"/>
      <c r="BL225" s="382"/>
      <c r="BM225" s="382"/>
      <c r="BN225" s="382"/>
      <c r="BO225" s="382"/>
    </row>
    <row r="226" spans="1:67" s="88" customFormat="1" ht="10.55" customHeight="1" x14ac:dyDescent="0.2">
      <c r="A226" s="1145" t="s">
        <v>390</v>
      </c>
      <c r="B226" s="2783"/>
      <c r="C226" s="2784"/>
      <c r="D226" s="2785"/>
      <c r="E226" s="2810">
        <f>SUM(E227:E239)</f>
        <v>0</v>
      </c>
      <c r="F226" s="2811"/>
      <c r="G226" s="2747"/>
      <c r="H226" s="2748"/>
      <c r="I226" s="1435">
        <f>IF(E226=0,0,J226/E226)</f>
        <v>0</v>
      </c>
      <c r="J226" s="1423">
        <f>SUM(J227:J239)</f>
        <v>0</v>
      </c>
      <c r="K226" s="2749">
        <f>IF(E226=0,0,M226/E226*100)</f>
        <v>0</v>
      </c>
      <c r="L226" s="2750"/>
      <c r="M226" s="1430">
        <f>SUM(M227:M239)</f>
        <v>0</v>
      </c>
      <c r="N226" s="1110"/>
      <c r="O226" s="387">
        <f>IF(H226="",G226,H226)</f>
        <v>0</v>
      </c>
      <c r="P226" s="682"/>
      <c r="Q226" s="286"/>
      <c r="R226" s="287"/>
      <c r="S226" s="280"/>
      <c r="T226" s="280"/>
      <c r="U226" s="280"/>
      <c r="V226" s="280"/>
      <c r="W226" s="280"/>
      <c r="X226" s="280"/>
      <c r="Y226" s="280"/>
      <c r="Z226" s="284"/>
      <c r="AA226" s="284"/>
      <c r="AB226" s="284"/>
      <c r="AC226" s="284"/>
      <c r="AD226" s="284"/>
      <c r="AE226" s="284"/>
      <c r="AF226" s="447"/>
      <c r="AG226" s="447"/>
      <c r="AH226" s="447"/>
      <c r="AI226" s="382"/>
      <c r="AJ226" s="382"/>
      <c r="AK226" s="382"/>
      <c r="AL226" s="382"/>
      <c r="AM226" s="382"/>
      <c r="AN226" s="382"/>
      <c r="AO226" s="382"/>
      <c r="AP226" s="382"/>
      <c r="AQ226" s="382"/>
      <c r="AR226" s="382"/>
      <c r="AS226" s="382"/>
      <c r="AT226" s="382"/>
      <c r="AU226" s="382"/>
      <c r="AV226" s="382"/>
      <c r="AW226" s="382"/>
      <c r="AX226" s="382"/>
      <c r="AY226" s="382"/>
      <c r="AZ226" s="382"/>
      <c r="BA226" s="382"/>
      <c r="BB226" s="382"/>
      <c r="BC226" s="382"/>
      <c r="BD226" s="382"/>
      <c r="BE226" s="382"/>
      <c r="BF226" s="382"/>
      <c r="BG226" s="382"/>
      <c r="BH226" s="382"/>
      <c r="BI226" s="382"/>
      <c r="BJ226" s="382"/>
      <c r="BK226" s="382"/>
      <c r="BL226" s="382"/>
      <c r="BM226" s="382"/>
      <c r="BN226" s="382"/>
      <c r="BO226" s="382"/>
    </row>
    <row r="227" spans="1:67" s="88" customFormat="1" ht="10.55" customHeight="1" x14ac:dyDescent="0.2">
      <c r="A227" s="512" t="s">
        <v>391</v>
      </c>
      <c r="B227" s="2790"/>
      <c r="C227" s="2791"/>
      <c r="D227" s="2792"/>
      <c r="E227" s="2734"/>
      <c r="F227" s="2735"/>
      <c r="G227" s="1785">
        <v>30</v>
      </c>
      <c r="H227" s="524"/>
      <c r="I227" s="1409">
        <f t="shared" ref="I227:I240" si="52">IF($O227&gt;0,-PMT(($I$9),$O227,1),0)</f>
        <v>4.7777640736176463E-2</v>
      </c>
      <c r="J227" s="1421">
        <f t="shared" ref="J227:J239" si="53">ROUND(E227*I227,0)</f>
        <v>0</v>
      </c>
      <c r="K227" s="678">
        <v>1.5</v>
      </c>
      <c r="L227" s="1002"/>
      <c r="M227" s="1428">
        <f t="shared" ref="M227:M240" si="54">ROUND(E227/100*IF(ISBLANK(L227),K227,L227),0)</f>
        <v>0</v>
      </c>
      <c r="N227" s="1110"/>
      <c r="O227" s="674">
        <f t="shared" ref="O227:O240" si="55">IF(ISBLANK(H227),G227,H227)</f>
        <v>30</v>
      </c>
      <c r="P227" s="682"/>
      <c r="Q227" s="286"/>
      <c r="R227" s="287"/>
      <c r="S227" s="280"/>
      <c r="T227" s="280"/>
      <c r="U227" s="280"/>
      <c r="V227" s="280"/>
      <c r="W227" s="280"/>
      <c r="X227" s="280"/>
      <c r="Y227" s="280"/>
      <c r="Z227" s="284"/>
      <c r="AA227" s="284"/>
      <c r="AB227" s="284"/>
      <c r="AC227" s="284"/>
      <c r="AD227" s="284"/>
      <c r="AE227" s="284"/>
      <c r="AF227" s="447"/>
      <c r="AG227" s="447"/>
      <c r="AH227" s="447"/>
      <c r="AI227" s="382"/>
      <c r="AJ227" s="382"/>
      <c r="AK227" s="382"/>
      <c r="AL227" s="382"/>
      <c r="AM227" s="382"/>
      <c r="AN227" s="382"/>
      <c r="AO227" s="382"/>
      <c r="AP227" s="382"/>
      <c r="AQ227" s="382"/>
      <c r="AR227" s="382"/>
      <c r="AS227" s="382"/>
      <c r="AT227" s="382"/>
      <c r="AU227" s="382"/>
      <c r="AV227" s="382"/>
      <c r="AW227" s="382"/>
      <c r="AX227" s="382"/>
      <c r="AY227" s="382"/>
      <c r="AZ227" s="382"/>
      <c r="BA227" s="382"/>
      <c r="BB227" s="382"/>
      <c r="BC227" s="382"/>
      <c r="BD227" s="382"/>
      <c r="BE227" s="382"/>
      <c r="BF227" s="382"/>
      <c r="BG227" s="382"/>
      <c r="BH227" s="382"/>
      <c r="BI227" s="382"/>
      <c r="BJ227" s="382"/>
      <c r="BK227" s="382"/>
      <c r="BL227" s="382"/>
      <c r="BM227" s="382"/>
      <c r="BN227" s="382"/>
      <c r="BO227" s="382"/>
    </row>
    <row r="228" spans="1:67" s="88" customFormat="1" ht="10.55" customHeight="1" x14ac:dyDescent="0.2">
      <c r="A228" s="512" t="s">
        <v>392</v>
      </c>
      <c r="B228" s="2807"/>
      <c r="C228" s="2808"/>
      <c r="D228" s="2809"/>
      <c r="E228" s="2561"/>
      <c r="F228" s="2562"/>
      <c r="G228" s="1785">
        <v>30</v>
      </c>
      <c r="H228" s="524"/>
      <c r="I228" s="1409">
        <f t="shared" si="52"/>
        <v>4.7777640736176463E-2</v>
      </c>
      <c r="J228" s="1421">
        <f t="shared" si="53"/>
        <v>0</v>
      </c>
      <c r="K228" s="678">
        <v>2</v>
      </c>
      <c r="L228" s="1002"/>
      <c r="M228" s="1428">
        <f t="shared" si="54"/>
        <v>0</v>
      </c>
      <c r="N228" s="1110"/>
      <c r="O228" s="674">
        <f t="shared" si="55"/>
        <v>30</v>
      </c>
      <c r="P228" s="682"/>
      <c r="Q228" s="286"/>
      <c r="R228" s="287"/>
      <c r="S228" s="280"/>
      <c r="T228" s="280"/>
      <c r="U228" s="280"/>
      <c r="V228" s="280"/>
      <c r="W228" s="280"/>
      <c r="X228" s="280"/>
      <c r="Y228" s="280"/>
      <c r="Z228" s="284"/>
      <c r="AA228" s="284"/>
      <c r="AB228" s="284"/>
      <c r="AC228" s="284"/>
      <c r="AD228" s="284"/>
      <c r="AE228" s="284"/>
      <c r="AF228" s="447"/>
      <c r="AG228" s="447"/>
      <c r="AH228" s="447"/>
      <c r="AI228" s="382"/>
      <c r="AJ228" s="382"/>
      <c r="AK228" s="382"/>
      <c r="AL228" s="382"/>
      <c r="AM228" s="382"/>
      <c r="AN228" s="382"/>
      <c r="AO228" s="382"/>
      <c r="AP228" s="382"/>
      <c r="AQ228" s="382"/>
      <c r="AR228" s="382"/>
      <c r="AS228" s="382"/>
      <c r="AT228" s="382"/>
      <c r="AU228" s="382"/>
      <c r="AV228" s="382"/>
      <c r="AW228" s="382"/>
      <c r="AX228" s="382"/>
      <c r="AY228" s="382"/>
      <c r="AZ228" s="382"/>
      <c r="BA228" s="382"/>
      <c r="BB228" s="382"/>
      <c r="BC228" s="382"/>
      <c r="BD228" s="382"/>
      <c r="BE228" s="382"/>
      <c r="BF228" s="382"/>
      <c r="BG228" s="382"/>
      <c r="BH228" s="382"/>
      <c r="BI228" s="382"/>
      <c r="BJ228" s="382"/>
      <c r="BK228" s="382"/>
      <c r="BL228" s="382"/>
      <c r="BM228" s="382"/>
      <c r="BN228" s="382"/>
      <c r="BO228" s="382"/>
    </row>
    <row r="229" spans="1:67" s="88" customFormat="1" ht="10.55" customHeight="1" x14ac:dyDescent="0.2">
      <c r="A229" s="512" t="s">
        <v>393</v>
      </c>
      <c r="B229" s="2807"/>
      <c r="C229" s="2808"/>
      <c r="D229" s="2809"/>
      <c r="E229" s="2561"/>
      <c r="F229" s="2562"/>
      <c r="G229" s="1785">
        <v>30</v>
      </c>
      <c r="H229" s="524"/>
      <c r="I229" s="1409">
        <f t="shared" si="52"/>
        <v>4.7777640736176463E-2</v>
      </c>
      <c r="J229" s="1421">
        <f t="shared" si="53"/>
        <v>0</v>
      </c>
      <c r="K229" s="678">
        <v>2</v>
      </c>
      <c r="L229" s="1002"/>
      <c r="M229" s="1428">
        <f t="shared" si="54"/>
        <v>0</v>
      </c>
      <c r="N229" s="1110"/>
      <c r="O229" s="674">
        <f t="shared" si="55"/>
        <v>30</v>
      </c>
      <c r="P229" s="682"/>
      <c r="Q229" s="286"/>
      <c r="R229" s="287"/>
      <c r="S229" s="280"/>
      <c r="T229" s="280"/>
      <c r="U229" s="280"/>
      <c r="V229" s="280"/>
      <c r="W229" s="280"/>
      <c r="X229" s="280"/>
      <c r="Y229" s="280"/>
      <c r="Z229" s="284"/>
      <c r="AA229" s="284"/>
      <c r="AB229" s="284"/>
      <c r="AC229" s="284"/>
      <c r="AD229" s="284"/>
      <c r="AE229" s="284"/>
      <c r="AF229" s="447"/>
      <c r="AG229" s="447"/>
      <c r="AH229" s="447"/>
      <c r="AI229" s="382"/>
      <c r="AJ229" s="382"/>
      <c r="AK229" s="382"/>
      <c r="AL229" s="382"/>
      <c r="AM229" s="382"/>
      <c r="AN229" s="382"/>
      <c r="AO229" s="382"/>
      <c r="AP229" s="382"/>
      <c r="AQ229" s="382"/>
      <c r="AR229" s="382"/>
      <c r="AS229" s="382"/>
      <c r="AT229" s="382"/>
      <c r="AU229" s="382"/>
      <c r="AV229" s="382"/>
      <c r="AW229" s="382"/>
      <c r="AX229" s="382"/>
      <c r="AY229" s="382"/>
      <c r="AZ229" s="382"/>
      <c r="BA229" s="382"/>
      <c r="BB229" s="382"/>
      <c r="BC229" s="382"/>
      <c r="BD229" s="382"/>
      <c r="BE229" s="382"/>
      <c r="BF229" s="382"/>
      <c r="BG229" s="382"/>
      <c r="BH229" s="382"/>
      <c r="BI229" s="382"/>
      <c r="BJ229" s="382"/>
      <c r="BK229" s="382"/>
      <c r="BL229" s="382"/>
      <c r="BM229" s="382"/>
      <c r="BN229" s="382"/>
      <c r="BO229" s="382"/>
    </row>
    <row r="230" spans="1:67" s="88" customFormat="1" ht="10.55" customHeight="1" x14ac:dyDescent="0.2">
      <c r="A230" s="512" t="s">
        <v>394</v>
      </c>
      <c r="B230" s="2807"/>
      <c r="C230" s="2808"/>
      <c r="D230" s="2809"/>
      <c r="E230" s="2561"/>
      <c r="F230" s="2562"/>
      <c r="G230" s="1785">
        <v>30</v>
      </c>
      <c r="H230" s="524"/>
      <c r="I230" s="1409">
        <f t="shared" si="52"/>
        <v>4.7777640736176463E-2</v>
      </c>
      <c r="J230" s="1421">
        <f t="shared" si="53"/>
        <v>0</v>
      </c>
      <c r="K230" s="678">
        <v>0.5</v>
      </c>
      <c r="L230" s="1002"/>
      <c r="M230" s="1428">
        <f t="shared" si="54"/>
        <v>0</v>
      </c>
      <c r="N230" s="1110"/>
      <c r="O230" s="674">
        <f t="shared" si="55"/>
        <v>30</v>
      </c>
      <c r="P230" s="682"/>
      <c r="Q230" s="286"/>
      <c r="R230" s="287"/>
      <c r="S230" s="280"/>
      <c r="T230" s="280"/>
      <c r="U230" s="280"/>
      <c r="V230" s="280"/>
      <c r="W230" s="280"/>
      <c r="X230" s="280"/>
      <c r="Y230" s="280"/>
      <c r="Z230" s="284"/>
      <c r="AA230" s="284"/>
      <c r="AB230" s="284"/>
      <c r="AC230" s="284"/>
      <c r="AD230" s="284"/>
      <c r="AE230" s="284"/>
      <c r="AF230" s="447"/>
      <c r="AG230" s="447"/>
      <c r="AH230" s="447"/>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2"/>
      <c r="BD230" s="382"/>
      <c r="BE230" s="382"/>
      <c r="BF230" s="382"/>
      <c r="BG230" s="382"/>
      <c r="BH230" s="382"/>
      <c r="BI230" s="382"/>
      <c r="BJ230" s="382"/>
      <c r="BK230" s="382"/>
      <c r="BL230" s="382"/>
      <c r="BM230" s="382"/>
      <c r="BN230" s="382"/>
      <c r="BO230" s="382"/>
    </row>
    <row r="231" spans="1:67" s="88" customFormat="1" ht="10.55" customHeight="1" x14ac:dyDescent="0.2">
      <c r="A231" s="675"/>
      <c r="B231" s="2807"/>
      <c r="C231" s="2808"/>
      <c r="D231" s="2809"/>
      <c r="E231" s="2561"/>
      <c r="F231" s="2562"/>
      <c r="G231" s="1015"/>
      <c r="H231" s="524"/>
      <c r="I231" s="1409">
        <f t="shared" si="52"/>
        <v>0</v>
      </c>
      <c r="J231" s="1421">
        <f t="shared" si="53"/>
        <v>0</v>
      </c>
      <c r="K231" s="679"/>
      <c r="L231" s="1002"/>
      <c r="M231" s="1428">
        <f t="shared" si="54"/>
        <v>0</v>
      </c>
      <c r="N231" s="1110"/>
      <c r="O231" s="674">
        <f t="shared" si="55"/>
        <v>0</v>
      </c>
      <c r="P231" s="682"/>
      <c r="Q231" s="286"/>
      <c r="R231" s="287"/>
      <c r="S231" s="280"/>
      <c r="T231" s="280"/>
      <c r="U231" s="280"/>
      <c r="V231" s="280"/>
      <c r="W231" s="280"/>
      <c r="X231" s="280"/>
      <c r="Y231" s="280"/>
      <c r="Z231" s="284"/>
      <c r="AA231" s="284"/>
      <c r="AB231" s="284"/>
      <c r="AC231" s="284"/>
      <c r="AD231" s="284"/>
      <c r="AE231" s="284"/>
      <c r="AF231" s="447"/>
      <c r="AG231" s="447"/>
      <c r="AH231" s="447"/>
      <c r="AI231" s="382"/>
      <c r="AJ231" s="382"/>
      <c r="AK231" s="382"/>
      <c r="AL231" s="382"/>
      <c r="AM231" s="382"/>
      <c r="AN231" s="382"/>
      <c r="AO231" s="382"/>
      <c r="AP231" s="382"/>
      <c r="AQ231" s="382"/>
      <c r="AR231" s="382"/>
      <c r="AS231" s="382"/>
      <c r="AT231" s="382"/>
      <c r="AU231" s="382"/>
      <c r="AV231" s="382"/>
      <c r="AW231" s="382"/>
      <c r="AX231" s="382"/>
      <c r="AY231" s="382"/>
      <c r="AZ231" s="382"/>
      <c r="BA231" s="382"/>
      <c r="BB231" s="382"/>
      <c r="BC231" s="382"/>
      <c r="BD231" s="382"/>
      <c r="BE231" s="382"/>
      <c r="BF231" s="382"/>
      <c r="BG231" s="382"/>
      <c r="BH231" s="382"/>
      <c r="BI231" s="382"/>
      <c r="BJ231" s="382"/>
      <c r="BK231" s="382"/>
      <c r="BL231" s="382"/>
      <c r="BM231" s="382"/>
      <c r="BN231" s="382"/>
      <c r="BO231" s="382"/>
    </row>
    <row r="232" spans="1:67" s="88" customFormat="1" ht="10.55" customHeight="1" x14ac:dyDescent="0.2">
      <c r="A232" s="675"/>
      <c r="B232" s="2807"/>
      <c r="C232" s="2808"/>
      <c r="D232" s="2809"/>
      <c r="E232" s="2561"/>
      <c r="F232" s="2562"/>
      <c r="G232" s="1015"/>
      <c r="H232" s="524"/>
      <c r="I232" s="1409">
        <f t="shared" si="52"/>
        <v>0</v>
      </c>
      <c r="J232" s="1421">
        <f t="shared" si="53"/>
        <v>0</v>
      </c>
      <c r="K232" s="679"/>
      <c r="L232" s="1002"/>
      <c r="M232" s="1428">
        <f t="shared" si="54"/>
        <v>0</v>
      </c>
      <c r="N232" s="1110"/>
      <c r="O232" s="674">
        <f t="shared" si="55"/>
        <v>0</v>
      </c>
      <c r="P232" s="682"/>
      <c r="Q232" s="286"/>
      <c r="R232" s="287"/>
      <c r="S232" s="280"/>
      <c r="T232" s="280"/>
      <c r="U232" s="280"/>
      <c r="V232" s="280"/>
      <c r="W232" s="280"/>
      <c r="X232" s="280"/>
      <c r="Y232" s="280"/>
      <c r="Z232" s="284"/>
      <c r="AA232" s="284"/>
      <c r="AB232" s="284"/>
      <c r="AC232" s="284"/>
      <c r="AD232" s="284"/>
      <c r="AE232" s="284"/>
      <c r="AF232" s="447"/>
      <c r="AG232" s="447"/>
      <c r="AH232" s="447"/>
      <c r="AI232" s="382"/>
      <c r="AJ232" s="382"/>
      <c r="AK232" s="382"/>
      <c r="AL232" s="382"/>
      <c r="AM232" s="382"/>
      <c r="AN232" s="382"/>
      <c r="AO232" s="382"/>
      <c r="AP232" s="382"/>
      <c r="AQ232" s="382"/>
      <c r="AR232" s="382"/>
      <c r="AS232" s="382"/>
      <c r="AT232" s="382"/>
      <c r="AU232" s="382"/>
      <c r="AV232" s="382"/>
      <c r="AW232" s="382"/>
      <c r="AX232" s="382"/>
      <c r="AY232" s="382"/>
      <c r="AZ232" s="382"/>
      <c r="BA232" s="382"/>
      <c r="BB232" s="382"/>
      <c r="BC232" s="382"/>
      <c r="BD232" s="382"/>
      <c r="BE232" s="382"/>
      <c r="BF232" s="382"/>
      <c r="BG232" s="382"/>
      <c r="BH232" s="382"/>
      <c r="BI232" s="382"/>
      <c r="BJ232" s="382"/>
      <c r="BK232" s="382"/>
      <c r="BL232" s="382"/>
      <c r="BM232" s="382"/>
      <c r="BN232" s="382"/>
      <c r="BO232" s="382"/>
    </row>
    <row r="233" spans="1:67" s="88" customFormat="1" ht="10.55" customHeight="1" x14ac:dyDescent="0.2">
      <c r="A233" s="675"/>
      <c r="B233" s="2807"/>
      <c r="C233" s="2808"/>
      <c r="D233" s="2809"/>
      <c r="E233" s="2561"/>
      <c r="F233" s="2562"/>
      <c r="G233" s="1015"/>
      <c r="H233" s="524"/>
      <c r="I233" s="1409">
        <f t="shared" si="52"/>
        <v>0</v>
      </c>
      <c r="J233" s="1421">
        <f t="shared" si="53"/>
        <v>0</v>
      </c>
      <c r="K233" s="679"/>
      <c r="L233" s="1002"/>
      <c r="M233" s="1428">
        <f t="shared" si="54"/>
        <v>0</v>
      </c>
      <c r="N233" s="1110"/>
      <c r="O233" s="674">
        <f t="shared" si="55"/>
        <v>0</v>
      </c>
      <c r="P233" s="682"/>
      <c r="Q233" s="286"/>
      <c r="R233" s="287"/>
      <c r="S233" s="280"/>
      <c r="T233" s="280"/>
      <c r="U233" s="280"/>
      <c r="V233" s="280"/>
      <c r="W233" s="280"/>
      <c r="X233" s="280"/>
      <c r="Y233" s="280"/>
      <c r="Z233" s="284"/>
      <c r="AA233" s="284"/>
      <c r="AB233" s="284"/>
      <c r="AC233" s="284"/>
      <c r="AD233" s="284"/>
      <c r="AE233" s="284"/>
      <c r="AF233" s="447"/>
      <c r="AG233" s="447"/>
      <c r="AH233" s="447"/>
      <c r="AI233" s="382"/>
      <c r="AJ233" s="382"/>
      <c r="AK233" s="382"/>
      <c r="AL233" s="382"/>
      <c r="AM233" s="382"/>
      <c r="AN233" s="382"/>
      <c r="AO233" s="382"/>
      <c r="AP233" s="382"/>
      <c r="AQ233" s="382"/>
      <c r="AR233" s="382"/>
      <c r="AS233" s="382"/>
      <c r="AT233" s="382"/>
      <c r="AU233" s="382"/>
      <c r="AV233" s="382"/>
      <c r="AW233" s="382"/>
      <c r="AX233" s="382"/>
      <c r="AY233" s="382"/>
      <c r="AZ233" s="382"/>
      <c r="BA233" s="382"/>
      <c r="BB233" s="382"/>
      <c r="BC233" s="382"/>
      <c r="BD233" s="382"/>
      <c r="BE233" s="382"/>
      <c r="BF233" s="382"/>
      <c r="BG233" s="382"/>
      <c r="BH233" s="382"/>
      <c r="BI233" s="382"/>
      <c r="BJ233" s="382"/>
      <c r="BK233" s="382"/>
      <c r="BL233" s="382"/>
      <c r="BM233" s="382"/>
      <c r="BN233" s="382"/>
      <c r="BO233" s="382"/>
    </row>
    <row r="234" spans="1:67" s="88" customFormat="1" ht="10.55" customHeight="1" x14ac:dyDescent="0.2">
      <c r="A234" s="675"/>
      <c r="B234" s="2807"/>
      <c r="C234" s="2808"/>
      <c r="D234" s="2809"/>
      <c r="E234" s="2561"/>
      <c r="F234" s="2562"/>
      <c r="G234" s="1015"/>
      <c r="H234" s="524"/>
      <c r="I234" s="1409">
        <f t="shared" si="52"/>
        <v>0</v>
      </c>
      <c r="J234" s="1421">
        <f t="shared" si="53"/>
        <v>0</v>
      </c>
      <c r="K234" s="679"/>
      <c r="L234" s="1002"/>
      <c r="M234" s="1428">
        <f t="shared" si="54"/>
        <v>0</v>
      </c>
      <c r="N234" s="1110"/>
      <c r="O234" s="674">
        <f t="shared" si="55"/>
        <v>0</v>
      </c>
      <c r="P234" s="682"/>
      <c r="Q234" s="286"/>
      <c r="R234" s="287"/>
      <c r="S234" s="280"/>
      <c r="T234" s="280"/>
      <c r="U234" s="280"/>
      <c r="V234" s="280"/>
      <c r="W234" s="280"/>
      <c r="X234" s="280"/>
      <c r="Y234" s="280"/>
      <c r="Z234" s="284"/>
      <c r="AA234" s="284"/>
      <c r="AB234" s="284"/>
      <c r="AC234" s="284"/>
      <c r="AD234" s="284"/>
      <c r="AE234" s="284"/>
      <c r="AF234" s="447"/>
      <c r="AG234" s="447"/>
      <c r="AH234" s="447"/>
      <c r="AI234" s="382"/>
      <c r="AJ234" s="382"/>
      <c r="AK234" s="382"/>
      <c r="AL234" s="382"/>
      <c r="AM234" s="382"/>
      <c r="AN234" s="382"/>
      <c r="AO234" s="382"/>
      <c r="AP234" s="382"/>
      <c r="AQ234" s="382"/>
      <c r="AR234" s="382"/>
      <c r="AS234" s="382"/>
      <c r="AT234" s="382"/>
      <c r="AU234" s="382"/>
      <c r="AV234" s="382"/>
      <c r="AW234" s="382"/>
      <c r="AX234" s="382"/>
      <c r="AY234" s="382"/>
      <c r="AZ234" s="382"/>
      <c r="BA234" s="382"/>
      <c r="BB234" s="382"/>
      <c r="BC234" s="382"/>
      <c r="BD234" s="382"/>
      <c r="BE234" s="382"/>
      <c r="BF234" s="382"/>
      <c r="BG234" s="382"/>
      <c r="BH234" s="382"/>
      <c r="BI234" s="382"/>
      <c r="BJ234" s="382"/>
      <c r="BK234" s="382"/>
      <c r="BL234" s="382"/>
      <c r="BM234" s="382"/>
      <c r="BN234" s="382"/>
      <c r="BO234" s="382"/>
    </row>
    <row r="235" spans="1:67" s="88" customFormat="1" ht="10.55" customHeight="1" x14ac:dyDescent="0.2">
      <c r="A235" s="675"/>
      <c r="B235" s="2807"/>
      <c r="C235" s="2808"/>
      <c r="D235" s="2809"/>
      <c r="E235" s="2561"/>
      <c r="F235" s="2562"/>
      <c r="G235" s="1015"/>
      <c r="H235" s="524"/>
      <c r="I235" s="1409">
        <f t="shared" si="52"/>
        <v>0</v>
      </c>
      <c r="J235" s="1421">
        <f t="shared" si="53"/>
        <v>0</v>
      </c>
      <c r="K235" s="679"/>
      <c r="L235" s="1002"/>
      <c r="M235" s="1428">
        <f t="shared" si="54"/>
        <v>0</v>
      </c>
      <c r="N235" s="1110"/>
      <c r="O235" s="674">
        <f t="shared" si="55"/>
        <v>0</v>
      </c>
      <c r="P235" s="682"/>
      <c r="Q235" s="286"/>
      <c r="R235" s="287"/>
      <c r="S235" s="280"/>
      <c r="T235" s="280"/>
      <c r="U235" s="280"/>
      <c r="V235" s="280"/>
      <c r="W235" s="280"/>
      <c r="X235" s="280"/>
      <c r="Y235" s="280"/>
      <c r="Z235" s="284"/>
      <c r="AA235" s="284"/>
      <c r="AB235" s="284"/>
      <c r="AC235" s="284"/>
      <c r="AD235" s="284"/>
      <c r="AE235" s="284"/>
      <c r="AF235" s="447"/>
      <c r="AG235" s="447"/>
      <c r="AH235" s="447"/>
      <c r="AI235" s="382"/>
      <c r="AJ235" s="382"/>
      <c r="AK235" s="382"/>
      <c r="AL235" s="382"/>
      <c r="AM235" s="382"/>
      <c r="AN235" s="382"/>
      <c r="AO235" s="382"/>
      <c r="AP235" s="382"/>
      <c r="AQ235" s="382"/>
      <c r="AR235" s="382"/>
      <c r="AS235" s="382"/>
      <c r="AT235" s="382"/>
      <c r="AU235" s="382"/>
      <c r="AV235" s="382"/>
      <c r="AW235" s="382"/>
      <c r="AX235" s="382"/>
      <c r="AY235" s="382"/>
      <c r="AZ235" s="382"/>
      <c r="BA235" s="382"/>
      <c r="BB235" s="382"/>
      <c r="BC235" s="382"/>
      <c r="BD235" s="382"/>
      <c r="BE235" s="382"/>
      <c r="BF235" s="382"/>
      <c r="BG235" s="382"/>
      <c r="BH235" s="382"/>
      <c r="BI235" s="382"/>
      <c r="BJ235" s="382"/>
      <c r="BK235" s="382"/>
      <c r="BL235" s="382"/>
      <c r="BM235" s="382"/>
      <c r="BN235" s="382"/>
      <c r="BO235" s="382"/>
    </row>
    <row r="236" spans="1:67" s="88" customFormat="1" ht="10.55" customHeight="1" x14ac:dyDescent="0.2">
      <c r="A236" s="675"/>
      <c r="B236" s="2807"/>
      <c r="C236" s="2808"/>
      <c r="D236" s="2809"/>
      <c r="E236" s="2561"/>
      <c r="F236" s="2562"/>
      <c r="G236" s="1015"/>
      <c r="H236" s="524"/>
      <c r="I236" s="1409">
        <f t="shared" si="52"/>
        <v>0</v>
      </c>
      <c r="J236" s="1421">
        <f t="shared" si="53"/>
        <v>0</v>
      </c>
      <c r="K236" s="679"/>
      <c r="L236" s="1002"/>
      <c r="M236" s="1428">
        <f t="shared" si="54"/>
        <v>0</v>
      </c>
      <c r="N236" s="1110"/>
      <c r="O236" s="674">
        <f t="shared" si="55"/>
        <v>0</v>
      </c>
      <c r="P236" s="682"/>
      <c r="Q236" s="286"/>
      <c r="R236" s="287"/>
      <c r="S236" s="280"/>
      <c r="T236" s="280"/>
      <c r="U236" s="280"/>
      <c r="V236" s="280"/>
      <c r="W236" s="280"/>
      <c r="X236" s="280"/>
      <c r="Y236" s="280"/>
      <c r="Z236" s="284"/>
      <c r="AA236" s="284"/>
      <c r="AB236" s="284"/>
      <c r="AC236" s="284"/>
      <c r="AD236" s="284"/>
      <c r="AE236" s="284"/>
      <c r="AF236" s="447"/>
      <c r="AG236" s="447"/>
      <c r="AH236" s="447"/>
      <c r="AI236" s="382"/>
      <c r="AJ236" s="382"/>
      <c r="AK236" s="382"/>
      <c r="AL236" s="382"/>
      <c r="AM236" s="382"/>
      <c r="AN236" s="382"/>
      <c r="AO236" s="382"/>
      <c r="AP236" s="382"/>
      <c r="AQ236" s="382"/>
      <c r="AR236" s="382"/>
      <c r="AS236" s="382"/>
      <c r="AT236" s="382"/>
      <c r="AU236" s="382"/>
      <c r="AV236" s="382"/>
      <c r="AW236" s="382"/>
      <c r="AX236" s="382"/>
      <c r="AY236" s="382"/>
      <c r="AZ236" s="382"/>
      <c r="BA236" s="382"/>
      <c r="BB236" s="382"/>
      <c r="BC236" s="382"/>
      <c r="BD236" s="382"/>
      <c r="BE236" s="382"/>
      <c r="BF236" s="382"/>
      <c r="BG236" s="382"/>
      <c r="BH236" s="382"/>
      <c r="BI236" s="382"/>
      <c r="BJ236" s="382"/>
      <c r="BK236" s="382"/>
      <c r="BL236" s="382"/>
      <c r="BM236" s="382"/>
      <c r="BN236" s="382"/>
      <c r="BO236" s="382"/>
    </row>
    <row r="237" spans="1:67" s="88" customFormat="1" ht="10.55" customHeight="1" x14ac:dyDescent="0.2">
      <c r="A237" s="675"/>
      <c r="B237" s="2807"/>
      <c r="C237" s="2808"/>
      <c r="D237" s="2809"/>
      <c r="E237" s="2561"/>
      <c r="F237" s="2562"/>
      <c r="G237" s="1015"/>
      <c r="H237" s="524"/>
      <c r="I237" s="1409">
        <f t="shared" si="52"/>
        <v>0</v>
      </c>
      <c r="J237" s="1421">
        <f t="shared" si="53"/>
        <v>0</v>
      </c>
      <c r="K237" s="679"/>
      <c r="L237" s="1002"/>
      <c r="M237" s="1428">
        <f t="shared" si="54"/>
        <v>0</v>
      </c>
      <c r="N237" s="1110"/>
      <c r="O237" s="674">
        <f t="shared" si="55"/>
        <v>0</v>
      </c>
      <c r="P237" s="682"/>
      <c r="Q237" s="286"/>
      <c r="R237" s="287"/>
      <c r="S237" s="280"/>
      <c r="T237" s="280"/>
      <c r="U237" s="280"/>
      <c r="V237" s="280"/>
      <c r="W237" s="280"/>
      <c r="X237" s="280"/>
      <c r="Y237" s="280"/>
      <c r="Z237" s="284"/>
      <c r="AA237" s="284"/>
      <c r="AB237" s="284"/>
      <c r="AC237" s="284"/>
      <c r="AD237" s="284"/>
      <c r="AE237" s="284"/>
      <c r="AF237" s="447"/>
      <c r="AG237" s="447"/>
      <c r="AH237" s="447"/>
      <c r="AI237" s="382"/>
      <c r="AJ237" s="382"/>
      <c r="AK237" s="382"/>
      <c r="AL237" s="382"/>
      <c r="AM237" s="382"/>
      <c r="AN237" s="382"/>
      <c r="AO237" s="382"/>
      <c r="AP237" s="382"/>
      <c r="AQ237" s="382"/>
      <c r="AR237" s="382"/>
      <c r="AS237" s="382"/>
      <c r="AT237" s="382"/>
      <c r="AU237" s="382"/>
      <c r="AV237" s="382"/>
      <c r="AW237" s="382"/>
      <c r="AX237" s="382"/>
      <c r="AY237" s="382"/>
      <c r="AZ237" s="382"/>
      <c r="BA237" s="382"/>
      <c r="BB237" s="382"/>
      <c r="BC237" s="382"/>
      <c r="BD237" s="382"/>
      <c r="BE237" s="382"/>
      <c r="BF237" s="382"/>
      <c r="BG237" s="382"/>
      <c r="BH237" s="382"/>
      <c r="BI237" s="382"/>
      <c r="BJ237" s="382"/>
      <c r="BK237" s="382"/>
      <c r="BL237" s="382"/>
      <c r="BM237" s="382"/>
      <c r="BN237" s="382"/>
      <c r="BO237" s="382"/>
    </row>
    <row r="238" spans="1:67" s="88" customFormat="1" ht="10.55" customHeight="1" x14ac:dyDescent="0.2">
      <c r="A238" s="675"/>
      <c r="B238" s="2807"/>
      <c r="C238" s="2808"/>
      <c r="D238" s="2809"/>
      <c r="E238" s="2561"/>
      <c r="F238" s="2562"/>
      <c r="G238" s="1015"/>
      <c r="H238" s="524"/>
      <c r="I238" s="1409">
        <f t="shared" si="52"/>
        <v>0</v>
      </c>
      <c r="J238" s="1421">
        <f t="shared" si="53"/>
        <v>0</v>
      </c>
      <c r="K238" s="679"/>
      <c r="L238" s="1002"/>
      <c r="M238" s="1428">
        <f t="shared" si="54"/>
        <v>0</v>
      </c>
      <c r="N238" s="1110"/>
      <c r="O238" s="674">
        <f t="shared" si="55"/>
        <v>0</v>
      </c>
      <c r="P238" s="682"/>
      <c r="Q238" s="286"/>
      <c r="R238" s="287"/>
      <c r="S238" s="280"/>
      <c r="T238" s="280"/>
      <c r="U238" s="280"/>
      <c r="V238" s="280"/>
      <c r="W238" s="280"/>
      <c r="X238" s="280"/>
      <c r="Y238" s="280"/>
      <c r="Z238" s="284"/>
      <c r="AA238" s="284"/>
      <c r="AB238" s="284"/>
      <c r="AC238" s="284"/>
      <c r="AD238" s="284"/>
      <c r="AE238" s="284"/>
      <c r="AF238" s="447"/>
      <c r="AG238" s="447"/>
      <c r="AH238" s="447"/>
      <c r="AI238" s="382"/>
      <c r="AJ238" s="382"/>
      <c r="AK238" s="382"/>
      <c r="AL238" s="382"/>
      <c r="AM238" s="382"/>
      <c r="AN238" s="382"/>
      <c r="AO238" s="382"/>
      <c r="AP238" s="382"/>
      <c r="AQ238" s="382"/>
      <c r="AR238" s="382"/>
      <c r="AS238" s="382"/>
      <c r="AT238" s="382"/>
      <c r="AU238" s="382"/>
      <c r="AV238" s="382"/>
      <c r="AW238" s="382"/>
      <c r="AX238" s="382"/>
      <c r="AY238" s="382"/>
      <c r="AZ238" s="382"/>
      <c r="BA238" s="382"/>
      <c r="BB238" s="382"/>
      <c r="BC238" s="382"/>
      <c r="BD238" s="382"/>
      <c r="BE238" s="382"/>
      <c r="BF238" s="382"/>
      <c r="BG238" s="382"/>
      <c r="BH238" s="382"/>
      <c r="BI238" s="382"/>
      <c r="BJ238" s="382"/>
      <c r="BK238" s="382"/>
      <c r="BL238" s="382"/>
      <c r="BM238" s="382"/>
      <c r="BN238" s="382"/>
      <c r="BO238" s="382"/>
    </row>
    <row r="239" spans="1:67" s="88" customFormat="1" ht="10.55" customHeight="1" x14ac:dyDescent="0.2">
      <c r="A239" s="675"/>
      <c r="B239" s="2807"/>
      <c r="C239" s="2808"/>
      <c r="D239" s="2809"/>
      <c r="E239" s="2561"/>
      <c r="F239" s="2562"/>
      <c r="G239" s="1015"/>
      <c r="H239" s="524"/>
      <c r="I239" s="1409">
        <f t="shared" si="52"/>
        <v>0</v>
      </c>
      <c r="J239" s="1421">
        <f t="shared" si="53"/>
        <v>0</v>
      </c>
      <c r="K239" s="679"/>
      <c r="L239" s="1002"/>
      <c r="M239" s="1428">
        <f t="shared" si="54"/>
        <v>0</v>
      </c>
      <c r="N239" s="1110"/>
      <c r="O239" s="674">
        <f t="shared" si="55"/>
        <v>0</v>
      </c>
      <c r="P239" s="682"/>
      <c r="Q239" s="286"/>
      <c r="R239" s="287"/>
      <c r="S239" s="280"/>
      <c r="T239" s="280"/>
      <c r="U239" s="280"/>
      <c r="V239" s="280"/>
      <c r="W239" s="280"/>
      <c r="X239" s="280"/>
      <c r="Y239" s="280"/>
      <c r="Z239" s="284"/>
      <c r="AA239" s="284"/>
      <c r="AB239" s="284"/>
      <c r="AC239" s="284"/>
      <c r="AD239" s="284"/>
      <c r="AE239" s="284"/>
      <c r="AF239" s="447"/>
      <c r="AG239" s="447"/>
      <c r="AH239" s="447"/>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c r="BL239" s="382"/>
      <c r="BM239" s="382"/>
      <c r="BN239" s="382"/>
      <c r="BO239" s="382"/>
    </row>
    <row r="240" spans="1:67" s="88" customFormat="1" ht="10.55" customHeight="1" x14ac:dyDescent="0.2">
      <c r="A240" s="511"/>
      <c r="B240" s="2884"/>
      <c r="C240" s="2885"/>
      <c r="D240" s="2886"/>
      <c r="E240" s="2793"/>
      <c r="F240" s="2794"/>
      <c r="G240" s="1018"/>
      <c r="H240" s="1019"/>
      <c r="I240" s="1436">
        <f t="shared" si="52"/>
        <v>0</v>
      </c>
      <c r="J240" s="1422"/>
      <c r="K240" s="680"/>
      <c r="L240" s="1020"/>
      <c r="M240" s="1429">
        <f t="shared" si="54"/>
        <v>0</v>
      </c>
      <c r="N240" s="1110"/>
      <c r="O240" s="674">
        <f t="shared" si="55"/>
        <v>0</v>
      </c>
      <c r="P240" s="682"/>
      <c r="Q240" s="286"/>
      <c r="R240" s="287"/>
      <c r="S240" s="280"/>
      <c r="T240" s="280"/>
      <c r="U240" s="280"/>
      <c r="V240" s="280"/>
      <c r="W240" s="280"/>
      <c r="X240" s="280"/>
      <c r="Y240" s="280"/>
      <c r="Z240" s="284"/>
      <c r="AA240" s="284"/>
      <c r="AB240" s="284"/>
      <c r="AC240" s="284"/>
      <c r="AD240" s="284"/>
      <c r="AE240" s="284"/>
      <c r="AF240" s="447"/>
      <c r="AG240" s="447"/>
      <c r="AH240" s="447"/>
      <c r="AI240" s="382"/>
      <c r="AJ240" s="382"/>
      <c r="AK240" s="382"/>
      <c r="AL240" s="382"/>
      <c r="AM240" s="382"/>
      <c r="AN240" s="382"/>
      <c r="AO240" s="382"/>
      <c r="AP240" s="382"/>
      <c r="AQ240" s="382"/>
      <c r="AR240" s="382"/>
      <c r="AS240" s="382"/>
      <c r="AT240" s="382"/>
      <c r="AU240" s="382"/>
      <c r="AV240" s="382"/>
      <c r="AW240" s="382"/>
      <c r="AX240" s="382"/>
      <c r="AY240" s="382"/>
      <c r="AZ240" s="382"/>
      <c r="BA240" s="382"/>
      <c r="BB240" s="382"/>
      <c r="BC240" s="382"/>
      <c r="BD240" s="382"/>
      <c r="BE240" s="382"/>
      <c r="BF240" s="382"/>
      <c r="BG240" s="382"/>
      <c r="BH240" s="382"/>
      <c r="BI240" s="382"/>
      <c r="BJ240" s="382"/>
      <c r="BK240" s="382"/>
      <c r="BL240" s="382"/>
      <c r="BM240" s="382"/>
      <c r="BN240" s="382"/>
      <c r="BO240" s="382"/>
    </row>
    <row r="241" spans="1:67" s="88" customFormat="1" ht="10.55" customHeight="1" x14ac:dyDescent="0.2">
      <c r="A241" s="1145" t="s">
        <v>395</v>
      </c>
      <c r="B241" s="2783"/>
      <c r="C241" s="2784"/>
      <c r="D241" s="2785"/>
      <c r="E241" s="2810">
        <f>SUM(E242:E254)</f>
        <v>0</v>
      </c>
      <c r="F241" s="2811"/>
      <c r="G241" s="2747"/>
      <c r="H241" s="2748"/>
      <c r="I241" s="1435">
        <f>IF(E241=0,0,J241/E241)</f>
        <v>0</v>
      </c>
      <c r="J241" s="1423">
        <f>SUM(J242:J254)</f>
        <v>0</v>
      </c>
      <c r="K241" s="2749">
        <f>IF(E241=0,0,M241/E241*100)</f>
        <v>0</v>
      </c>
      <c r="L241" s="2750"/>
      <c r="M241" s="1430">
        <f>SUM(M242:M254)</f>
        <v>0</v>
      </c>
      <c r="N241" s="1110"/>
      <c r="O241" s="387">
        <f>IF(H241="",G241,H241)</f>
        <v>0</v>
      </c>
      <c r="P241" s="682"/>
      <c r="Q241" s="286"/>
      <c r="R241" s="287"/>
      <c r="S241" s="280"/>
      <c r="T241" s="280"/>
      <c r="U241" s="280"/>
      <c r="V241" s="280"/>
      <c r="W241" s="280"/>
      <c r="X241" s="280"/>
      <c r="Y241" s="280"/>
      <c r="Z241" s="284"/>
      <c r="AA241" s="284"/>
      <c r="AB241" s="284"/>
      <c r="AC241" s="284"/>
      <c r="AD241" s="284"/>
      <c r="AE241" s="284"/>
      <c r="AF241" s="447"/>
      <c r="AG241" s="447"/>
      <c r="AH241" s="447"/>
      <c r="AI241" s="382"/>
      <c r="AJ241" s="382"/>
      <c r="AK241" s="382"/>
      <c r="AL241" s="382"/>
      <c r="AM241" s="382"/>
      <c r="AN241" s="382"/>
      <c r="AO241" s="382"/>
      <c r="AP241" s="382"/>
      <c r="AQ241" s="382"/>
      <c r="AR241" s="382"/>
      <c r="AS241" s="382"/>
      <c r="AT241" s="382"/>
      <c r="AU241" s="382"/>
      <c r="AV241" s="382"/>
      <c r="AW241" s="382"/>
      <c r="AX241" s="382"/>
      <c r="AY241" s="382"/>
      <c r="AZ241" s="382"/>
      <c r="BA241" s="382"/>
      <c r="BB241" s="382"/>
      <c r="BC241" s="382"/>
      <c r="BD241" s="382"/>
      <c r="BE241" s="382"/>
      <c r="BF241" s="382"/>
      <c r="BG241" s="382"/>
      <c r="BH241" s="382"/>
      <c r="BI241" s="382"/>
      <c r="BJ241" s="382"/>
      <c r="BK241" s="382"/>
      <c r="BL241" s="382"/>
      <c r="BM241" s="382"/>
      <c r="BN241" s="382"/>
      <c r="BO241" s="382"/>
    </row>
    <row r="242" spans="1:67" s="88" customFormat="1" ht="10.55" customHeight="1" x14ac:dyDescent="0.2">
      <c r="A242" s="512" t="s">
        <v>396</v>
      </c>
      <c r="B242" s="2790"/>
      <c r="C242" s="2791"/>
      <c r="D242" s="2792"/>
      <c r="E242" s="2734"/>
      <c r="F242" s="2735"/>
      <c r="G242" s="1785">
        <v>30</v>
      </c>
      <c r="H242" s="524"/>
      <c r="I242" s="1409">
        <f t="shared" ref="I242:I255" si="56">IF($O242&gt;0,-PMT(($I$9),$O242,1),0)</f>
        <v>4.7777640736176463E-2</v>
      </c>
      <c r="J242" s="1421">
        <f t="shared" ref="J242:J254" si="57">ROUND(E242*I242,0)</f>
        <v>0</v>
      </c>
      <c r="K242" s="678">
        <v>1</v>
      </c>
      <c r="L242" s="1002"/>
      <c r="M242" s="1428">
        <f t="shared" ref="M242:M255" si="58">ROUND(E242/100*IF(ISBLANK(L242),K242,L242),0)</f>
        <v>0</v>
      </c>
      <c r="N242" s="1110"/>
      <c r="O242" s="674">
        <f t="shared" ref="O242:O255" si="59">IF(ISBLANK(H242),G242,H242)</f>
        <v>30</v>
      </c>
      <c r="P242" s="682"/>
      <c r="Q242" s="286"/>
      <c r="R242" s="287"/>
      <c r="S242" s="280"/>
      <c r="T242" s="280"/>
      <c r="U242" s="280"/>
      <c r="V242" s="280"/>
      <c r="W242" s="280"/>
      <c r="X242" s="280"/>
      <c r="Y242" s="280"/>
      <c r="Z242" s="284"/>
      <c r="AA242" s="284"/>
      <c r="AB242" s="284"/>
      <c r="AC242" s="284"/>
      <c r="AD242" s="284"/>
      <c r="AE242" s="284"/>
      <c r="AF242" s="447"/>
      <c r="AG242" s="447"/>
      <c r="AH242" s="447"/>
      <c r="AI242" s="382"/>
      <c r="AJ242" s="382"/>
      <c r="AK242" s="382"/>
      <c r="AL242" s="382"/>
      <c r="AM242" s="382"/>
      <c r="AN242" s="382"/>
      <c r="AO242" s="382"/>
      <c r="AP242" s="382"/>
      <c r="AQ242" s="382"/>
      <c r="AR242" s="382"/>
      <c r="AS242" s="382"/>
      <c r="AT242" s="382"/>
      <c r="AU242" s="382"/>
      <c r="AV242" s="382"/>
      <c r="AW242" s="382"/>
      <c r="AX242" s="382"/>
      <c r="AY242" s="382"/>
      <c r="AZ242" s="382"/>
      <c r="BA242" s="382"/>
      <c r="BB242" s="382"/>
      <c r="BC242" s="382"/>
      <c r="BD242" s="382"/>
      <c r="BE242" s="382"/>
      <c r="BF242" s="382"/>
      <c r="BG242" s="382"/>
      <c r="BH242" s="382"/>
      <c r="BI242" s="382"/>
      <c r="BJ242" s="382"/>
      <c r="BK242" s="382"/>
      <c r="BL242" s="382"/>
      <c r="BM242" s="382"/>
      <c r="BN242" s="382"/>
      <c r="BO242" s="382"/>
    </row>
    <row r="243" spans="1:67" s="88" customFormat="1" ht="10.55" customHeight="1" x14ac:dyDescent="0.2">
      <c r="A243" s="512" t="s">
        <v>397</v>
      </c>
      <c r="B243" s="2807"/>
      <c r="C243" s="2808"/>
      <c r="D243" s="2809"/>
      <c r="E243" s="2561"/>
      <c r="F243" s="2562"/>
      <c r="G243" s="1785">
        <v>30</v>
      </c>
      <c r="H243" s="524"/>
      <c r="I243" s="1409">
        <f t="shared" si="56"/>
        <v>4.7777640736176463E-2</v>
      </c>
      <c r="J243" s="1421">
        <f t="shared" si="57"/>
        <v>0</v>
      </c>
      <c r="K243" s="678">
        <v>1</v>
      </c>
      <c r="L243" s="1002"/>
      <c r="M243" s="1428">
        <f t="shared" si="58"/>
        <v>0</v>
      </c>
      <c r="N243" s="1110"/>
      <c r="O243" s="674">
        <f t="shared" si="59"/>
        <v>30</v>
      </c>
      <c r="P243" s="682"/>
      <c r="Q243" s="286"/>
      <c r="R243" s="287"/>
      <c r="S243" s="280"/>
      <c r="T243" s="280"/>
      <c r="U243" s="280"/>
      <c r="V243" s="280"/>
      <c r="W243" s="280"/>
      <c r="X243" s="280"/>
      <c r="Y243" s="280"/>
      <c r="Z243" s="284"/>
      <c r="AA243" s="284"/>
      <c r="AB243" s="284"/>
      <c r="AC243" s="284"/>
      <c r="AD243" s="284"/>
      <c r="AE243" s="284"/>
      <c r="AF243" s="447"/>
      <c r="AG243" s="447"/>
      <c r="AH243" s="447"/>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382"/>
      <c r="BM243" s="382"/>
      <c r="BN243" s="382"/>
      <c r="BO243" s="382"/>
    </row>
    <row r="244" spans="1:67" s="88" customFormat="1" ht="10.55" customHeight="1" x14ac:dyDescent="0.2">
      <c r="A244" s="512" t="s">
        <v>398</v>
      </c>
      <c r="B244" s="2807"/>
      <c r="C244" s="2808"/>
      <c r="D244" s="2809"/>
      <c r="E244" s="2561"/>
      <c r="F244" s="2562"/>
      <c r="G244" s="1785">
        <v>30</v>
      </c>
      <c r="H244" s="524"/>
      <c r="I244" s="1409">
        <f t="shared" si="56"/>
        <v>4.7777640736176463E-2</v>
      </c>
      <c r="J244" s="1421">
        <f t="shared" si="57"/>
        <v>0</v>
      </c>
      <c r="K244" s="678">
        <v>1</v>
      </c>
      <c r="L244" s="1002"/>
      <c r="M244" s="1428">
        <f t="shared" si="58"/>
        <v>0</v>
      </c>
      <c r="N244" s="1110"/>
      <c r="O244" s="674">
        <f t="shared" si="59"/>
        <v>30</v>
      </c>
      <c r="P244" s="682"/>
      <c r="Q244" s="286"/>
      <c r="R244" s="287"/>
      <c r="S244" s="280"/>
      <c r="T244" s="280"/>
      <c r="U244" s="280"/>
      <c r="V244" s="280"/>
      <c r="W244" s="280"/>
      <c r="X244" s="280"/>
      <c r="Y244" s="280"/>
      <c r="Z244" s="284"/>
      <c r="AA244" s="284"/>
      <c r="AB244" s="284"/>
      <c r="AC244" s="284"/>
      <c r="AD244" s="284"/>
      <c r="AE244" s="284"/>
      <c r="AF244" s="447"/>
      <c r="AG244" s="447"/>
      <c r="AH244" s="447"/>
      <c r="AI244" s="382"/>
      <c r="AJ244" s="382"/>
      <c r="AK244" s="382"/>
      <c r="AL244" s="382"/>
      <c r="AM244" s="382"/>
      <c r="AN244" s="382"/>
      <c r="AO244" s="382"/>
      <c r="AP244" s="382"/>
      <c r="AQ244" s="382"/>
      <c r="AR244" s="382"/>
      <c r="AS244" s="382"/>
      <c r="AT244" s="382"/>
      <c r="AU244" s="382"/>
      <c r="AV244" s="382"/>
      <c r="AW244" s="382"/>
      <c r="AX244" s="382"/>
      <c r="AY244" s="382"/>
      <c r="AZ244" s="382"/>
      <c r="BA244" s="382"/>
      <c r="BB244" s="382"/>
      <c r="BC244" s="382"/>
      <c r="BD244" s="382"/>
      <c r="BE244" s="382"/>
      <c r="BF244" s="382"/>
      <c r="BG244" s="382"/>
      <c r="BH244" s="382"/>
      <c r="BI244" s="382"/>
      <c r="BJ244" s="382"/>
      <c r="BK244" s="382"/>
      <c r="BL244" s="382"/>
      <c r="BM244" s="382"/>
      <c r="BN244" s="382"/>
      <c r="BO244" s="382"/>
    </row>
    <row r="245" spans="1:67" s="88" customFormat="1" ht="10.55" customHeight="1" x14ac:dyDescent="0.2">
      <c r="A245" s="512" t="s">
        <v>399</v>
      </c>
      <c r="B245" s="2807"/>
      <c r="C245" s="2808"/>
      <c r="D245" s="2809"/>
      <c r="E245" s="2561"/>
      <c r="F245" s="2562"/>
      <c r="G245" s="1785">
        <v>30</v>
      </c>
      <c r="H245" s="524"/>
      <c r="I245" s="1409">
        <f t="shared" si="56"/>
        <v>4.7777640736176463E-2</v>
      </c>
      <c r="J245" s="1421">
        <f t="shared" si="57"/>
        <v>0</v>
      </c>
      <c r="K245" s="678">
        <v>1.5</v>
      </c>
      <c r="L245" s="1002"/>
      <c r="M245" s="1428">
        <f t="shared" si="58"/>
        <v>0</v>
      </c>
      <c r="N245" s="1110"/>
      <c r="O245" s="674">
        <f t="shared" si="59"/>
        <v>30</v>
      </c>
      <c r="P245" s="682"/>
      <c r="Q245" s="286"/>
      <c r="R245" s="287"/>
      <c r="S245" s="280"/>
      <c r="T245" s="280"/>
      <c r="U245" s="280"/>
      <c r="V245" s="280"/>
      <c r="W245" s="280"/>
      <c r="X245" s="280"/>
      <c r="Y245" s="280"/>
      <c r="Z245" s="284"/>
      <c r="AA245" s="284"/>
      <c r="AB245" s="284"/>
      <c r="AC245" s="284"/>
      <c r="AD245" s="284"/>
      <c r="AE245" s="284"/>
      <c r="AF245" s="447"/>
      <c r="AG245" s="447"/>
      <c r="AH245" s="447"/>
      <c r="AI245" s="382"/>
      <c r="AJ245" s="382"/>
      <c r="AK245" s="382"/>
      <c r="AL245" s="382"/>
      <c r="AM245" s="382"/>
      <c r="AN245" s="382"/>
      <c r="AO245" s="382"/>
      <c r="AP245" s="382"/>
      <c r="AQ245" s="382"/>
      <c r="AR245" s="382"/>
      <c r="AS245" s="382"/>
      <c r="AT245" s="382"/>
      <c r="AU245" s="382"/>
      <c r="AV245" s="382"/>
      <c r="AW245" s="382"/>
      <c r="AX245" s="382"/>
      <c r="AY245" s="382"/>
      <c r="AZ245" s="382"/>
      <c r="BA245" s="382"/>
      <c r="BB245" s="382"/>
      <c r="BC245" s="382"/>
      <c r="BD245" s="382"/>
      <c r="BE245" s="382"/>
      <c r="BF245" s="382"/>
      <c r="BG245" s="382"/>
      <c r="BH245" s="382"/>
      <c r="BI245" s="382"/>
      <c r="BJ245" s="382"/>
      <c r="BK245" s="382"/>
      <c r="BL245" s="382"/>
      <c r="BM245" s="382"/>
      <c r="BN245" s="382"/>
      <c r="BO245" s="382"/>
    </row>
    <row r="246" spans="1:67" s="88" customFormat="1" ht="10.55" customHeight="1" x14ac:dyDescent="0.2">
      <c r="A246" s="512" t="s">
        <v>400</v>
      </c>
      <c r="B246" s="2807"/>
      <c r="C246" s="2808"/>
      <c r="D246" s="2809"/>
      <c r="E246" s="2561"/>
      <c r="F246" s="2562"/>
      <c r="G246" s="1785">
        <v>30</v>
      </c>
      <c r="H246" s="524"/>
      <c r="I246" s="1409">
        <f t="shared" si="56"/>
        <v>4.7777640736176463E-2</v>
      </c>
      <c r="J246" s="1421">
        <f t="shared" si="57"/>
        <v>0</v>
      </c>
      <c r="K246" s="678">
        <v>1.5</v>
      </c>
      <c r="L246" s="1002"/>
      <c r="M246" s="1428">
        <f t="shared" si="58"/>
        <v>0</v>
      </c>
      <c r="N246" s="1110"/>
      <c r="O246" s="674">
        <f t="shared" si="59"/>
        <v>30</v>
      </c>
      <c r="P246" s="682"/>
      <c r="Q246" s="286"/>
      <c r="R246" s="287"/>
      <c r="S246" s="280"/>
      <c r="T246" s="280"/>
      <c r="U246" s="280"/>
      <c r="V246" s="280"/>
      <c r="W246" s="280"/>
      <c r="X246" s="280"/>
      <c r="Y246" s="280"/>
      <c r="Z246" s="284"/>
      <c r="AA246" s="284"/>
      <c r="AB246" s="284"/>
      <c r="AC246" s="284"/>
      <c r="AD246" s="284"/>
      <c r="AE246" s="284"/>
      <c r="AF246" s="447"/>
      <c r="AG246" s="447"/>
      <c r="AH246" s="447"/>
      <c r="AI246" s="382"/>
      <c r="AJ246" s="382"/>
      <c r="AK246" s="382"/>
      <c r="AL246" s="382"/>
      <c r="AM246" s="382"/>
      <c r="AN246" s="382"/>
      <c r="AO246" s="382"/>
      <c r="AP246" s="382"/>
      <c r="AQ246" s="382"/>
      <c r="AR246" s="382"/>
      <c r="AS246" s="382"/>
      <c r="AT246" s="382"/>
      <c r="AU246" s="382"/>
      <c r="AV246" s="382"/>
      <c r="AW246" s="382"/>
      <c r="AX246" s="382"/>
      <c r="AY246" s="382"/>
      <c r="AZ246" s="382"/>
      <c r="BA246" s="382"/>
      <c r="BB246" s="382"/>
      <c r="BC246" s="382"/>
      <c r="BD246" s="382"/>
      <c r="BE246" s="382"/>
      <c r="BF246" s="382"/>
      <c r="BG246" s="382"/>
      <c r="BH246" s="382"/>
      <c r="BI246" s="382"/>
      <c r="BJ246" s="382"/>
      <c r="BK246" s="382"/>
      <c r="BL246" s="382"/>
      <c r="BM246" s="382"/>
      <c r="BN246" s="382"/>
      <c r="BO246" s="382"/>
    </row>
    <row r="247" spans="1:67" s="88" customFormat="1" ht="10.55" customHeight="1" x14ac:dyDescent="0.2">
      <c r="A247" s="512" t="s">
        <v>352</v>
      </c>
      <c r="B247" s="2807"/>
      <c r="C247" s="2808"/>
      <c r="D247" s="2809"/>
      <c r="E247" s="2561"/>
      <c r="F247" s="2562"/>
      <c r="G247" s="1785">
        <v>20</v>
      </c>
      <c r="H247" s="524"/>
      <c r="I247" s="1409">
        <f t="shared" si="56"/>
        <v>6.4147128734474465E-2</v>
      </c>
      <c r="J247" s="1421">
        <f t="shared" si="57"/>
        <v>0</v>
      </c>
      <c r="K247" s="678">
        <v>2</v>
      </c>
      <c r="L247" s="1002"/>
      <c r="M247" s="1428">
        <f t="shared" si="58"/>
        <v>0</v>
      </c>
      <c r="N247" s="1110"/>
      <c r="O247" s="674">
        <f t="shared" si="59"/>
        <v>20</v>
      </c>
      <c r="P247" s="682"/>
      <c r="Q247" s="286"/>
      <c r="R247" s="287"/>
      <c r="S247" s="280"/>
      <c r="T247" s="280"/>
      <c r="U247" s="280"/>
      <c r="V247" s="280"/>
      <c r="W247" s="280"/>
      <c r="X247" s="280"/>
      <c r="Y247" s="280"/>
      <c r="Z247" s="284"/>
      <c r="AA247" s="284"/>
      <c r="AB247" s="284"/>
      <c r="AC247" s="284"/>
      <c r="AD247" s="284"/>
      <c r="AE247" s="284"/>
      <c r="AF247" s="447"/>
      <c r="AG247" s="447"/>
      <c r="AH247" s="447"/>
      <c r="AI247" s="382"/>
      <c r="AJ247" s="382"/>
      <c r="AK247" s="382"/>
      <c r="AL247" s="382"/>
      <c r="AM247" s="382"/>
      <c r="AN247" s="382"/>
      <c r="AO247" s="382"/>
      <c r="AP247" s="382"/>
      <c r="AQ247" s="382"/>
      <c r="AR247" s="382"/>
      <c r="AS247" s="382"/>
      <c r="AT247" s="382"/>
      <c r="AU247" s="382"/>
      <c r="AV247" s="382"/>
      <c r="AW247" s="382"/>
      <c r="AX247" s="382"/>
      <c r="AY247" s="382"/>
      <c r="AZ247" s="382"/>
      <c r="BA247" s="382"/>
      <c r="BB247" s="382"/>
      <c r="BC247" s="382"/>
      <c r="BD247" s="382"/>
      <c r="BE247" s="382"/>
      <c r="BF247" s="382"/>
      <c r="BG247" s="382"/>
      <c r="BH247" s="382"/>
      <c r="BI247" s="382"/>
      <c r="BJ247" s="382"/>
      <c r="BK247" s="382"/>
      <c r="BL247" s="382"/>
      <c r="BM247" s="382"/>
      <c r="BN247" s="382"/>
      <c r="BO247" s="382"/>
    </row>
    <row r="248" spans="1:67" s="88" customFormat="1" ht="10.55" customHeight="1" x14ac:dyDescent="0.2">
      <c r="A248" s="512" t="s">
        <v>333</v>
      </c>
      <c r="B248" s="2807"/>
      <c r="C248" s="2808"/>
      <c r="D248" s="2809"/>
      <c r="E248" s="2561"/>
      <c r="F248" s="2562"/>
      <c r="G248" s="1785">
        <v>20</v>
      </c>
      <c r="H248" s="524"/>
      <c r="I248" s="1409">
        <f t="shared" si="56"/>
        <v>6.4147128734474465E-2</v>
      </c>
      <c r="J248" s="1421">
        <f t="shared" si="57"/>
        <v>0</v>
      </c>
      <c r="K248" s="678">
        <v>8</v>
      </c>
      <c r="L248" s="1002"/>
      <c r="M248" s="1428">
        <f t="shared" si="58"/>
        <v>0</v>
      </c>
      <c r="N248" s="1110"/>
      <c r="O248" s="674">
        <f t="shared" si="59"/>
        <v>20</v>
      </c>
      <c r="P248" s="682"/>
      <c r="Q248" s="286"/>
      <c r="R248" s="287"/>
      <c r="S248" s="280"/>
      <c r="T248" s="280"/>
      <c r="U248" s="280"/>
      <c r="V248" s="280"/>
      <c r="W248" s="280"/>
      <c r="X248" s="280"/>
      <c r="Y248" s="280"/>
      <c r="Z248" s="284"/>
      <c r="AA248" s="284"/>
      <c r="AB248" s="284"/>
      <c r="AC248" s="284"/>
      <c r="AD248" s="284"/>
      <c r="AE248" s="284"/>
      <c r="AF248" s="447"/>
      <c r="AG248" s="447"/>
      <c r="AH248" s="447"/>
      <c r="AI248" s="382"/>
      <c r="AJ248" s="382"/>
      <c r="AK248" s="382"/>
      <c r="AL248" s="382"/>
      <c r="AM248" s="382"/>
      <c r="AN248" s="382"/>
      <c r="AO248" s="382"/>
      <c r="AP248" s="382"/>
      <c r="AQ248" s="382"/>
      <c r="AR248" s="382"/>
      <c r="AS248" s="382"/>
      <c r="AT248" s="382"/>
      <c r="AU248" s="382"/>
      <c r="AV248" s="382"/>
      <c r="AW248" s="382"/>
      <c r="AX248" s="382"/>
      <c r="AY248" s="382"/>
      <c r="AZ248" s="382"/>
      <c r="BA248" s="382"/>
      <c r="BB248" s="382"/>
      <c r="BC248" s="382"/>
      <c r="BD248" s="382"/>
      <c r="BE248" s="382"/>
      <c r="BF248" s="382"/>
      <c r="BG248" s="382"/>
      <c r="BH248" s="382"/>
      <c r="BI248" s="382"/>
      <c r="BJ248" s="382"/>
      <c r="BK248" s="382"/>
      <c r="BL248" s="382"/>
      <c r="BM248" s="382"/>
      <c r="BN248" s="382"/>
      <c r="BO248" s="382"/>
    </row>
    <row r="249" spans="1:67" s="88" customFormat="1" ht="10.55" customHeight="1" x14ac:dyDescent="0.2">
      <c r="A249" s="512" t="s">
        <v>334</v>
      </c>
      <c r="B249" s="2807"/>
      <c r="C249" s="2808"/>
      <c r="D249" s="2809"/>
      <c r="E249" s="2561"/>
      <c r="F249" s="2562"/>
      <c r="G249" s="1785">
        <v>30</v>
      </c>
      <c r="H249" s="524"/>
      <c r="I249" s="1409">
        <f t="shared" si="56"/>
        <v>4.7777640736176463E-2</v>
      </c>
      <c r="J249" s="1421">
        <f t="shared" si="57"/>
        <v>0</v>
      </c>
      <c r="K249" s="678"/>
      <c r="L249" s="1002"/>
      <c r="M249" s="1428">
        <f t="shared" si="58"/>
        <v>0</v>
      </c>
      <c r="N249" s="1110"/>
      <c r="O249" s="674">
        <f t="shared" si="59"/>
        <v>30</v>
      </c>
      <c r="P249" s="682"/>
      <c r="Q249" s="286"/>
      <c r="R249" s="287"/>
      <c r="S249" s="280"/>
      <c r="T249" s="280"/>
      <c r="U249" s="280"/>
      <c r="V249" s="280"/>
      <c r="W249" s="280"/>
      <c r="X249" s="280"/>
      <c r="Y249" s="280"/>
      <c r="Z249" s="284"/>
      <c r="AA249" s="284"/>
      <c r="AB249" s="284"/>
      <c r="AC249" s="284"/>
      <c r="AD249" s="284"/>
      <c r="AE249" s="284"/>
      <c r="AF249" s="447"/>
      <c r="AG249" s="447"/>
      <c r="AH249" s="447"/>
      <c r="AI249" s="382"/>
      <c r="AJ249" s="382"/>
      <c r="AK249" s="382"/>
      <c r="AL249" s="382"/>
      <c r="AM249" s="382"/>
      <c r="AN249" s="382"/>
      <c r="AO249" s="382"/>
      <c r="AP249" s="382"/>
      <c r="AQ249" s="382"/>
      <c r="AR249" s="382"/>
      <c r="AS249" s="382"/>
      <c r="AT249" s="382"/>
      <c r="AU249" s="382"/>
      <c r="AV249" s="382"/>
      <c r="AW249" s="382"/>
      <c r="AX249" s="382"/>
      <c r="AY249" s="382"/>
      <c r="AZ249" s="382"/>
      <c r="BA249" s="382"/>
      <c r="BB249" s="382"/>
      <c r="BC249" s="382"/>
      <c r="BD249" s="382"/>
      <c r="BE249" s="382"/>
      <c r="BF249" s="382"/>
      <c r="BG249" s="382"/>
      <c r="BH249" s="382"/>
      <c r="BI249" s="382"/>
      <c r="BJ249" s="382"/>
      <c r="BK249" s="382"/>
      <c r="BL249" s="382"/>
      <c r="BM249" s="382"/>
      <c r="BN249" s="382"/>
      <c r="BO249" s="382"/>
    </row>
    <row r="250" spans="1:67" s="88" customFormat="1" ht="10.55" customHeight="1" x14ac:dyDescent="0.2">
      <c r="A250" s="675"/>
      <c r="B250" s="2807"/>
      <c r="C250" s="2808"/>
      <c r="D250" s="2809"/>
      <c r="E250" s="2561"/>
      <c r="F250" s="2562"/>
      <c r="G250" s="1015"/>
      <c r="H250" s="524"/>
      <c r="I250" s="1409">
        <f t="shared" si="56"/>
        <v>0</v>
      </c>
      <c r="J250" s="1421">
        <f t="shared" si="57"/>
        <v>0</v>
      </c>
      <c r="K250" s="679"/>
      <c r="L250" s="1002"/>
      <c r="M250" s="1428">
        <f t="shared" si="58"/>
        <v>0</v>
      </c>
      <c r="N250" s="1110"/>
      <c r="O250" s="674">
        <f t="shared" si="59"/>
        <v>0</v>
      </c>
      <c r="P250" s="682"/>
      <c r="Q250" s="286"/>
      <c r="R250" s="287"/>
      <c r="S250" s="280"/>
      <c r="T250" s="280"/>
      <c r="U250" s="280"/>
      <c r="V250" s="280"/>
      <c r="W250" s="280"/>
      <c r="X250" s="280"/>
      <c r="Y250" s="280"/>
      <c r="Z250" s="284"/>
      <c r="AA250" s="284"/>
      <c r="AB250" s="284"/>
      <c r="AC250" s="284"/>
      <c r="AD250" s="284"/>
      <c r="AE250" s="284"/>
      <c r="AF250" s="447"/>
      <c r="AG250" s="447"/>
      <c r="AH250" s="447"/>
      <c r="AI250" s="382"/>
      <c r="AJ250" s="382"/>
      <c r="AK250" s="382"/>
      <c r="AL250" s="382"/>
      <c r="AM250" s="382"/>
      <c r="AN250" s="382"/>
      <c r="AO250" s="382"/>
      <c r="AP250" s="382"/>
      <c r="AQ250" s="382"/>
      <c r="AR250" s="382"/>
      <c r="AS250" s="382"/>
      <c r="AT250" s="382"/>
      <c r="AU250" s="382"/>
      <c r="AV250" s="382"/>
      <c r="AW250" s="382"/>
      <c r="AX250" s="382"/>
      <c r="AY250" s="382"/>
      <c r="AZ250" s="382"/>
      <c r="BA250" s="382"/>
      <c r="BB250" s="382"/>
      <c r="BC250" s="382"/>
      <c r="BD250" s="382"/>
      <c r="BE250" s="382"/>
      <c r="BF250" s="382"/>
      <c r="BG250" s="382"/>
      <c r="BH250" s="382"/>
      <c r="BI250" s="382"/>
      <c r="BJ250" s="382"/>
      <c r="BK250" s="382"/>
      <c r="BL250" s="382"/>
      <c r="BM250" s="382"/>
      <c r="BN250" s="382"/>
      <c r="BO250" s="382"/>
    </row>
    <row r="251" spans="1:67" s="88" customFormat="1" ht="10.55" customHeight="1" x14ac:dyDescent="0.2">
      <c r="A251" s="675"/>
      <c r="B251" s="2807"/>
      <c r="C251" s="2808"/>
      <c r="D251" s="2809"/>
      <c r="E251" s="2561"/>
      <c r="F251" s="2562"/>
      <c r="G251" s="1015"/>
      <c r="H251" s="524"/>
      <c r="I251" s="1409">
        <f t="shared" si="56"/>
        <v>0</v>
      </c>
      <c r="J251" s="1421">
        <f t="shared" si="57"/>
        <v>0</v>
      </c>
      <c r="K251" s="679"/>
      <c r="L251" s="1002"/>
      <c r="M251" s="1428">
        <f t="shared" si="58"/>
        <v>0</v>
      </c>
      <c r="N251" s="1110"/>
      <c r="O251" s="674">
        <f t="shared" si="59"/>
        <v>0</v>
      </c>
      <c r="P251" s="682"/>
      <c r="Q251" s="286"/>
      <c r="R251" s="287"/>
      <c r="S251" s="280"/>
      <c r="T251" s="280"/>
      <c r="U251" s="280"/>
      <c r="V251" s="280"/>
      <c r="W251" s="280"/>
      <c r="X251" s="280"/>
      <c r="Y251" s="280"/>
      <c r="Z251" s="284"/>
      <c r="AA251" s="284"/>
      <c r="AB251" s="284"/>
      <c r="AC251" s="284"/>
      <c r="AD251" s="284"/>
      <c r="AE251" s="284"/>
      <c r="AF251" s="447"/>
      <c r="AG251" s="447"/>
      <c r="AH251" s="447"/>
      <c r="AI251" s="382"/>
      <c r="AJ251" s="382"/>
      <c r="AK251" s="382"/>
      <c r="AL251" s="382"/>
      <c r="AM251" s="382"/>
      <c r="AN251" s="382"/>
      <c r="AO251" s="382"/>
      <c r="AP251" s="382"/>
      <c r="AQ251" s="382"/>
      <c r="AR251" s="382"/>
      <c r="AS251" s="382"/>
      <c r="AT251" s="382"/>
      <c r="AU251" s="382"/>
      <c r="AV251" s="382"/>
      <c r="AW251" s="382"/>
      <c r="AX251" s="382"/>
      <c r="AY251" s="382"/>
      <c r="AZ251" s="382"/>
      <c r="BA251" s="382"/>
      <c r="BB251" s="382"/>
      <c r="BC251" s="382"/>
      <c r="BD251" s="382"/>
      <c r="BE251" s="382"/>
      <c r="BF251" s="382"/>
      <c r="BG251" s="382"/>
      <c r="BH251" s="382"/>
      <c r="BI251" s="382"/>
      <c r="BJ251" s="382"/>
      <c r="BK251" s="382"/>
      <c r="BL251" s="382"/>
      <c r="BM251" s="382"/>
      <c r="BN251" s="382"/>
      <c r="BO251" s="382"/>
    </row>
    <row r="252" spans="1:67" s="88" customFormat="1" ht="10.55" customHeight="1" x14ac:dyDescent="0.2">
      <c r="A252" s="675"/>
      <c r="B252" s="2807"/>
      <c r="C252" s="2808"/>
      <c r="D252" s="2809"/>
      <c r="E252" s="2561"/>
      <c r="F252" s="2562"/>
      <c r="G252" s="1015"/>
      <c r="H252" s="524"/>
      <c r="I252" s="1409">
        <f t="shared" si="56"/>
        <v>0</v>
      </c>
      <c r="J252" s="1421">
        <f t="shared" si="57"/>
        <v>0</v>
      </c>
      <c r="K252" s="679"/>
      <c r="L252" s="1002"/>
      <c r="M252" s="1428">
        <f t="shared" si="58"/>
        <v>0</v>
      </c>
      <c r="N252" s="1110"/>
      <c r="O252" s="674">
        <f t="shared" si="59"/>
        <v>0</v>
      </c>
      <c r="P252" s="682"/>
      <c r="Q252" s="286"/>
      <c r="R252" s="287"/>
      <c r="S252" s="280"/>
      <c r="T252" s="280"/>
      <c r="U252" s="280"/>
      <c r="V252" s="280"/>
      <c r="W252" s="280"/>
      <c r="X252" s="280"/>
      <c r="Y252" s="280"/>
      <c r="Z252" s="284"/>
      <c r="AA252" s="284"/>
      <c r="AB252" s="284"/>
      <c r="AC252" s="284"/>
      <c r="AD252" s="284"/>
      <c r="AE252" s="284"/>
      <c r="AF252" s="447"/>
      <c r="AG252" s="447"/>
      <c r="AH252" s="447"/>
      <c r="AI252" s="382"/>
      <c r="AJ252" s="382"/>
      <c r="AK252" s="382"/>
      <c r="AL252" s="382"/>
      <c r="AM252" s="382"/>
      <c r="AN252" s="382"/>
      <c r="AO252" s="382"/>
      <c r="AP252" s="382"/>
      <c r="AQ252" s="382"/>
      <c r="AR252" s="382"/>
      <c r="AS252" s="382"/>
      <c r="AT252" s="382"/>
      <c r="AU252" s="382"/>
      <c r="AV252" s="382"/>
      <c r="AW252" s="382"/>
      <c r="AX252" s="382"/>
      <c r="AY252" s="382"/>
      <c r="AZ252" s="382"/>
      <c r="BA252" s="382"/>
      <c r="BB252" s="382"/>
      <c r="BC252" s="382"/>
      <c r="BD252" s="382"/>
      <c r="BE252" s="382"/>
      <c r="BF252" s="382"/>
      <c r="BG252" s="382"/>
      <c r="BH252" s="382"/>
      <c r="BI252" s="382"/>
      <c r="BJ252" s="382"/>
      <c r="BK252" s="382"/>
      <c r="BL252" s="382"/>
      <c r="BM252" s="382"/>
      <c r="BN252" s="382"/>
      <c r="BO252" s="382"/>
    </row>
    <row r="253" spans="1:67" s="88" customFormat="1" ht="10.55" customHeight="1" x14ac:dyDescent="0.2">
      <c r="A253" s="675"/>
      <c r="B253" s="2807"/>
      <c r="C253" s="2808"/>
      <c r="D253" s="2809"/>
      <c r="E253" s="2561"/>
      <c r="F253" s="2562"/>
      <c r="G253" s="1015"/>
      <c r="H253" s="524"/>
      <c r="I253" s="1409">
        <f t="shared" si="56"/>
        <v>0</v>
      </c>
      <c r="J253" s="1421">
        <f t="shared" si="57"/>
        <v>0</v>
      </c>
      <c r="K253" s="679"/>
      <c r="L253" s="1002"/>
      <c r="M253" s="1428">
        <f t="shared" si="58"/>
        <v>0</v>
      </c>
      <c r="N253" s="1110"/>
      <c r="O253" s="674">
        <f t="shared" si="59"/>
        <v>0</v>
      </c>
      <c r="P253" s="682"/>
      <c r="Q253" s="286"/>
      <c r="R253" s="287"/>
      <c r="S253" s="280"/>
      <c r="T253" s="280"/>
      <c r="U253" s="280"/>
      <c r="V253" s="280"/>
      <c r="W253" s="280"/>
      <c r="X253" s="280"/>
      <c r="Y253" s="280"/>
      <c r="Z253" s="284"/>
      <c r="AA253" s="284"/>
      <c r="AB253" s="284"/>
      <c r="AC253" s="284"/>
      <c r="AD253" s="284"/>
      <c r="AE253" s="284"/>
      <c r="AF253" s="447"/>
      <c r="AG253" s="447"/>
      <c r="AH253" s="447"/>
      <c r="AI253" s="382"/>
      <c r="AJ253" s="382"/>
      <c r="AK253" s="382"/>
      <c r="AL253" s="382"/>
      <c r="AM253" s="382"/>
      <c r="AN253" s="382"/>
      <c r="AO253" s="382"/>
      <c r="AP253" s="382"/>
      <c r="AQ253" s="382"/>
      <c r="AR253" s="382"/>
      <c r="AS253" s="382"/>
      <c r="AT253" s="382"/>
      <c r="AU253" s="382"/>
      <c r="AV253" s="382"/>
      <c r="AW253" s="382"/>
      <c r="AX253" s="382"/>
      <c r="AY253" s="382"/>
      <c r="AZ253" s="382"/>
      <c r="BA253" s="382"/>
      <c r="BB253" s="382"/>
      <c r="BC253" s="382"/>
      <c r="BD253" s="382"/>
      <c r="BE253" s="382"/>
      <c r="BF253" s="382"/>
      <c r="BG253" s="382"/>
      <c r="BH253" s="382"/>
      <c r="BI253" s="382"/>
      <c r="BJ253" s="382"/>
      <c r="BK253" s="382"/>
      <c r="BL253" s="382"/>
      <c r="BM253" s="382"/>
      <c r="BN253" s="382"/>
      <c r="BO253" s="382"/>
    </row>
    <row r="254" spans="1:67" s="88" customFormat="1" ht="10.55" customHeight="1" x14ac:dyDescent="0.2">
      <c r="A254" s="675"/>
      <c r="B254" s="2807"/>
      <c r="C254" s="2808"/>
      <c r="D254" s="2809"/>
      <c r="E254" s="2561"/>
      <c r="F254" s="2562"/>
      <c r="G254" s="1015"/>
      <c r="H254" s="524"/>
      <c r="I254" s="1409">
        <f t="shared" si="56"/>
        <v>0</v>
      </c>
      <c r="J254" s="1421">
        <f t="shared" si="57"/>
        <v>0</v>
      </c>
      <c r="K254" s="679"/>
      <c r="L254" s="1002"/>
      <c r="M254" s="1428">
        <f t="shared" si="58"/>
        <v>0</v>
      </c>
      <c r="N254" s="1110"/>
      <c r="O254" s="674">
        <f t="shared" si="59"/>
        <v>0</v>
      </c>
      <c r="P254" s="682"/>
      <c r="Q254" s="286"/>
      <c r="R254" s="287"/>
      <c r="S254" s="280"/>
      <c r="T254" s="280"/>
      <c r="U254" s="280"/>
      <c r="V254" s="280"/>
      <c r="W254" s="280"/>
      <c r="X254" s="280"/>
      <c r="Y254" s="280"/>
      <c r="Z254" s="284"/>
      <c r="AA254" s="284"/>
      <c r="AB254" s="284"/>
      <c r="AC254" s="284"/>
      <c r="AD254" s="284"/>
      <c r="AE254" s="284"/>
      <c r="AF254" s="447"/>
      <c r="AG254" s="447"/>
      <c r="AH254" s="447"/>
      <c r="AI254" s="382"/>
      <c r="AJ254" s="382"/>
      <c r="AK254" s="382"/>
      <c r="AL254" s="382"/>
      <c r="AM254" s="382"/>
      <c r="AN254" s="382"/>
      <c r="AO254" s="382"/>
      <c r="AP254" s="382"/>
      <c r="AQ254" s="382"/>
      <c r="AR254" s="382"/>
      <c r="AS254" s="382"/>
      <c r="AT254" s="382"/>
      <c r="AU254" s="382"/>
      <c r="AV254" s="382"/>
      <c r="AW254" s="382"/>
      <c r="AX254" s="382"/>
      <c r="AY254" s="382"/>
      <c r="AZ254" s="382"/>
      <c r="BA254" s="382"/>
      <c r="BB254" s="382"/>
      <c r="BC254" s="382"/>
      <c r="BD254" s="382"/>
      <c r="BE254" s="382"/>
      <c r="BF254" s="382"/>
      <c r="BG254" s="382"/>
      <c r="BH254" s="382"/>
      <c r="BI254" s="382"/>
      <c r="BJ254" s="382"/>
      <c r="BK254" s="382"/>
      <c r="BL254" s="382"/>
      <c r="BM254" s="382"/>
      <c r="BN254" s="382"/>
      <c r="BO254" s="382"/>
    </row>
    <row r="255" spans="1:67" s="88" customFormat="1" ht="10.55" customHeight="1" x14ac:dyDescent="0.2">
      <c r="A255" s="511"/>
      <c r="B255" s="2884"/>
      <c r="C255" s="2885"/>
      <c r="D255" s="2886"/>
      <c r="E255" s="2793"/>
      <c r="F255" s="2794"/>
      <c r="G255" s="1018"/>
      <c r="H255" s="1019"/>
      <c r="I255" s="1436">
        <f t="shared" si="56"/>
        <v>0</v>
      </c>
      <c r="J255" s="1422"/>
      <c r="K255" s="680"/>
      <c r="L255" s="1020"/>
      <c r="M255" s="1429">
        <f t="shared" si="58"/>
        <v>0</v>
      </c>
      <c r="N255" s="1110"/>
      <c r="O255" s="674">
        <f t="shared" si="59"/>
        <v>0</v>
      </c>
      <c r="P255" s="682"/>
      <c r="Q255" s="286"/>
      <c r="R255" s="287"/>
      <c r="S255" s="280"/>
      <c r="T255" s="280"/>
      <c r="U255" s="280"/>
      <c r="V255" s="280"/>
      <c r="W255" s="280"/>
      <c r="X255" s="280"/>
      <c r="Y255" s="280"/>
      <c r="Z255" s="284"/>
      <c r="AA255" s="284"/>
      <c r="AB255" s="284"/>
      <c r="AC255" s="284"/>
      <c r="AD255" s="284"/>
      <c r="AE255" s="284"/>
      <c r="AF255" s="447"/>
      <c r="AG255" s="447"/>
      <c r="AH255" s="447"/>
      <c r="AI255" s="382"/>
      <c r="AJ255" s="382"/>
      <c r="AK255" s="382"/>
      <c r="AL255" s="382"/>
      <c r="AM255" s="382"/>
      <c r="AN255" s="382"/>
      <c r="AO255" s="382"/>
      <c r="AP255" s="382"/>
      <c r="AQ255" s="382"/>
      <c r="AR255" s="382"/>
      <c r="AS255" s="382"/>
      <c r="AT255" s="382"/>
      <c r="AU255" s="382"/>
      <c r="AV255" s="382"/>
      <c r="AW255" s="382"/>
      <c r="AX255" s="382"/>
      <c r="AY255" s="382"/>
      <c r="AZ255" s="382"/>
      <c r="BA255" s="382"/>
      <c r="BB255" s="382"/>
      <c r="BC255" s="382"/>
      <c r="BD255" s="382"/>
      <c r="BE255" s="382"/>
      <c r="BF255" s="382"/>
      <c r="BG255" s="382"/>
      <c r="BH255" s="382"/>
      <c r="BI255" s="382"/>
      <c r="BJ255" s="382"/>
      <c r="BK255" s="382"/>
      <c r="BL255" s="382"/>
      <c r="BM255" s="382"/>
      <c r="BN255" s="382"/>
      <c r="BO255" s="382"/>
    </row>
    <row r="256" spans="1:67" s="88" customFormat="1" ht="10.55" customHeight="1" x14ac:dyDescent="0.2">
      <c r="A256" s="1145" t="s">
        <v>401</v>
      </c>
      <c r="B256" s="2783"/>
      <c r="C256" s="2784"/>
      <c r="D256" s="2785"/>
      <c r="E256" s="2810">
        <f>SUM(E257:E269)</f>
        <v>0</v>
      </c>
      <c r="F256" s="2811"/>
      <c r="G256" s="2747"/>
      <c r="H256" s="2748"/>
      <c r="I256" s="1435">
        <f>IF(E256=0,0,J256/E256)</f>
        <v>0</v>
      </c>
      <c r="J256" s="1423">
        <f>SUM(J257:J269)</f>
        <v>0</v>
      </c>
      <c r="K256" s="2749">
        <f>IF(E256=0,0,M256/E256*100)</f>
        <v>0</v>
      </c>
      <c r="L256" s="2750"/>
      <c r="M256" s="1430">
        <f>SUM(M257:M269)</f>
        <v>0</v>
      </c>
      <c r="N256" s="1110"/>
      <c r="O256" s="387">
        <f>IF(H256="",G256,H256)</f>
        <v>0</v>
      </c>
      <c r="P256" s="682"/>
      <c r="Q256" s="286"/>
      <c r="R256" s="287"/>
      <c r="S256" s="280"/>
      <c r="T256" s="280"/>
      <c r="U256" s="280"/>
      <c r="V256" s="280"/>
      <c r="W256" s="280"/>
      <c r="X256" s="280"/>
      <c r="Y256" s="280"/>
      <c r="Z256" s="284"/>
      <c r="AA256" s="284"/>
      <c r="AB256" s="284"/>
      <c r="AC256" s="284"/>
      <c r="AD256" s="284"/>
      <c r="AE256" s="284"/>
      <c r="AF256" s="447"/>
      <c r="AG256" s="447"/>
      <c r="AH256" s="447"/>
      <c r="AI256" s="382"/>
      <c r="AJ256" s="382"/>
      <c r="AK256" s="382"/>
      <c r="AL256" s="382"/>
      <c r="AM256" s="382"/>
      <c r="AN256" s="382"/>
      <c r="AO256" s="382"/>
      <c r="AP256" s="382"/>
      <c r="AQ256" s="382"/>
      <c r="AR256" s="382"/>
      <c r="AS256" s="382"/>
      <c r="AT256" s="382"/>
      <c r="AU256" s="382"/>
      <c r="AV256" s="382"/>
      <c r="AW256" s="382"/>
      <c r="AX256" s="382"/>
      <c r="AY256" s="382"/>
      <c r="AZ256" s="382"/>
      <c r="BA256" s="382"/>
      <c r="BB256" s="382"/>
      <c r="BC256" s="382"/>
      <c r="BD256" s="382"/>
      <c r="BE256" s="382"/>
      <c r="BF256" s="382"/>
      <c r="BG256" s="382"/>
      <c r="BH256" s="382"/>
      <c r="BI256" s="382"/>
      <c r="BJ256" s="382"/>
      <c r="BK256" s="382"/>
      <c r="BL256" s="382"/>
      <c r="BM256" s="382"/>
      <c r="BN256" s="382"/>
      <c r="BO256" s="382"/>
    </row>
    <row r="257" spans="1:67" s="88" customFormat="1" ht="10.55" customHeight="1" x14ac:dyDescent="0.2">
      <c r="A257" s="512" t="s">
        <v>402</v>
      </c>
      <c r="B257" s="2790"/>
      <c r="C257" s="2791"/>
      <c r="D257" s="2792"/>
      <c r="E257" s="2734"/>
      <c r="F257" s="2735"/>
      <c r="G257" s="1785">
        <v>15</v>
      </c>
      <c r="H257" s="524"/>
      <c r="I257" s="1409">
        <f t="shared" ref="I257:I270" si="60">IF($O257&gt;0,-PMT(($I$9),$O257,1),0)</f>
        <v>8.0766456051533542E-2</v>
      </c>
      <c r="J257" s="1421">
        <f t="shared" ref="J257:J269" si="61">ROUND(E257*I257,0)</f>
        <v>0</v>
      </c>
      <c r="K257" s="678">
        <v>1.5</v>
      </c>
      <c r="L257" s="1002"/>
      <c r="M257" s="1428">
        <f t="shared" ref="M257:M270" si="62">ROUND(E257/100*IF(ISBLANK(L257),K257,L257),0)</f>
        <v>0</v>
      </c>
      <c r="N257" s="1110"/>
      <c r="O257" s="674">
        <f t="shared" ref="O257:O270" si="63">IF(ISBLANK(H257),G257,H257)</f>
        <v>15</v>
      </c>
      <c r="P257" s="682"/>
      <c r="Q257" s="286"/>
      <c r="R257" s="287"/>
      <c r="S257" s="280"/>
      <c r="T257" s="280"/>
      <c r="U257" s="280"/>
      <c r="V257" s="280"/>
      <c r="W257" s="280"/>
      <c r="X257" s="280"/>
      <c r="Y257" s="280"/>
      <c r="Z257" s="284"/>
      <c r="AA257" s="284"/>
      <c r="AB257" s="284"/>
      <c r="AC257" s="284"/>
      <c r="AD257" s="284"/>
      <c r="AE257" s="284"/>
      <c r="AF257" s="447"/>
      <c r="AG257" s="447"/>
      <c r="AH257" s="447"/>
      <c r="AI257" s="382"/>
      <c r="AJ257" s="382"/>
      <c r="AK257" s="382"/>
      <c r="AL257" s="382"/>
      <c r="AM257" s="382"/>
      <c r="AN257" s="382"/>
      <c r="AO257" s="382"/>
      <c r="AP257" s="382"/>
      <c r="AQ257" s="382"/>
      <c r="AR257" s="382"/>
      <c r="AS257" s="382"/>
      <c r="AT257" s="382"/>
      <c r="AU257" s="382"/>
      <c r="AV257" s="382"/>
      <c r="AW257" s="382"/>
      <c r="AX257" s="382"/>
      <c r="AY257" s="382"/>
      <c r="AZ257" s="382"/>
      <c r="BA257" s="382"/>
      <c r="BB257" s="382"/>
      <c r="BC257" s="382"/>
      <c r="BD257" s="382"/>
      <c r="BE257" s="382"/>
      <c r="BF257" s="382"/>
      <c r="BG257" s="382"/>
      <c r="BH257" s="382"/>
      <c r="BI257" s="382"/>
      <c r="BJ257" s="382"/>
      <c r="BK257" s="382"/>
      <c r="BL257" s="382"/>
      <c r="BM257" s="382"/>
      <c r="BN257" s="382"/>
      <c r="BO257" s="382"/>
    </row>
    <row r="258" spans="1:67" s="88" customFormat="1" ht="10.55" customHeight="1" x14ac:dyDescent="0.2">
      <c r="A258" s="512" t="s">
        <v>403</v>
      </c>
      <c r="B258" s="2807"/>
      <c r="C258" s="2808"/>
      <c r="D258" s="2809"/>
      <c r="E258" s="2561"/>
      <c r="F258" s="2562"/>
      <c r="G258" s="1785">
        <v>15</v>
      </c>
      <c r="H258" s="524"/>
      <c r="I258" s="1409">
        <f t="shared" si="60"/>
        <v>8.0766456051533542E-2</v>
      </c>
      <c r="J258" s="1421">
        <f t="shared" si="61"/>
        <v>0</v>
      </c>
      <c r="K258" s="678">
        <v>1</v>
      </c>
      <c r="L258" s="1002"/>
      <c r="M258" s="1428">
        <f t="shared" si="62"/>
        <v>0</v>
      </c>
      <c r="N258" s="1110"/>
      <c r="O258" s="674">
        <f t="shared" si="63"/>
        <v>15</v>
      </c>
      <c r="P258" s="682"/>
      <c r="Q258" s="286"/>
      <c r="R258" s="287"/>
      <c r="S258" s="280"/>
      <c r="T258" s="280"/>
      <c r="U258" s="280"/>
      <c r="V258" s="280"/>
      <c r="W258" s="280"/>
      <c r="X258" s="280"/>
      <c r="Y258" s="280"/>
      <c r="Z258" s="284"/>
      <c r="AA258" s="284"/>
      <c r="AB258" s="284"/>
      <c r="AC258" s="284"/>
      <c r="AD258" s="284"/>
      <c r="AE258" s="284"/>
      <c r="AF258" s="447"/>
      <c r="AG258" s="447"/>
      <c r="AH258" s="447"/>
      <c r="AI258" s="382"/>
      <c r="AJ258" s="382"/>
      <c r="AK258" s="382"/>
      <c r="AL258" s="382"/>
      <c r="AM258" s="382"/>
      <c r="AN258" s="382"/>
      <c r="AO258" s="382"/>
      <c r="AP258" s="382"/>
      <c r="AQ258" s="382"/>
      <c r="AR258" s="382"/>
      <c r="AS258" s="382"/>
      <c r="AT258" s="382"/>
      <c r="AU258" s="382"/>
      <c r="AV258" s="382"/>
      <c r="AW258" s="382"/>
      <c r="AX258" s="382"/>
      <c r="AY258" s="382"/>
      <c r="AZ258" s="382"/>
      <c r="BA258" s="382"/>
      <c r="BB258" s="382"/>
      <c r="BC258" s="382"/>
      <c r="BD258" s="382"/>
      <c r="BE258" s="382"/>
      <c r="BF258" s="382"/>
      <c r="BG258" s="382"/>
      <c r="BH258" s="382"/>
      <c r="BI258" s="382"/>
      <c r="BJ258" s="382"/>
      <c r="BK258" s="382"/>
      <c r="BL258" s="382"/>
      <c r="BM258" s="382"/>
      <c r="BN258" s="382"/>
      <c r="BO258" s="382"/>
    </row>
    <row r="259" spans="1:67" s="88" customFormat="1" ht="10.55" customHeight="1" x14ac:dyDescent="0.2">
      <c r="A259" s="512" t="s">
        <v>404</v>
      </c>
      <c r="B259" s="2807"/>
      <c r="C259" s="2808"/>
      <c r="D259" s="2809"/>
      <c r="E259" s="2561"/>
      <c r="F259" s="2562"/>
      <c r="G259" s="1785">
        <v>15</v>
      </c>
      <c r="H259" s="524"/>
      <c r="I259" s="1409">
        <f t="shared" si="60"/>
        <v>8.0766456051533542E-2</v>
      </c>
      <c r="J259" s="1421">
        <f t="shared" si="61"/>
        <v>0</v>
      </c>
      <c r="K259" s="678">
        <v>1.5</v>
      </c>
      <c r="L259" s="1002"/>
      <c r="M259" s="1428">
        <f t="shared" si="62"/>
        <v>0</v>
      </c>
      <c r="N259" s="1110"/>
      <c r="O259" s="674">
        <f t="shared" si="63"/>
        <v>15</v>
      </c>
      <c r="P259" s="682"/>
      <c r="Q259" s="286"/>
      <c r="R259" s="287"/>
      <c r="S259" s="280"/>
      <c r="T259" s="280"/>
      <c r="U259" s="280"/>
      <c r="V259" s="280"/>
      <c r="W259" s="280"/>
      <c r="X259" s="280"/>
      <c r="Y259" s="280"/>
      <c r="Z259" s="284"/>
      <c r="AA259" s="284"/>
      <c r="AB259" s="284"/>
      <c r="AC259" s="284"/>
      <c r="AD259" s="284"/>
      <c r="AE259" s="284"/>
      <c r="AF259" s="447"/>
      <c r="AG259" s="447"/>
      <c r="AH259" s="447"/>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L259" s="382"/>
      <c r="BM259" s="382"/>
      <c r="BN259" s="382"/>
      <c r="BO259" s="382"/>
    </row>
    <row r="260" spans="1:67" s="88" customFormat="1" ht="10.55" customHeight="1" x14ac:dyDescent="0.2">
      <c r="A260" s="512" t="s">
        <v>405</v>
      </c>
      <c r="B260" s="2807"/>
      <c r="C260" s="2808"/>
      <c r="D260" s="2809"/>
      <c r="E260" s="2561"/>
      <c r="F260" s="2562"/>
      <c r="G260" s="1785">
        <v>15</v>
      </c>
      <c r="H260" s="524"/>
      <c r="I260" s="1409">
        <f t="shared" si="60"/>
        <v>8.0766456051533542E-2</v>
      </c>
      <c r="J260" s="1421">
        <f t="shared" si="61"/>
        <v>0</v>
      </c>
      <c r="K260" s="678">
        <v>0</v>
      </c>
      <c r="L260" s="1002"/>
      <c r="M260" s="1428">
        <f t="shared" si="62"/>
        <v>0</v>
      </c>
      <c r="N260" s="1110"/>
      <c r="O260" s="674">
        <f t="shared" si="63"/>
        <v>15</v>
      </c>
      <c r="P260" s="682"/>
      <c r="Q260" s="286"/>
      <c r="R260" s="287"/>
      <c r="S260" s="280"/>
      <c r="T260" s="280"/>
      <c r="U260" s="280"/>
      <c r="V260" s="280"/>
      <c r="W260" s="280"/>
      <c r="X260" s="280"/>
      <c r="Y260" s="280"/>
      <c r="Z260" s="284"/>
      <c r="AA260" s="284"/>
      <c r="AB260" s="284"/>
      <c r="AC260" s="284"/>
      <c r="AD260" s="284"/>
      <c r="AE260" s="284"/>
      <c r="AF260" s="447"/>
      <c r="AG260" s="447"/>
      <c r="AH260" s="447"/>
      <c r="AI260" s="382"/>
      <c r="AJ260" s="382"/>
      <c r="AK260" s="382"/>
      <c r="AL260" s="382"/>
      <c r="AM260" s="382"/>
      <c r="AN260" s="382"/>
      <c r="AO260" s="382"/>
      <c r="AP260" s="382"/>
      <c r="AQ260" s="382"/>
      <c r="AR260" s="382"/>
      <c r="AS260" s="382"/>
      <c r="AT260" s="382"/>
      <c r="AU260" s="382"/>
      <c r="AV260" s="382"/>
      <c r="AW260" s="382"/>
      <c r="AX260" s="382"/>
      <c r="AY260" s="382"/>
      <c r="AZ260" s="382"/>
      <c r="BA260" s="382"/>
      <c r="BB260" s="382"/>
      <c r="BC260" s="382"/>
      <c r="BD260" s="382"/>
      <c r="BE260" s="382"/>
      <c r="BF260" s="382"/>
      <c r="BG260" s="382"/>
      <c r="BH260" s="382"/>
      <c r="BI260" s="382"/>
      <c r="BJ260" s="382"/>
      <c r="BK260" s="382"/>
      <c r="BL260" s="382"/>
      <c r="BM260" s="382"/>
      <c r="BN260" s="382"/>
      <c r="BO260" s="382"/>
    </row>
    <row r="261" spans="1:67" s="88" customFormat="1" ht="10.55" customHeight="1" x14ac:dyDescent="0.2">
      <c r="A261" s="675"/>
      <c r="B261" s="2807"/>
      <c r="C261" s="2808"/>
      <c r="D261" s="2809"/>
      <c r="E261" s="2561"/>
      <c r="F261" s="2562"/>
      <c r="G261" s="1015"/>
      <c r="H261" s="524"/>
      <c r="I261" s="1409">
        <f t="shared" si="60"/>
        <v>0</v>
      </c>
      <c r="J261" s="1421">
        <f t="shared" si="61"/>
        <v>0</v>
      </c>
      <c r="K261" s="679"/>
      <c r="L261" s="1002"/>
      <c r="M261" s="1428">
        <f t="shared" si="62"/>
        <v>0</v>
      </c>
      <c r="N261" s="1110"/>
      <c r="O261" s="674">
        <f t="shared" si="63"/>
        <v>0</v>
      </c>
      <c r="P261" s="682"/>
      <c r="Q261" s="286"/>
      <c r="R261" s="287"/>
      <c r="S261" s="280"/>
      <c r="T261" s="280"/>
      <c r="U261" s="280"/>
      <c r="V261" s="280"/>
      <c r="W261" s="280"/>
      <c r="X261" s="280"/>
      <c r="Y261" s="280"/>
      <c r="Z261" s="284"/>
      <c r="AA261" s="284"/>
      <c r="AB261" s="284"/>
      <c r="AC261" s="284"/>
      <c r="AD261" s="284"/>
      <c r="AE261" s="284"/>
      <c r="AF261" s="447"/>
      <c r="AG261" s="447"/>
      <c r="AH261" s="447"/>
      <c r="AI261" s="382"/>
      <c r="AJ261" s="382"/>
      <c r="AK261" s="382"/>
      <c r="AL261" s="382"/>
      <c r="AM261" s="382"/>
      <c r="AN261" s="382"/>
      <c r="AO261" s="382"/>
      <c r="AP261" s="382"/>
      <c r="AQ261" s="382"/>
      <c r="AR261" s="382"/>
      <c r="AS261" s="382"/>
      <c r="AT261" s="382"/>
      <c r="AU261" s="382"/>
      <c r="AV261" s="382"/>
      <c r="AW261" s="382"/>
      <c r="AX261" s="382"/>
      <c r="AY261" s="382"/>
      <c r="AZ261" s="382"/>
      <c r="BA261" s="382"/>
      <c r="BB261" s="382"/>
      <c r="BC261" s="382"/>
      <c r="BD261" s="382"/>
      <c r="BE261" s="382"/>
      <c r="BF261" s="382"/>
      <c r="BG261" s="382"/>
      <c r="BH261" s="382"/>
      <c r="BI261" s="382"/>
      <c r="BJ261" s="382"/>
      <c r="BK261" s="382"/>
      <c r="BL261" s="382"/>
      <c r="BM261" s="382"/>
      <c r="BN261" s="382"/>
      <c r="BO261" s="382"/>
    </row>
    <row r="262" spans="1:67" s="88" customFormat="1" ht="10.55" customHeight="1" x14ac:dyDescent="0.2">
      <c r="A262" s="675"/>
      <c r="B262" s="2807"/>
      <c r="C262" s="2808"/>
      <c r="D262" s="2809"/>
      <c r="E262" s="2561"/>
      <c r="F262" s="2562"/>
      <c r="G262" s="1015"/>
      <c r="H262" s="524"/>
      <c r="I262" s="1409">
        <f t="shared" si="60"/>
        <v>0</v>
      </c>
      <c r="J262" s="1421">
        <f t="shared" si="61"/>
        <v>0</v>
      </c>
      <c r="K262" s="679"/>
      <c r="L262" s="1002"/>
      <c r="M262" s="1428">
        <f t="shared" si="62"/>
        <v>0</v>
      </c>
      <c r="N262" s="1110"/>
      <c r="O262" s="674">
        <f t="shared" si="63"/>
        <v>0</v>
      </c>
      <c r="P262" s="682"/>
      <c r="Q262" s="286"/>
      <c r="R262" s="287"/>
      <c r="S262" s="280"/>
      <c r="T262" s="280"/>
      <c r="U262" s="280"/>
      <c r="V262" s="280"/>
      <c r="W262" s="280"/>
      <c r="X262" s="280"/>
      <c r="Y262" s="280"/>
      <c r="Z262" s="284"/>
      <c r="AA262" s="284"/>
      <c r="AB262" s="284"/>
      <c r="AC262" s="284"/>
      <c r="AD262" s="284"/>
      <c r="AE262" s="284"/>
      <c r="AF262" s="447"/>
      <c r="AG262" s="447"/>
      <c r="AH262" s="447"/>
      <c r="AI262" s="382"/>
      <c r="AJ262" s="382"/>
      <c r="AK262" s="382"/>
      <c r="AL262" s="382"/>
      <c r="AM262" s="382"/>
      <c r="AN262" s="382"/>
      <c r="AO262" s="382"/>
      <c r="AP262" s="382"/>
      <c r="AQ262" s="382"/>
      <c r="AR262" s="382"/>
      <c r="AS262" s="382"/>
      <c r="AT262" s="382"/>
      <c r="AU262" s="382"/>
      <c r="AV262" s="382"/>
      <c r="AW262" s="382"/>
      <c r="AX262" s="382"/>
      <c r="AY262" s="382"/>
      <c r="AZ262" s="382"/>
      <c r="BA262" s="382"/>
      <c r="BB262" s="382"/>
      <c r="BC262" s="382"/>
      <c r="BD262" s="382"/>
      <c r="BE262" s="382"/>
      <c r="BF262" s="382"/>
      <c r="BG262" s="382"/>
      <c r="BH262" s="382"/>
      <c r="BI262" s="382"/>
      <c r="BJ262" s="382"/>
      <c r="BK262" s="382"/>
      <c r="BL262" s="382"/>
      <c r="BM262" s="382"/>
      <c r="BN262" s="382"/>
      <c r="BO262" s="382"/>
    </row>
    <row r="263" spans="1:67" s="88" customFormat="1" ht="10.55" customHeight="1" x14ac:dyDescent="0.2">
      <c r="A263" s="675"/>
      <c r="B263" s="2807"/>
      <c r="C263" s="2808"/>
      <c r="D263" s="2809"/>
      <c r="E263" s="2561"/>
      <c r="F263" s="2562"/>
      <c r="G263" s="1015"/>
      <c r="H263" s="524"/>
      <c r="I263" s="1409">
        <f t="shared" si="60"/>
        <v>0</v>
      </c>
      <c r="J263" s="1421">
        <f t="shared" si="61"/>
        <v>0</v>
      </c>
      <c r="K263" s="679"/>
      <c r="L263" s="1002"/>
      <c r="M263" s="1428">
        <f t="shared" si="62"/>
        <v>0</v>
      </c>
      <c r="N263" s="1110"/>
      <c r="O263" s="674">
        <f t="shared" si="63"/>
        <v>0</v>
      </c>
      <c r="P263" s="682"/>
      <c r="Q263" s="286"/>
      <c r="R263" s="287"/>
      <c r="S263" s="280"/>
      <c r="T263" s="280"/>
      <c r="U263" s="280"/>
      <c r="V263" s="280"/>
      <c r="W263" s="280"/>
      <c r="X263" s="280"/>
      <c r="Y263" s="280"/>
      <c r="Z263" s="284"/>
      <c r="AA263" s="284"/>
      <c r="AB263" s="284"/>
      <c r="AC263" s="284"/>
      <c r="AD263" s="284"/>
      <c r="AE263" s="284"/>
      <c r="AF263" s="447"/>
      <c r="AG263" s="447"/>
      <c r="AH263" s="447"/>
      <c r="AI263" s="382"/>
      <c r="AJ263" s="382"/>
      <c r="AK263" s="382"/>
      <c r="AL263" s="382"/>
      <c r="AM263" s="382"/>
      <c r="AN263" s="382"/>
      <c r="AO263" s="382"/>
      <c r="AP263" s="382"/>
      <c r="AQ263" s="382"/>
      <c r="AR263" s="382"/>
      <c r="AS263" s="382"/>
      <c r="AT263" s="382"/>
      <c r="AU263" s="382"/>
      <c r="AV263" s="382"/>
      <c r="AW263" s="382"/>
      <c r="AX263" s="382"/>
      <c r="AY263" s="382"/>
      <c r="AZ263" s="382"/>
      <c r="BA263" s="382"/>
      <c r="BB263" s="382"/>
      <c r="BC263" s="382"/>
      <c r="BD263" s="382"/>
      <c r="BE263" s="382"/>
      <c r="BF263" s="382"/>
      <c r="BG263" s="382"/>
      <c r="BH263" s="382"/>
      <c r="BI263" s="382"/>
      <c r="BJ263" s="382"/>
      <c r="BK263" s="382"/>
      <c r="BL263" s="382"/>
      <c r="BM263" s="382"/>
      <c r="BN263" s="382"/>
      <c r="BO263" s="382"/>
    </row>
    <row r="264" spans="1:67" s="88" customFormat="1" ht="10.55" customHeight="1" x14ac:dyDescent="0.2">
      <c r="A264" s="675"/>
      <c r="B264" s="2807"/>
      <c r="C264" s="2808"/>
      <c r="D264" s="2809"/>
      <c r="E264" s="2561"/>
      <c r="F264" s="2562"/>
      <c r="G264" s="1015"/>
      <c r="H264" s="524"/>
      <c r="I264" s="1409">
        <f t="shared" si="60"/>
        <v>0</v>
      </c>
      <c r="J264" s="1421">
        <f t="shared" si="61"/>
        <v>0</v>
      </c>
      <c r="K264" s="679"/>
      <c r="L264" s="1002"/>
      <c r="M264" s="1428">
        <f t="shared" si="62"/>
        <v>0</v>
      </c>
      <c r="N264" s="1110"/>
      <c r="O264" s="674">
        <f t="shared" si="63"/>
        <v>0</v>
      </c>
      <c r="P264" s="682"/>
      <c r="Q264" s="286"/>
      <c r="R264" s="287"/>
      <c r="S264" s="280"/>
      <c r="T264" s="280"/>
      <c r="U264" s="280"/>
      <c r="V264" s="280"/>
      <c r="W264" s="280"/>
      <c r="X264" s="280"/>
      <c r="Y264" s="280"/>
      <c r="Z264" s="284"/>
      <c r="AA264" s="284"/>
      <c r="AB264" s="284"/>
      <c r="AC264" s="284"/>
      <c r="AD264" s="284"/>
      <c r="AE264" s="284"/>
      <c r="AF264" s="447"/>
      <c r="AG264" s="447"/>
      <c r="AH264" s="447"/>
      <c r="AI264" s="382"/>
      <c r="AJ264" s="382"/>
      <c r="AK264" s="382"/>
      <c r="AL264" s="382"/>
      <c r="AM264" s="382"/>
      <c r="AN264" s="382"/>
      <c r="AO264" s="382"/>
      <c r="AP264" s="382"/>
      <c r="AQ264" s="382"/>
      <c r="AR264" s="382"/>
      <c r="AS264" s="382"/>
      <c r="AT264" s="382"/>
      <c r="AU264" s="382"/>
      <c r="AV264" s="382"/>
      <c r="AW264" s="382"/>
      <c r="AX264" s="382"/>
      <c r="AY264" s="382"/>
      <c r="AZ264" s="382"/>
      <c r="BA264" s="382"/>
      <c r="BB264" s="382"/>
      <c r="BC264" s="382"/>
      <c r="BD264" s="382"/>
      <c r="BE264" s="382"/>
      <c r="BF264" s="382"/>
      <c r="BG264" s="382"/>
      <c r="BH264" s="382"/>
      <c r="BI264" s="382"/>
      <c r="BJ264" s="382"/>
      <c r="BK264" s="382"/>
      <c r="BL264" s="382"/>
      <c r="BM264" s="382"/>
      <c r="BN264" s="382"/>
      <c r="BO264" s="382"/>
    </row>
    <row r="265" spans="1:67" s="88" customFormat="1" ht="10.55" customHeight="1" x14ac:dyDescent="0.2">
      <c r="A265" s="675"/>
      <c r="B265" s="2807"/>
      <c r="C265" s="2808"/>
      <c r="D265" s="2809"/>
      <c r="E265" s="2561"/>
      <c r="F265" s="2562"/>
      <c r="G265" s="1015"/>
      <c r="H265" s="524"/>
      <c r="I265" s="1409">
        <f t="shared" si="60"/>
        <v>0</v>
      </c>
      <c r="J265" s="1421">
        <f t="shared" si="61"/>
        <v>0</v>
      </c>
      <c r="K265" s="679"/>
      <c r="L265" s="1002"/>
      <c r="M265" s="1428">
        <f t="shared" si="62"/>
        <v>0</v>
      </c>
      <c r="N265" s="1110"/>
      <c r="O265" s="674">
        <f t="shared" si="63"/>
        <v>0</v>
      </c>
      <c r="P265" s="682"/>
      <c r="Q265" s="286"/>
      <c r="R265" s="287"/>
      <c r="S265" s="280"/>
      <c r="T265" s="280"/>
      <c r="U265" s="280"/>
      <c r="V265" s="280"/>
      <c r="W265" s="280"/>
      <c r="X265" s="280"/>
      <c r="Y265" s="280"/>
      <c r="Z265" s="284"/>
      <c r="AA265" s="284"/>
      <c r="AB265" s="284"/>
      <c r="AC265" s="284"/>
      <c r="AD265" s="284"/>
      <c r="AE265" s="284"/>
      <c r="AF265" s="447"/>
      <c r="AG265" s="447"/>
      <c r="AH265" s="447"/>
      <c r="AI265" s="382"/>
      <c r="AJ265" s="382"/>
      <c r="AK265" s="382"/>
      <c r="AL265" s="382"/>
      <c r="AM265" s="382"/>
      <c r="AN265" s="382"/>
      <c r="AO265" s="382"/>
      <c r="AP265" s="382"/>
      <c r="AQ265" s="382"/>
      <c r="AR265" s="382"/>
      <c r="AS265" s="382"/>
      <c r="AT265" s="382"/>
      <c r="AU265" s="382"/>
      <c r="AV265" s="382"/>
      <c r="AW265" s="382"/>
      <c r="AX265" s="382"/>
      <c r="AY265" s="382"/>
      <c r="AZ265" s="382"/>
      <c r="BA265" s="382"/>
      <c r="BB265" s="382"/>
      <c r="BC265" s="382"/>
      <c r="BD265" s="382"/>
      <c r="BE265" s="382"/>
      <c r="BF265" s="382"/>
      <c r="BG265" s="382"/>
      <c r="BH265" s="382"/>
      <c r="BI265" s="382"/>
      <c r="BJ265" s="382"/>
      <c r="BK265" s="382"/>
      <c r="BL265" s="382"/>
      <c r="BM265" s="382"/>
      <c r="BN265" s="382"/>
      <c r="BO265" s="382"/>
    </row>
    <row r="266" spans="1:67" s="88" customFormat="1" ht="10.55" customHeight="1" x14ac:dyDescent="0.2">
      <c r="A266" s="675"/>
      <c r="B266" s="2807"/>
      <c r="C266" s="2808"/>
      <c r="D266" s="2809"/>
      <c r="E266" s="2561"/>
      <c r="F266" s="2562"/>
      <c r="G266" s="1015"/>
      <c r="H266" s="524"/>
      <c r="I266" s="1409">
        <f t="shared" si="60"/>
        <v>0</v>
      </c>
      <c r="J266" s="1421">
        <f t="shared" si="61"/>
        <v>0</v>
      </c>
      <c r="K266" s="679"/>
      <c r="L266" s="1002"/>
      <c r="M266" s="1428">
        <f t="shared" si="62"/>
        <v>0</v>
      </c>
      <c r="N266" s="1110"/>
      <c r="O266" s="674">
        <f t="shared" si="63"/>
        <v>0</v>
      </c>
      <c r="P266" s="682"/>
      <c r="Q266" s="286"/>
      <c r="R266" s="287"/>
      <c r="S266" s="280"/>
      <c r="T266" s="280"/>
      <c r="U266" s="280"/>
      <c r="V266" s="280"/>
      <c r="W266" s="280"/>
      <c r="X266" s="280"/>
      <c r="Y266" s="280"/>
      <c r="Z266" s="284"/>
      <c r="AA266" s="284"/>
      <c r="AB266" s="284"/>
      <c r="AC266" s="284"/>
      <c r="AD266" s="284"/>
      <c r="AE266" s="284"/>
      <c r="AF266" s="447"/>
      <c r="AG266" s="447"/>
      <c r="AH266" s="447"/>
      <c r="AI266" s="382"/>
      <c r="AJ266" s="382"/>
      <c r="AK266" s="382"/>
      <c r="AL266" s="382"/>
      <c r="AM266" s="382"/>
      <c r="AN266" s="382"/>
      <c r="AO266" s="382"/>
      <c r="AP266" s="382"/>
      <c r="AQ266" s="382"/>
      <c r="AR266" s="382"/>
      <c r="AS266" s="382"/>
      <c r="AT266" s="382"/>
      <c r="AU266" s="382"/>
      <c r="AV266" s="382"/>
      <c r="AW266" s="382"/>
      <c r="AX266" s="382"/>
      <c r="AY266" s="382"/>
      <c r="AZ266" s="382"/>
      <c r="BA266" s="382"/>
      <c r="BB266" s="382"/>
      <c r="BC266" s="382"/>
      <c r="BD266" s="382"/>
      <c r="BE266" s="382"/>
      <c r="BF266" s="382"/>
      <c r="BG266" s="382"/>
      <c r="BH266" s="382"/>
      <c r="BI266" s="382"/>
      <c r="BJ266" s="382"/>
      <c r="BK266" s="382"/>
      <c r="BL266" s="382"/>
      <c r="BM266" s="382"/>
      <c r="BN266" s="382"/>
      <c r="BO266" s="382"/>
    </row>
    <row r="267" spans="1:67" s="88" customFormat="1" ht="10.55" customHeight="1" x14ac:dyDescent="0.2">
      <c r="A267" s="675"/>
      <c r="B267" s="2807"/>
      <c r="C267" s="2808"/>
      <c r="D267" s="2809"/>
      <c r="E267" s="2561"/>
      <c r="F267" s="2562"/>
      <c r="G267" s="1015"/>
      <c r="H267" s="524"/>
      <c r="I267" s="1409">
        <f t="shared" si="60"/>
        <v>0</v>
      </c>
      <c r="J267" s="1421">
        <f t="shared" si="61"/>
        <v>0</v>
      </c>
      <c r="K267" s="679"/>
      <c r="L267" s="1002"/>
      <c r="M267" s="1428">
        <f t="shared" si="62"/>
        <v>0</v>
      </c>
      <c r="N267" s="1110"/>
      <c r="O267" s="674">
        <f t="shared" si="63"/>
        <v>0</v>
      </c>
      <c r="P267" s="682"/>
      <c r="Q267" s="286"/>
      <c r="R267" s="287"/>
      <c r="S267" s="280"/>
      <c r="T267" s="280"/>
      <c r="U267" s="280"/>
      <c r="V267" s="280"/>
      <c r="W267" s="280"/>
      <c r="X267" s="280"/>
      <c r="Y267" s="280"/>
      <c r="Z267" s="284"/>
      <c r="AA267" s="284"/>
      <c r="AB267" s="284"/>
      <c r="AC267" s="284"/>
      <c r="AD267" s="284"/>
      <c r="AE267" s="284"/>
      <c r="AF267" s="447"/>
      <c r="AG267" s="447"/>
      <c r="AH267" s="447"/>
      <c r="AI267" s="382"/>
      <c r="AJ267" s="382"/>
      <c r="AK267" s="382"/>
      <c r="AL267" s="382"/>
      <c r="AM267" s="382"/>
      <c r="AN267" s="382"/>
      <c r="AO267" s="382"/>
      <c r="AP267" s="382"/>
      <c r="AQ267" s="382"/>
      <c r="AR267" s="382"/>
      <c r="AS267" s="382"/>
      <c r="AT267" s="382"/>
      <c r="AU267" s="382"/>
      <c r="AV267" s="382"/>
      <c r="AW267" s="382"/>
      <c r="AX267" s="382"/>
      <c r="AY267" s="382"/>
      <c r="AZ267" s="382"/>
      <c r="BA267" s="382"/>
      <c r="BB267" s="382"/>
      <c r="BC267" s="382"/>
      <c r="BD267" s="382"/>
      <c r="BE267" s="382"/>
      <c r="BF267" s="382"/>
      <c r="BG267" s="382"/>
      <c r="BH267" s="382"/>
      <c r="BI267" s="382"/>
      <c r="BJ267" s="382"/>
      <c r="BK267" s="382"/>
      <c r="BL267" s="382"/>
      <c r="BM267" s="382"/>
      <c r="BN267" s="382"/>
      <c r="BO267" s="382"/>
    </row>
    <row r="268" spans="1:67" s="88" customFormat="1" ht="10.55" customHeight="1" x14ac:dyDescent="0.2">
      <c r="A268" s="675"/>
      <c r="B268" s="2807"/>
      <c r="C268" s="2808"/>
      <c r="D268" s="2809"/>
      <c r="E268" s="2561"/>
      <c r="F268" s="2562"/>
      <c r="G268" s="1015"/>
      <c r="H268" s="524"/>
      <c r="I268" s="1409">
        <f t="shared" si="60"/>
        <v>0</v>
      </c>
      <c r="J268" s="1421">
        <f t="shared" si="61"/>
        <v>0</v>
      </c>
      <c r="K268" s="679"/>
      <c r="L268" s="1002"/>
      <c r="M268" s="1428">
        <f t="shared" si="62"/>
        <v>0</v>
      </c>
      <c r="N268" s="1110"/>
      <c r="O268" s="674">
        <f t="shared" si="63"/>
        <v>0</v>
      </c>
      <c r="P268" s="682"/>
      <c r="Q268" s="286"/>
      <c r="R268" s="287"/>
      <c r="S268" s="280"/>
      <c r="T268" s="280"/>
      <c r="U268" s="280"/>
      <c r="V268" s="280"/>
      <c r="W268" s="280"/>
      <c r="X268" s="280"/>
      <c r="Y268" s="280"/>
      <c r="Z268" s="284"/>
      <c r="AA268" s="284"/>
      <c r="AB268" s="284"/>
      <c r="AC268" s="284"/>
      <c r="AD268" s="284"/>
      <c r="AE268" s="284"/>
      <c r="AF268" s="447"/>
      <c r="AG268" s="447"/>
      <c r="AH268" s="447"/>
      <c r="AI268" s="382"/>
      <c r="AJ268" s="382"/>
      <c r="AK268" s="382"/>
      <c r="AL268" s="382"/>
      <c r="AM268" s="382"/>
      <c r="AN268" s="382"/>
      <c r="AO268" s="382"/>
      <c r="AP268" s="382"/>
      <c r="AQ268" s="382"/>
      <c r="AR268" s="382"/>
      <c r="AS268" s="382"/>
      <c r="AT268" s="382"/>
      <c r="AU268" s="382"/>
      <c r="AV268" s="382"/>
      <c r="AW268" s="382"/>
      <c r="AX268" s="382"/>
      <c r="AY268" s="382"/>
      <c r="AZ268" s="382"/>
      <c r="BA268" s="382"/>
      <c r="BB268" s="382"/>
      <c r="BC268" s="382"/>
      <c r="BD268" s="382"/>
      <c r="BE268" s="382"/>
      <c r="BF268" s="382"/>
      <c r="BG268" s="382"/>
      <c r="BH268" s="382"/>
      <c r="BI268" s="382"/>
      <c r="BJ268" s="382"/>
      <c r="BK268" s="382"/>
      <c r="BL268" s="382"/>
      <c r="BM268" s="382"/>
      <c r="BN268" s="382"/>
      <c r="BO268" s="382"/>
    </row>
    <row r="269" spans="1:67" s="88" customFormat="1" ht="10.55" customHeight="1" x14ac:dyDescent="0.2">
      <c r="A269" s="675"/>
      <c r="B269" s="2807"/>
      <c r="C269" s="2808"/>
      <c r="D269" s="2809"/>
      <c r="E269" s="2561"/>
      <c r="F269" s="2562"/>
      <c r="G269" s="1015"/>
      <c r="H269" s="524"/>
      <c r="I269" s="1409">
        <f t="shared" si="60"/>
        <v>0</v>
      </c>
      <c r="J269" s="1421">
        <f t="shared" si="61"/>
        <v>0</v>
      </c>
      <c r="K269" s="679"/>
      <c r="L269" s="1002"/>
      <c r="M269" s="1428">
        <f t="shared" si="62"/>
        <v>0</v>
      </c>
      <c r="N269" s="1110"/>
      <c r="O269" s="674">
        <f t="shared" si="63"/>
        <v>0</v>
      </c>
      <c r="P269" s="682"/>
      <c r="Q269" s="286"/>
      <c r="R269" s="287"/>
      <c r="S269" s="280"/>
      <c r="T269" s="280"/>
      <c r="U269" s="280"/>
      <c r="V269" s="280"/>
      <c r="W269" s="280"/>
      <c r="X269" s="280"/>
      <c r="Y269" s="280"/>
      <c r="Z269" s="284"/>
      <c r="AA269" s="284"/>
      <c r="AB269" s="284"/>
      <c r="AC269" s="284"/>
      <c r="AD269" s="284"/>
      <c r="AE269" s="284"/>
      <c r="AF269" s="447"/>
      <c r="AG269" s="447"/>
      <c r="AH269" s="447"/>
      <c r="AI269" s="382"/>
      <c r="AJ269" s="382"/>
      <c r="AK269" s="382"/>
      <c r="AL269" s="382"/>
      <c r="AM269" s="382"/>
      <c r="AN269" s="382"/>
      <c r="AO269" s="382"/>
      <c r="AP269" s="382"/>
      <c r="AQ269" s="382"/>
      <c r="AR269" s="382"/>
      <c r="AS269" s="382"/>
      <c r="AT269" s="382"/>
      <c r="AU269" s="382"/>
      <c r="AV269" s="382"/>
      <c r="AW269" s="382"/>
      <c r="AX269" s="382"/>
      <c r="AY269" s="382"/>
      <c r="AZ269" s="382"/>
      <c r="BA269" s="382"/>
      <c r="BB269" s="382"/>
      <c r="BC269" s="382"/>
      <c r="BD269" s="382"/>
      <c r="BE269" s="382"/>
      <c r="BF269" s="382"/>
      <c r="BG269" s="382"/>
      <c r="BH269" s="382"/>
      <c r="BI269" s="382"/>
      <c r="BJ269" s="382"/>
      <c r="BK269" s="382"/>
      <c r="BL269" s="382"/>
      <c r="BM269" s="382"/>
      <c r="BN269" s="382"/>
      <c r="BO269" s="382"/>
    </row>
    <row r="270" spans="1:67" s="88" customFormat="1" ht="10.55" customHeight="1" x14ac:dyDescent="0.2">
      <c r="A270" s="511"/>
      <c r="B270" s="2884"/>
      <c r="C270" s="2885"/>
      <c r="D270" s="2886"/>
      <c r="E270" s="2793"/>
      <c r="F270" s="2794"/>
      <c r="G270" s="1018"/>
      <c r="H270" s="1019"/>
      <c r="I270" s="1436">
        <f t="shared" si="60"/>
        <v>0</v>
      </c>
      <c r="J270" s="1422"/>
      <c r="K270" s="680"/>
      <c r="L270" s="1020"/>
      <c r="M270" s="1429">
        <f t="shared" si="62"/>
        <v>0</v>
      </c>
      <c r="N270" s="1110"/>
      <c r="O270" s="674">
        <f t="shared" si="63"/>
        <v>0</v>
      </c>
      <c r="P270" s="682"/>
      <c r="Q270" s="286"/>
      <c r="R270" s="287"/>
      <c r="S270" s="280"/>
      <c r="T270" s="280"/>
      <c r="U270" s="280"/>
      <c r="V270" s="280"/>
      <c r="W270" s="280"/>
      <c r="X270" s="280"/>
      <c r="Y270" s="280"/>
      <c r="Z270" s="284"/>
      <c r="AA270" s="284"/>
      <c r="AB270" s="284"/>
      <c r="AC270" s="284"/>
      <c r="AD270" s="284"/>
      <c r="AE270" s="284"/>
      <c r="AF270" s="447"/>
      <c r="AG270" s="447"/>
      <c r="AH270" s="447"/>
      <c r="AI270" s="382"/>
      <c r="AJ270" s="382"/>
      <c r="AK270" s="382"/>
      <c r="AL270" s="382"/>
      <c r="AM270" s="382"/>
      <c r="AN270" s="382"/>
      <c r="AO270" s="382"/>
      <c r="AP270" s="382"/>
      <c r="AQ270" s="382"/>
      <c r="AR270" s="382"/>
      <c r="AS270" s="382"/>
      <c r="AT270" s="382"/>
      <c r="AU270" s="382"/>
      <c r="AV270" s="382"/>
      <c r="AW270" s="382"/>
      <c r="AX270" s="382"/>
      <c r="AY270" s="382"/>
      <c r="AZ270" s="382"/>
      <c r="BA270" s="382"/>
      <c r="BB270" s="382"/>
      <c r="BC270" s="382"/>
      <c r="BD270" s="382"/>
      <c r="BE270" s="382"/>
      <c r="BF270" s="382"/>
      <c r="BG270" s="382"/>
      <c r="BH270" s="382"/>
      <c r="BI270" s="382"/>
      <c r="BJ270" s="382"/>
      <c r="BK270" s="382"/>
      <c r="BL270" s="382"/>
      <c r="BM270" s="382"/>
      <c r="BN270" s="382"/>
      <c r="BO270" s="382"/>
    </row>
    <row r="271" spans="1:67" s="88" customFormat="1" ht="10.55" customHeight="1" x14ac:dyDescent="0.2">
      <c r="A271" s="1145" t="s">
        <v>406</v>
      </c>
      <c r="B271" s="2783"/>
      <c r="C271" s="2784"/>
      <c r="D271" s="2785"/>
      <c r="E271" s="2810">
        <f>SUM(E272:E284)</f>
        <v>0</v>
      </c>
      <c r="F271" s="2811"/>
      <c r="G271" s="2747"/>
      <c r="H271" s="2748"/>
      <c r="I271" s="1435">
        <f>IF(E271=0,0,J271/E271)</f>
        <v>0</v>
      </c>
      <c r="J271" s="1423">
        <f>SUM(J272:J284)</f>
        <v>0</v>
      </c>
      <c r="K271" s="2749">
        <f>IF(E271=0,0,M271/E271*100)</f>
        <v>0</v>
      </c>
      <c r="L271" s="2750"/>
      <c r="M271" s="1430">
        <f>SUM(M272:M284)</f>
        <v>0</v>
      </c>
      <c r="N271" s="1110"/>
      <c r="O271" s="387">
        <f>IF(H271="",G271,H271)</f>
        <v>0</v>
      </c>
      <c r="P271" s="682"/>
      <c r="Q271" s="286"/>
      <c r="R271" s="287"/>
      <c r="S271" s="280"/>
      <c r="T271" s="280"/>
      <c r="U271" s="280"/>
      <c r="V271" s="280"/>
      <c r="W271" s="280"/>
      <c r="X271" s="280"/>
      <c r="Y271" s="280"/>
      <c r="Z271" s="284"/>
      <c r="AA271" s="284"/>
      <c r="AB271" s="284"/>
      <c r="AC271" s="284"/>
      <c r="AD271" s="284"/>
      <c r="AE271" s="284"/>
      <c r="AF271" s="447"/>
      <c r="AG271" s="447"/>
      <c r="AH271" s="447"/>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2"/>
      <c r="BL271" s="382"/>
      <c r="BM271" s="382"/>
      <c r="BN271" s="382"/>
      <c r="BO271" s="382"/>
    </row>
    <row r="272" spans="1:67" s="88" customFormat="1" ht="10.55" customHeight="1" x14ac:dyDescent="0.2">
      <c r="A272" s="512" t="s">
        <v>407</v>
      </c>
      <c r="B272" s="2790"/>
      <c r="C272" s="2791"/>
      <c r="D272" s="2792"/>
      <c r="E272" s="2734"/>
      <c r="F272" s="2735"/>
      <c r="G272" s="1785">
        <v>15</v>
      </c>
      <c r="H272" s="524"/>
      <c r="I272" s="1409">
        <f t="shared" ref="I272:I285" si="64">IF($O272&gt;0,-PMT(($I$9),$O272,1),0)</f>
        <v>8.0766456051533542E-2</v>
      </c>
      <c r="J272" s="1421">
        <f t="shared" ref="J272:J284" si="65">ROUND(E272*I272,0)</f>
        <v>0</v>
      </c>
      <c r="K272" s="678">
        <v>0</v>
      </c>
      <c r="L272" s="1002"/>
      <c r="M272" s="1428">
        <f t="shared" ref="M272:M285" si="66">ROUND(E272/100*IF(ISBLANK(L272),K272,L272),0)</f>
        <v>0</v>
      </c>
      <c r="N272" s="1110"/>
      <c r="O272" s="674">
        <f t="shared" ref="O272:O285" si="67">IF(ISBLANK(H272),G272,H272)</f>
        <v>15</v>
      </c>
      <c r="P272" s="682"/>
      <c r="Q272" s="286"/>
      <c r="R272" s="287"/>
      <c r="S272" s="280"/>
      <c r="T272" s="280"/>
      <c r="U272" s="280"/>
      <c r="V272" s="280"/>
      <c r="W272" s="280"/>
      <c r="X272" s="280"/>
      <c r="Y272" s="280"/>
      <c r="Z272" s="284"/>
      <c r="AA272" s="284"/>
      <c r="AB272" s="284"/>
      <c r="AC272" s="284"/>
      <c r="AD272" s="284"/>
      <c r="AE272" s="284"/>
      <c r="AF272" s="447"/>
      <c r="AG272" s="447"/>
      <c r="AH272" s="447"/>
      <c r="AI272" s="382"/>
      <c r="AJ272" s="382"/>
      <c r="AK272" s="382"/>
      <c r="AL272" s="382"/>
      <c r="AM272" s="382"/>
      <c r="AN272" s="382"/>
      <c r="AO272" s="382"/>
      <c r="AP272" s="382"/>
      <c r="AQ272" s="382"/>
      <c r="AR272" s="382"/>
      <c r="AS272" s="382"/>
      <c r="AT272" s="382"/>
      <c r="AU272" s="382"/>
      <c r="AV272" s="382"/>
      <c r="AW272" s="382"/>
      <c r="AX272" s="382"/>
      <c r="AY272" s="382"/>
      <c r="AZ272" s="382"/>
      <c r="BA272" s="382"/>
      <c r="BB272" s="382"/>
      <c r="BC272" s="382"/>
      <c r="BD272" s="382"/>
      <c r="BE272" s="382"/>
      <c r="BF272" s="382"/>
      <c r="BG272" s="382"/>
      <c r="BH272" s="382"/>
      <c r="BI272" s="382"/>
      <c r="BJ272" s="382"/>
      <c r="BK272" s="382"/>
      <c r="BL272" s="382"/>
      <c r="BM272" s="382"/>
      <c r="BN272" s="382"/>
      <c r="BO272" s="382"/>
    </row>
    <row r="273" spans="1:67" s="88" customFormat="1" ht="10.55" customHeight="1" x14ac:dyDescent="0.2">
      <c r="A273" s="512" t="s">
        <v>408</v>
      </c>
      <c r="B273" s="2807"/>
      <c r="C273" s="2808"/>
      <c r="D273" s="2809"/>
      <c r="E273" s="2561"/>
      <c r="F273" s="2562"/>
      <c r="G273" s="1785">
        <v>15</v>
      </c>
      <c r="H273" s="524"/>
      <c r="I273" s="1409">
        <f t="shared" si="64"/>
        <v>8.0766456051533542E-2</v>
      </c>
      <c r="J273" s="1421">
        <f t="shared" si="65"/>
        <v>0</v>
      </c>
      <c r="K273" s="678">
        <v>0</v>
      </c>
      <c r="L273" s="1002"/>
      <c r="M273" s="1428">
        <f t="shared" si="66"/>
        <v>0</v>
      </c>
      <c r="N273" s="1110"/>
      <c r="O273" s="674">
        <f t="shared" si="67"/>
        <v>15</v>
      </c>
      <c r="P273" s="682"/>
      <c r="Q273" s="286"/>
      <c r="R273" s="287"/>
      <c r="S273" s="280"/>
      <c r="T273" s="280"/>
      <c r="U273" s="280"/>
      <c r="V273" s="280"/>
      <c r="W273" s="280"/>
      <c r="X273" s="280"/>
      <c r="Y273" s="280"/>
      <c r="Z273" s="284"/>
      <c r="AA273" s="284"/>
      <c r="AB273" s="284"/>
      <c r="AC273" s="284"/>
      <c r="AD273" s="284"/>
      <c r="AE273" s="284"/>
      <c r="AF273" s="447"/>
      <c r="AG273" s="447"/>
      <c r="AH273" s="447"/>
      <c r="AI273" s="382"/>
      <c r="AJ273" s="382"/>
      <c r="AK273" s="382"/>
      <c r="AL273" s="382"/>
      <c r="AM273" s="382"/>
      <c r="AN273" s="382"/>
      <c r="AO273" s="382"/>
      <c r="AP273" s="382"/>
      <c r="AQ273" s="382"/>
      <c r="AR273" s="382"/>
      <c r="AS273" s="382"/>
      <c r="AT273" s="382"/>
      <c r="AU273" s="382"/>
      <c r="AV273" s="382"/>
      <c r="AW273" s="382"/>
      <c r="AX273" s="382"/>
      <c r="AY273" s="382"/>
      <c r="AZ273" s="382"/>
      <c r="BA273" s="382"/>
      <c r="BB273" s="382"/>
      <c r="BC273" s="382"/>
      <c r="BD273" s="382"/>
      <c r="BE273" s="382"/>
      <c r="BF273" s="382"/>
      <c r="BG273" s="382"/>
      <c r="BH273" s="382"/>
      <c r="BI273" s="382"/>
      <c r="BJ273" s="382"/>
      <c r="BK273" s="382"/>
      <c r="BL273" s="382"/>
      <c r="BM273" s="382"/>
      <c r="BN273" s="382"/>
      <c r="BO273" s="382"/>
    </row>
    <row r="274" spans="1:67" s="88" customFormat="1" ht="10.55" customHeight="1" x14ac:dyDescent="0.2">
      <c r="A274" s="512" t="s">
        <v>409</v>
      </c>
      <c r="B274" s="2807"/>
      <c r="C274" s="2808"/>
      <c r="D274" s="2809"/>
      <c r="E274" s="2561"/>
      <c r="F274" s="2562"/>
      <c r="G274" s="1785">
        <v>20</v>
      </c>
      <c r="H274" s="524"/>
      <c r="I274" s="1409">
        <f t="shared" si="64"/>
        <v>6.4147128734474465E-2</v>
      </c>
      <c r="J274" s="1421">
        <f t="shared" si="65"/>
        <v>0</v>
      </c>
      <c r="K274" s="678">
        <v>1</v>
      </c>
      <c r="L274" s="1002"/>
      <c r="M274" s="1428">
        <f t="shared" si="66"/>
        <v>0</v>
      </c>
      <c r="N274" s="1110"/>
      <c r="O274" s="674">
        <f t="shared" si="67"/>
        <v>20</v>
      </c>
      <c r="P274" s="682"/>
      <c r="Q274" s="286"/>
      <c r="R274" s="287"/>
      <c r="S274" s="280"/>
      <c r="T274" s="280"/>
      <c r="U274" s="280"/>
      <c r="V274" s="280"/>
      <c r="W274" s="280"/>
      <c r="X274" s="280"/>
      <c r="Y274" s="280"/>
      <c r="Z274" s="284"/>
      <c r="AA274" s="284"/>
      <c r="AB274" s="284"/>
      <c r="AC274" s="284"/>
      <c r="AD274" s="284"/>
      <c r="AE274" s="284"/>
      <c r="AF274" s="447"/>
      <c r="AG274" s="447"/>
      <c r="AH274" s="447"/>
      <c r="AI274" s="382"/>
      <c r="AJ274" s="382"/>
      <c r="AK274" s="382"/>
      <c r="AL274" s="382"/>
      <c r="AM274" s="382"/>
      <c r="AN274" s="382"/>
      <c r="AO274" s="382"/>
      <c r="AP274" s="382"/>
      <c r="AQ274" s="382"/>
      <c r="AR274" s="382"/>
      <c r="AS274" s="382"/>
      <c r="AT274" s="382"/>
      <c r="AU274" s="382"/>
      <c r="AV274" s="382"/>
      <c r="AW274" s="382"/>
      <c r="AX274" s="382"/>
      <c r="AY274" s="382"/>
      <c r="AZ274" s="382"/>
      <c r="BA274" s="382"/>
      <c r="BB274" s="382"/>
      <c r="BC274" s="382"/>
      <c r="BD274" s="382"/>
      <c r="BE274" s="382"/>
      <c r="BF274" s="382"/>
      <c r="BG274" s="382"/>
      <c r="BH274" s="382"/>
      <c r="BI274" s="382"/>
      <c r="BJ274" s="382"/>
      <c r="BK274" s="382"/>
      <c r="BL274" s="382"/>
      <c r="BM274" s="382"/>
      <c r="BN274" s="382"/>
      <c r="BO274" s="382"/>
    </row>
    <row r="275" spans="1:67" s="88" customFormat="1" ht="10.55" customHeight="1" x14ac:dyDescent="0.2">
      <c r="A275" s="512" t="s">
        <v>410</v>
      </c>
      <c r="B275" s="2807"/>
      <c r="C275" s="2808"/>
      <c r="D275" s="2809"/>
      <c r="E275" s="2561"/>
      <c r="F275" s="2562"/>
      <c r="G275" s="1785">
        <v>30</v>
      </c>
      <c r="H275" s="524"/>
      <c r="I275" s="1409">
        <f t="shared" si="64"/>
        <v>4.7777640736176463E-2</v>
      </c>
      <c r="J275" s="1421">
        <f t="shared" si="65"/>
        <v>0</v>
      </c>
      <c r="K275" s="678">
        <v>0.5</v>
      </c>
      <c r="L275" s="1002"/>
      <c r="M275" s="1428">
        <f t="shared" si="66"/>
        <v>0</v>
      </c>
      <c r="N275" s="1110"/>
      <c r="O275" s="674">
        <f t="shared" si="67"/>
        <v>30</v>
      </c>
      <c r="P275" s="682"/>
      <c r="Q275" s="286"/>
      <c r="R275" s="287"/>
      <c r="S275" s="280"/>
      <c r="T275" s="280"/>
      <c r="U275" s="280"/>
      <c r="V275" s="280"/>
      <c r="W275" s="280"/>
      <c r="X275" s="280"/>
      <c r="Y275" s="280"/>
      <c r="Z275" s="284"/>
      <c r="AA275" s="284"/>
      <c r="AB275" s="284"/>
      <c r="AC275" s="284"/>
      <c r="AD275" s="284"/>
      <c r="AE275" s="284"/>
      <c r="AF275" s="447"/>
      <c r="AG275" s="447"/>
      <c r="AH275" s="447"/>
      <c r="AI275" s="382"/>
      <c r="AJ275" s="382"/>
      <c r="AK275" s="382"/>
      <c r="AL275" s="382"/>
      <c r="AM275" s="382"/>
      <c r="AN275" s="382"/>
      <c r="AO275" s="382"/>
      <c r="AP275" s="382"/>
      <c r="AQ275" s="382"/>
      <c r="AR275" s="382"/>
      <c r="AS275" s="382"/>
      <c r="AT275" s="382"/>
      <c r="AU275" s="382"/>
      <c r="AV275" s="382"/>
      <c r="AW275" s="382"/>
      <c r="AX275" s="382"/>
      <c r="AY275" s="382"/>
      <c r="AZ275" s="382"/>
      <c r="BA275" s="382"/>
      <c r="BB275" s="382"/>
      <c r="BC275" s="382"/>
      <c r="BD275" s="382"/>
      <c r="BE275" s="382"/>
      <c r="BF275" s="382"/>
      <c r="BG275" s="382"/>
      <c r="BH275" s="382"/>
      <c r="BI275" s="382"/>
      <c r="BJ275" s="382"/>
      <c r="BK275" s="382"/>
      <c r="BL275" s="382"/>
      <c r="BM275" s="382"/>
      <c r="BN275" s="382"/>
      <c r="BO275" s="382"/>
    </row>
    <row r="276" spans="1:67" s="88" customFormat="1" ht="10.55" customHeight="1" x14ac:dyDescent="0.2">
      <c r="A276" s="512" t="s">
        <v>283</v>
      </c>
      <c r="B276" s="2807"/>
      <c r="C276" s="2808"/>
      <c r="D276" s="2809"/>
      <c r="E276" s="2561"/>
      <c r="F276" s="2562"/>
      <c r="G276" s="1785">
        <v>15</v>
      </c>
      <c r="H276" s="524"/>
      <c r="I276" s="1409">
        <f t="shared" si="64"/>
        <v>8.0766456051533542E-2</v>
      </c>
      <c r="J276" s="1421">
        <f t="shared" si="65"/>
        <v>0</v>
      </c>
      <c r="K276" s="678">
        <v>2</v>
      </c>
      <c r="L276" s="1002"/>
      <c r="M276" s="1428">
        <f t="shared" si="66"/>
        <v>0</v>
      </c>
      <c r="N276" s="1110"/>
      <c r="O276" s="674">
        <f t="shared" si="67"/>
        <v>15</v>
      </c>
      <c r="P276" s="682"/>
      <c r="Q276" s="286"/>
      <c r="R276" s="287"/>
      <c r="S276" s="280"/>
      <c r="T276" s="280"/>
      <c r="U276" s="280"/>
      <c r="V276" s="280"/>
      <c r="W276" s="280"/>
      <c r="X276" s="280"/>
      <c r="Y276" s="280"/>
      <c r="Z276" s="284"/>
      <c r="AA276" s="284"/>
      <c r="AB276" s="284"/>
      <c r="AC276" s="284"/>
      <c r="AD276" s="284"/>
      <c r="AE276" s="284"/>
      <c r="AF276" s="447"/>
      <c r="AG276" s="447"/>
      <c r="AH276" s="447"/>
      <c r="AI276" s="382"/>
      <c r="AJ276" s="382"/>
      <c r="AK276" s="382"/>
      <c r="AL276" s="382"/>
      <c r="AM276" s="382"/>
      <c r="AN276" s="382"/>
      <c r="AO276" s="382"/>
      <c r="AP276" s="382"/>
      <c r="AQ276" s="382"/>
      <c r="AR276" s="382"/>
      <c r="AS276" s="382"/>
      <c r="AT276" s="382"/>
      <c r="AU276" s="382"/>
      <c r="AV276" s="382"/>
      <c r="AW276" s="382"/>
      <c r="AX276" s="382"/>
      <c r="AY276" s="382"/>
      <c r="AZ276" s="382"/>
      <c r="BA276" s="382"/>
      <c r="BB276" s="382"/>
      <c r="BC276" s="382"/>
      <c r="BD276" s="382"/>
      <c r="BE276" s="382"/>
      <c r="BF276" s="382"/>
      <c r="BG276" s="382"/>
      <c r="BH276" s="382"/>
      <c r="BI276" s="382"/>
      <c r="BJ276" s="382"/>
      <c r="BK276" s="382"/>
      <c r="BL276" s="382"/>
      <c r="BM276" s="382"/>
      <c r="BN276" s="382"/>
      <c r="BO276" s="382"/>
    </row>
    <row r="277" spans="1:67" s="88" customFormat="1" ht="10.55" customHeight="1" x14ac:dyDescent="0.2">
      <c r="A277" s="512" t="s">
        <v>411</v>
      </c>
      <c r="B277" s="2807"/>
      <c r="C277" s="2808"/>
      <c r="D277" s="2809"/>
      <c r="E277" s="2561"/>
      <c r="F277" s="2562"/>
      <c r="G277" s="1785">
        <v>20</v>
      </c>
      <c r="H277" s="524"/>
      <c r="I277" s="1409">
        <f t="shared" si="64"/>
        <v>6.4147128734474465E-2</v>
      </c>
      <c r="J277" s="1421">
        <f t="shared" si="65"/>
        <v>0</v>
      </c>
      <c r="K277" s="678">
        <v>1</v>
      </c>
      <c r="L277" s="1002"/>
      <c r="M277" s="1428">
        <f t="shared" si="66"/>
        <v>0</v>
      </c>
      <c r="N277" s="1110"/>
      <c r="O277" s="674">
        <f t="shared" si="67"/>
        <v>20</v>
      </c>
      <c r="P277" s="682"/>
      <c r="Q277" s="286"/>
      <c r="R277" s="287"/>
      <c r="S277" s="280"/>
      <c r="T277" s="280"/>
      <c r="U277" s="280"/>
      <c r="V277" s="280"/>
      <c r="W277" s="280"/>
      <c r="X277" s="280"/>
      <c r="Y277" s="280"/>
      <c r="Z277" s="284"/>
      <c r="AA277" s="284"/>
      <c r="AB277" s="284"/>
      <c r="AC277" s="284"/>
      <c r="AD277" s="284"/>
      <c r="AE277" s="284"/>
      <c r="AF277" s="447"/>
      <c r="AG277" s="447"/>
      <c r="AH277" s="447"/>
      <c r="AI277" s="382"/>
      <c r="AJ277" s="382"/>
      <c r="AK277" s="382"/>
      <c r="AL277" s="382"/>
      <c r="AM277" s="382"/>
      <c r="AN277" s="382"/>
      <c r="AO277" s="382"/>
      <c r="AP277" s="382"/>
      <c r="AQ277" s="382"/>
      <c r="AR277" s="382"/>
      <c r="AS277" s="382"/>
      <c r="AT277" s="382"/>
      <c r="AU277" s="382"/>
      <c r="AV277" s="382"/>
      <c r="AW277" s="382"/>
      <c r="AX277" s="382"/>
      <c r="AY277" s="382"/>
      <c r="AZ277" s="382"/>
      <c r="BA277" s="382"/>
      <c r="BB277" s="382"/>
      <c r="BC277" s="382"/>
      <c r="BD277" s="382"/>
      <c r="BE277" s="382"/>
      <c r="BF277" s="382"/>
      <c r="BG277" s="382"/>
      <c r="BH277" s="382"/>
      <c r="BI277" s="382"/>
      <c r="BJ277" s="382"/>
      <c r="BK277" s="382"/>
      <c r="BL277" s="382"/>
      <c r="BM277" s="382"/>
      <c r="BN277" s="382"/>
      <c r="BO277" s="382"/>
    </row>
    <row r="278" spans="1:67" s="88" customFormat="1" ht="10.55" customHeight="1" x14ac:dyDescent="0.2">
      <c r="A278" s="512" t="s">
        <v>412</v>
      </c>
      <c r="B278" s="2807"/>
      <c r="C278" s="2808"/>
      <c r="D278" s="2809"/>
      <c r="E278" s="2561"/>
      <c r="F278" s="2562"/>
      <c r="G278" s="1785">
        <v>20</v>
      </c>
      <c r="H278" s="524"/>
      <c r="I278" s="1409">
        <f t="shared" si="64"/>
        <v>6.4147128734474465E-2</v>
      </c>
      <c r="J278" s="1421">
        <f t="shared" si="65"/>
        <v>0</v>
      </c>
      <c r="K278" s="678">
        <v>1</v>
      </c>
      <c r="L278" s="1002"/>
      <c r="M278" s="1428">
        <f t="shared" si="66"/>
        <v>0</v>
      </c>
      <c r="N278" s="1110"/>
      <c r="O278" s="674">
        <f t="shared" si="67"/>
        <v>20</v>
      </c>
      <c r="P278" s="682"/>
      <c r="Q278" s="286"/>
      <c r="R278" s="287"/>
      <c r="S278" s="280"/>
      <c r="T278" s="280"/>
      <c r="U278" s="280"/>
      <c r="V278" s="280"/>
      <c r="W278" s="280"/>
      <c r="X278" s="280"/>
      <c r="Y278" s="280"/>
      <c r="Z278" s="284"/>
      <c r="AA278" s="284"/>
      <c r="AB278" s="284"/>
      <c r="AC278" s="284"/>
      <c r="AD278" s="284"/>
      <c r="AE278" s="284"/>
      <c r="AF278" s="447"/>
      <c r="AG278" s="447"/>
      <c r="AH278" s="447"/>
      <c r="AI278" s="382"/>
      <c r="AJ278" s="382"/>
      <c r="AK278" s="382"/>
      <c r="AL278" s="382"/>
      <c r="AM278" s="382"/>
      <c r="AN278" s="382"/>
      <c r="AO278" s="382"/>
      <c r="AP278" s="382"/>
      <c r="AQ278" s="382"/>
      <c r="AR278" s="382"/>
      <c r="AS278" s="382"/>
      <c r="AT278" s="382"/>
      <c r="AU278" s="382"/>
      <c r="AV278" s="382"/>
      <c r="AW278" s="382"/>
      <c r="AX278" s="382"/>
      <c r="AY278" s="382"/>
      <c r="AZ278" s="382"/>
      <c r="BA278" s="382"/>
      <c r="BB278" s="382"/>
      <c r="BC278" s="382"/>
      <c r="BD278" s="382"/>
      <c r="BE278" s="382"/>
      <c r="BF278" s="382"/>
      <c r="BG278" s="382"/>
      <c r="BH278" s="382"/>
      <c r="BI278" s="382"/>
      <c r="BJ278" s="382"/>
      <c r="BK278" s="382"/>
      <c r="BL278" s="382"/>
      <c r="BM278" s="382"/>
      <c r="BN278" s="382"/>
      <c r="BO278" s="382"/>
    </row>
    <row r="279" spans="1:67" s="88" customFormat="1" ht="10.55" customHeight="1" x14ac:dyDescent="0.2">
      <c r="A279" s="512" t="s">
        <v>413</v>
      </c>
      <c r="B279" s="2807"/>
      <c r="C279" s="2808"/>
      <c r="D279" s="2809"/>
      <c r="E279" s="2561"/>
      <c r="F279" s="2562"/>
      <c r="G279" s="1785">
        <v>15</v>
      </c>
      <c r="H279" s="524"/>
      <c r="I279" s="1409">
        <f t="shared" si="64"/>
        <v>8.0766456051533542E-2</v>
      </c>
      <c r="J279" s="1421">
        <f t="shared" si="65"/>
        <v>0</v>
      </c>
      <c r="K279" s="678">
        <v>2.5</v>
      </c>
      <c r="L279" s="1002"/>
      <c r="M279" s="1428">
        <f t="shared" si="66"/>
        <v>0</v>
      </c>
      <c r="N279" s="1110"/>
      <c r="O279" s="674">
        <f t="shared" si="67"/>
        <v>15</v>
      </c>
      <c r="P279" s="682"/>
      <c r="Q279" s="286"/>
      <c r="R279" s="287"/>
      <c r="S279" s="280"/>
      <c r="T279" s="280"/>
      <c r="U279" s="280"/>
      <c r="V279" s="280"/>
      <c r="W279" s="280"/>
      <c r="X279" s="280"/>
      <c r="Y279" s="280"/>
      <c r="Z279" s="284"/>
      <c r="AA279" s="284"/>
      <c r="AB279" s="284"/>
      <c r="AC279" s="284"/>
      <c r="AD279" s="284"/>
      <c r="AE279" s="284"/>
      <c r="AF279" s="447"/>
      <c r="AG279" s="447"/>
      <c r="AH279" s="447"/>
      <c r="AI279" s="382"/>
      <c r="AJ279" s="382"/>
      <c r="AK279" s="382"/>
      <c r="AL279" s="382"/>
      <c r="AM279" s="382"/>
      <c r="AN279" s="382"/>
      <c r="AO279" s="382"/>
      <c r="AP279" s="382"/>
      <c r="AQ279" s="382"/>
      <c r="AR279" s="382"/>
      <c r="AS279" s="382"/>
      <c r="AT279" s="382"/>
      <c r="AU279" s="382"/>
      <c r="AV279" s="382"/>
      <c r="AW279" s="382"/>
      <c r="AX279" s="382"/>
      <c r="AY279" s="382"/>
      <c r="AZ279" s="382"/>
      <c r="BA279" s="382"/>
      <c r="BB279" s="382"/>
      <c r="BC279" s="382"/>
      <c r="BD279" s="382"/>
      <c r="BE279" s="382"/>
      <c r="BF279" s="382"/>
      <c r="BG279" s="382"/>
      <c r="BH279" s="382"/>
      <c r="BI279" s="382"/>
      <c r="BJ279" s="382"/>
      <c r="BK279" s="382"/>
      <c r="BL279" s="382"/>
      <c r="BM279" s="382"/>
      <c r="BN279" s="382"/>
      <c r="BO279" s="382"/>
    </row>
    <row r="280" spans="1:67" s="88" customFormat="1" ht="10.55" customHeight="1" x14ac:dyDescent="0.2">
      <c r="A280" s="512" t="s">
        <v>414</v>
      </c>
      <c r="B280" s="2807"/>
      <c r="C280" s="2808"/>
      <c r="D280" s="2809"/>
      <c r="E280" s="2561"/>
      <c r="F280" s="2562"/>
      <c r="G280" s="1785">
        <v>15</v>
      </c>
      <c r="H280" s="524"/>
      <c r="I280" s="1409">
        <f t="shared" si="64"/>
        <v>8.0766456051533542E-2</v>
      </c>
      <c r="J280" s="1421">
        <f t="shared" si="65"/>
        <v>0</v>
      </c>
      <c r="K280" s="678">
        <v>2.5</v>
      </c>
      <c r="L280" s="1002"/>
      <c r="M280" s="1428">
        <f t="shared" si="66"/>
        <v>0</v>
      </c>
      <c r="N280" s="1110"/>
      <c r="O280" s="674">
        <f t="shared" si="67"/>
        <v>15</v>
      </c>
      <c r="P280" s="682"/>
      <c r="Q280" s="286"/>
      <c r="R280" s="287"/>
      <c r="S280" s="280"/>
      <c r="T280" s="280"/>
      <c r="U280" s="280"/>
      <c r="V280" s="280"/>
      <c r="W280" s="280"/>
      <c r="X280" s="280"/>
      <c r="Y280" s="280"/>
      <c r="Z280" s="284"/>
      <c r="AA280" s="284"/>
      <c r="AB280" s="284"/>
      <c r="AC280" s="284"/>
      <c r="AD280" s="284"/>
      <c r="AE280" s="284"/>
      <c r="AF280" s="447"/>
      <c r="AG280" s="447"/>
      <c r="AH280" s="447"/>
      <c r="AI280" s="382"/>
      <c r="AJ280" s="382"/>
      <c r="AK280" s="382"/>
      <c r="AL280" s="382"/>
      <c r="AM280" s="382"/>
      <c r="AN280" s="382"/>
      <c r="AO280" s="382"/>
      <c r="AP280" s="382"/>
      <c r="AQ280" s="382"/>
      <c r="AR280" s="382"/>
      <c r="AS280" s="382"/>
      <c r="AT280" s="382"/>
      <c r="AU280" s="382"/>
      <c r="AV280" s="382"/>
      <c r="AW280" s="382"/>
      <c r="AX280" s="382"/>
      <c r="AY280" s="382"/>
      <c r="AZ280" s="382"/>
      <c r="BA280" s="382"/>
      <c r="BB280" s="382"/>
      <c r="BC280" s="382"/>
      <c r="BD280" s="382"/>
      <c r="BE280" s="382"/>
      <c r="BF280" s="382"/>
      <c r="BG280" s="382"/>
      <c r="BH280" s="382"/>
      <c r="BI280" s="382"/>
      <c r="BJ280" s="382"/>
      <c r="BK280" s="382"/>
      <c r="BL280" s="382"/>
      <c r="BM280" s="382"/>
      <c r="BN280" s="382"/>
      <c r="BO280" s="382"/>
    </row>
    <row r="281" spans="1:67" s="88" customFormat="1" ht="10.55" customHeight="1" x14ac:dyDescent="0.2">
      <c r="A281" s="675"/>
      <c r="B281" s="2807"/>
      <c r="C281" s="2808"/>
      <c r="D281" s="2809"/>
      <c r="E281" s="2561"/>
      <c r="F281" s="2562"/>
      <c r="G281" s="1015"/>
      <c r="H281" s="524"/>
      <c r="I281" s="1409">
        <f t="shared" si="64"/>
        <v>0</v>
      </c>
      <c r="J281" s="1421">
        <f t="shared" si="65"/>
        <v>0</v>
      </c>
      <c r="K281" s="679"/>
      <c r="L281" s="1002"/>
      <c r="M281" s="1428">
        <f t="shared" si="66"/>
        <v>0</v>
      </c>
      <c r="N281" s="1110"/>
      <c r="O281" s="674">
        <f t="shared" si="67"/>
        <v>0</v>
      </c>
      <c r="P281" s="682"/>
      <c r="Q281" s="286"/>
      <c r="R281" s="287"/>
      <c r="S281" s="280"/>
      <c r="T281" s="280"/>
      <c r="U281" s="280"/>
      <c r="V281" s="280"/>
      <c r="W281" s="280"/>
      <c r="X281" s="280"/>
      <c r="Y281" s="280"/>
      <c r="Z281" s="284"/>
      <c r="AA281" s="284"/>
      <c r="AB281" s="284"/>
      <c r="AC281" s="284"/>
      <c r="AD281" s="284"/>
      <c r="AE281" s="284"/>
      <c r="AF281" s="447"/>
      <c r="AG281" s="447"/>
      <c r="AH281" s="447"/>
      <c r="AI281" s="382"/>
      <c r="AJ281" s="382"/>
      <c r="AK281" s="382"/>
      <c r="AL281" s="382"/>
      <c r="AM281" s="382"/>
      <c r="AN281" s="382"/>
      <c r="AO281" s="382"/>
      <c r="AP281" s="382"/>
      <c r="AQ281" s="382"/>
      <c r="AR281" s="382"/>
      <c r="AS281" s="382"/>
      <c r="AT281" s="382"/>
      <c r="AU281" s="382"/>
      <c r="AV281" s="382"/>
      <c r="AW281" s="382"/>
      <c r="AX281" s="382"/>
      <c r="AY281" s="382"/>
      <c r="AZ281" s="382"/>
      <c r="BA281" s="382"/>
      <c r="BB281" s="382"/>
      <c r="BC281" s="382"/>
      <c r="BD281" s="382"/>
      <c r="BE281" s="382"/>
      <c r="BF281" s="382"/>
      <c r="BG281" s="382"/>
      <c r="BH281" s="382"/>
      <c r="BI281" s="382"/>
      <c r="BJ281" s="382"/>
      <c r="BK281" s="382"/>
      <c r="BL281" s="382"/>
      <c r="BM281" s="382"/>
      <c r="BN281" s="382"/>
      <c r="BO281" s="382"/>
    </row>
    <row r="282" spans="1:67" s="88" customFormat="1" ht="10.55" customHeight="1" x14ac:dyDescent="0.2">
      <c r="A282" s="675"/>
      <c r="B282" s="2807"/>
      <c r="C282" s="2808"/>
      <c r="D282" s="2809"/>
      <c r="E282" s="2561"/>
      <c r="F282" s="2562"/>
      <c r="G282" s="1015"/>
      <c r="H282" s="524"/>
      <c r="I282" s="1409">
        <f t="shared" si="64"/>
        <v>0</v>
      </c>
      <c r="J282" s="1421">
        <f t="shared" si="65"/>
        <v>0</v>
      </c>
      <c r="K282" s="679"/>
      <c r="L282" s="1002"/>
      <c r="M282" s="1428">
        <f t="shared" si="66"/>
        <v>0</v>
      </c>
      <c r="N282" s="1110"/>
      <c r="O282" s="674">
        <f t="shared" si="67"/>
        <v>0</v>
      </c>
      <c r="P282" s="682"/>
      <c r="Q282" s="286"/>
      <c r="R282" s="287"/>
      <c r="S282" s="280"/>
      <c r="T282" s="280"/>
      <c r="U282" s="280"/>
      <c r="V282" s="280"/>
      <c r="W282" s="280"/>
      <c r="X282" s="280"/>
      <c r="Y282" s="280"/>
      <c r="Z282" s="284"/>
      <c r="AA282" s="284"/>
      <c r="AB282" s="284"/>
      <c r="AC282" s="284"/>
      <c r="AD282" s="284"/>
      <c r="AE282" s="284"/>
      <c r="AF282" s="447"/>
      <c r="AG282" s="447"/>
      <c r="AH282" s="447"/>
      <c r="AI282" s="382"/>
      <c r="AJ282" s="382"/>
      <c r="AK282" s="382"/>
      <c r="AL282" s="382"/>
      <c r="AM282" s="382"/>
      <c r="AN282" s="382"/>
      <c r="AO282" s="382"/>
      <c r="AP282" s="382"/>
      <c r="AQ282" s="382"/>
      <c r="AR282" s="382"/>
      <c r="AS282" s="382"/>
      <c r="AT282" s="382"/>
      <c r="AU282" s="382"/>
      <c r="AV282" s="382"/>
      <c r="AW282" s="382"/>
      <c r="AX282" s="382"/>
      <c r="AY282" s="382"/>
      <c r="AZ282" s="382"/>
      <c r="BA282" s="382"/>
      <c r="BB282" s="382"/>
      <c r="BC282" s="382"/>
      <c r="BD282" s="382"/>
      <c r="BE282" s="382"/>
      <c r="BF282" s="382"/>
      <c r="BG282" s="382"/>
      <c r="BH282" s="382"/>
      <c r="BI282" s="382"/>
      <c r="BJ282" s="382"/>
      <c r="BK282" s="382"/>
      <c r="BL282" s="382"/>
      <c r="BM282" s="382"/>
      <c r="BN282" s="382"/>
      <c r="BO282" s="382"/>
    </row>
    <row r="283" spans="1:67" s="88" customFormat="1" ht="10.55" customHeight="1" x14ac:dyDescent="0.2">
      <c r="A283" s="675"/>
      <c r="B283" s="2807"/>
      <c r="C283" s="2808"/>
      <c r="D283" s="2809"/>
      <c r="E283" s="2561"/>
      <c r="F283" s="2562"/>
      <c r="G283" s="1015"/>
      <c r="H283" s="524"/>
      <c r="I283" s="1409">
        <f t="shared" si="64"/>
        <v>0</v>
      </c>
      <c r="J283" s="1421">
        <f t="shared" si="65"/>
        <v>0</v>
      </c>
      <c r="K283" s="679"/>
      <c r="L283" s="1002"/>
      <c r="M283" s="1428">
        <f t="shared" si="66"/>
        <v>0</v>
      </c>
      <c r="N283" s="1110"/>
      <c r="O283" s="674">
        <f t="shared" si="67"/>
        <v>0</v>
      </c>
      <c r="P283" s="682"/>
      <c r="Q283" s="286"/>
      <c r="R283" s="287"/>
      <c r="S283" s="280"/>
      <c r="T283" s="280"/>
      <c r="U283" s="280"/>
      <c r="V283" s="280"/>
      <c r="W283" s="280"/>
      <c r="X283" s="280"/>
      <c r="Y283" s="280"/>
      <c r="Z283" s="284"/>
      <c r="AA283" s="284"/>
      <c r="AB283" s="284"/>
      <c r="AC283" s="284"/>
      <c r="AD283" s="284"/>
      <c r="AE283" s="284"/>
      <c r="AF283" s="447"/>
      <c r="AG283" s="447"/>
      <c r="AH283" s="447"/>
      <c r="AI283" s="382"/>
      <c r="AJ283" s="382"/>
      <c r="AK283" s="382"/>
      <c r="AL283" s="382"/>
      <c r="AM283" s="382"/>
      <c r="AN283" s="382"/>
      <c r="AO283" s="382"/>
      <c r="AP283" s="382"/>
      <c r="AQ283" s="382"/>
      <c r="AR283" s="382"/>
      <c r="AS283" s="382"/>
      <c r="AT283" s="382"/>
      <c r="AU283" s="382"/>
      <c r="AV283" s="382"/>
      <c r="AW283" s="382"/>
      <c r="AX283" s="382"/>
      <c r="AY283" s="382"/>
      <c r="AZ283" s="382"/>
      <c r="BA283" s="382"/>
      <c r="BB283" s="382"/>
      <c r="BC283" s="382"/>
      <c r="BD283" s="382"/>
      <c r="BE283" s="382"/>
      <c r="BF283" s="382"/>
      <c r="BG283" s="382"/>
      <c r="BH283" s="382"/>
      <c r="BI283" s="382"/>
      <c r="BJ283" s="382"/>
      <c r="BK283" s="382"/>
      <c r="BL283" s="382"/>
      <c r="BM283" s="382"/>
      <c r="BN283" s="382"/>
      <c r="BO283" s="382"/>
    </row>
    <row r="284" spans="1:67" s="88" customFormat="1" ht="10.55" customHeight="1" x14ac:dyDescent="0.2">
      <c r="A284" s="675"/>
      <c r="B284" s="2807"/>
      <c r="C284" s="2808"/>
      <c r="D284" s="2809"/>
      <c r="E284" s="2561"/>
      <c r="F284" s="2562"/>
      <c r="G284" s="1015"/>
      <c r="H284" s="524"/>
      <c r="I284" s="1409">
        <f t="shared" si="64"/>
        <v>0</v>
      </c>
      <c r="J284" s="1421">
        <f t="shared" si="65"/>
        <v>0</v>
      </c>
      <c r="K284" s="679"/>
      <c r="L284" s="1002"/>
      <c r="M284" s="1428">
        <f t="shared" si="66"/>
        <v>0</v>
      </c>
      <c r="N284" s="1110"/>
      <c r="O284" s="674">
        <f t="shared" si="67"/>
        <v>0</v>
      </c>
      <c r="P284" s="682"/>
      <c r="Q284" s="286"/>
      <c r="R284" s="287"/>
      <c r="S284" s="280"/>
      <c r="T284" s="280"/>
      <c r="U284" s="280"/>
      <c r="V284" s="280"/>
      <c r="W284" s="280"/>
      <c r="X284" s="280"/>
      <c r="Y284" s="280"/>
      <c r="Z284" s="284"/>
      <c r="AA284" s="284"/>
      <c r="AB284" s="284"/>
      <c r="AC284" s="284"/>
      <c r="AD284" s="284"/>
      <c r="AE284" s="284"/>
      <c r="AF284" s="447"/>
      <c r="AG284" s="447"/>
      <c r="AH284" s="447"/>
      <c r="AI284" s="382"/>
      <c r="AJ284" s="382"/>
      <c r="AK284" s="382"/>
      <c r="AL284" s="382"/>
      <c r="AM284" s="382"/>
      <c r="AN284" s="382"/>
      <c r="AO284" s="382"/>
      <c r="AP284" s="382"/>
      <c r="AQ284" s="382"/>
      <c r="AR284" s="382"/>
      <c r="AS284" s="382"/>
      <c r="AT284" s="382"/>
      <c r="AU284" s="382"/>
      <c r="AV284" s="382"/>
      <c r="AW284" s="382"/>
      <c r="AX284" s="382"/>
      <c r="AY284" s="382"/>
      <c r="AZ284" s="382"/>
      <c r="BA284" s="382"/>
      <c r="BB284" s="382"/>
      <c r="BC284" s="382"/>
      <c r="BD284" s="382"/>
      <c r="BE284" s="382"/>
      <c r="BF284" s="382"/>
      <c r="BG284" s="382"/>
      <c r="BH284" s="382"/>
      <c r="BI284" s="382"/>
      <c r="BJ284" s="382"/>
      <c r="BK284" s="382"/>
      <c r="BL284" s="382"/>
      <c r="BM284" s="382"/>
      <c r="BN284" s="382"/>
      <c r="BO284" s="382"/>
    </row>
    <row r="285" spans="1:67" s="88" customFormat="1" ht="10.55" customHeight="1" x14ac:dyDescent="0.2">
      <c r="A285" s="1153"/>
      <c r="B285" s="2884"/>
      <c r="C285" s="2885"/>
      <c r="D285" s="2886"/>
      <c r="E285" s="2793"/>
      <c r="F285" s="2794"/>
      <c r="G285" s="1086"/>
      <c r="H285" s="1087"/>
      <c r="I285" s="1437">
        <f t="shared" si="64"/>
        <v>0</v>
      </c>
      <c r="J285" s="1413"/>
      <c r="K285" s="1088"/>
      <c r="L285" s="1089"/>
      <c r="M285" s="1431">
        <f t="shared" si="66"/>
        <v>0</v>
      </c>
      <c r="N285" s="1110"/>
      <c r="O285" s="674">
        <f t="shared" si="67"/>
        <v>0</v>
      </c>
      <c r="P285" s="682"/>
      <c r="Q285" s="286"/>
      <c r="R285" s="287"/>
      <c r="S285" s="280"/>
      <c r="T285" s="280"/>
      <c r="U285" s="280"/>
      <c r="V285" s="280"/>
      <c r="W285" s="280"/>
      <c r="X285" s="280"/>
      <c r="Y285" s="280"/>
      <c r="Z285" s="284"/>
      <c r="AA285" s="284"/>
      <c r="AB285" s="284"/>
      <c r="AC285" s="284"/>
      <c r="AD285" s="284"/>
      <c r="AE285" s="284"/>
      <c r="AF285" s="447"/>
      <c r="AG285" s="447"/>
      <c r="AH285" s="447"/>
      <c r="AI285" s="382"/>
      <c r="AJ285" s="382"/>
      <c r="AK285" s="382"/>
      <c r="AL285" s="382"/>
      <c r="AM285" s="382"/>
      <c r="AN285" s="382"/>
      <c r="AO285" s="382"/>
      <c r="AP285" s="382"/>
      <c r="AQ285" s="382"/>
      <c r="AR285" s="382"/>
      <c r="AS285" s="382"/>
      <c r="AT285" s="382"/>
      <c r="AU285" s="382"/>
      <c r="AV285" s="382"/>
      <c r="AW285" s="382"/>
      <c r="AX285" s="382"/>
      <c r="AY285" s="382"/>
      <c r="AZ285" s="382"/>
      <c r="BA285" s="382"/>
      <c r="BB285" s="382"/>
      <c r="BC285" s="382"/>
      <c r="BD285" s="382"/>
      <c r="BE285" s="382"/>
      <c r="BF285" s="382"/>
      <c r="BG285" s="382"/>
      <c r="BH285" s="382"/>
      <c r="BI285" s="382"/>
      <c r="BJ285" s="382"/>
      <c r="BK285" s="382"/>
      <c r="BL285" s="382"/>
      <c r="BM285" s="382"/>
      <c r="BN285" s="382"/>
      <c r="BO285" s="382"/>
    </row>
    <row r="286" spans="1:67" s="88" customFormat="1" ht="10.55" customHeight="1" x14ac:dyDescent="0.2">
      <c r="A286" s="1145" t="s">
        <v>415</v>
      </c>
      <c r="B286" s="2783"/>
      <c r="C286" s="2784"/>
      <c r="D286" s="2785"/>
      <c r="E286" s="2810">
        <f>SUM(E287:E299)</f>
        <v>0</v>
      </c>
      <c r="F286" s="2811"/>
      <c r="G286" s="2747"/>
      <c r="H286" s="2748"/>
      <c r="I286" s="1435">
        <f>IF(E286=0,0,J286/E286)</f>
        <v>0</v>
      </c>
      <c r="J286" s="1423">
        <f>SUM(J287:J299)</f>
        <v>0</v>
      </c>
      <c r="K286" s="2749">
        <f>IF(E286=0,0,M286/E286*100)</f>
        <v>0</v>
      </c>
      <c r="L286" s="2750"/>
      <c r="M286" s="1430">
        <f>SUM(M287:M299)</f>
        <v>0</v>
      </c>
      <c r="N286" s="1110"/>
      <c r="O286" s="387">
        <f>IF(H286="",G286,H286)</f>
        <v>0</v>
      </c>
      <c r="P286" s="682"/>
      <c r="Q286" s="286"/>
      <c r="R286" s="287"/>
      <c r="S286" s="280"/>
      <c r="T286" s="280"/>
      <c r="U286" s="280"/>
      <c r="V286" s="280"/>
      <c r="W286" s="280"/>
      <c r="X286" s="280"/>
      <c r="Y286" s="280"/>
      <c r="Z286" s="284"/>
      <c r="AA286" s="284"/>
      <c r="AB286" s="284"/>
      <c r="AC286" s="284"/>
      <c r="AD286" s="284"/>
      <c r="AE286" s="284"/>
      <c r="AF286" s="447"/>
      <c r="AG286" s="447"/>
      <c r="AH286" s="447"/>
      <c r="AI286" s="382"/>
      <c r="AJ286" s="382"/>
      <c r="AK286" s="382"/>
      <c r="AL286" s="382"/>
      <c r="AM286" s="382"/>
      <c r="AN286" s="382"/>
      <c r="AO286" s="382"/>
      <c r="AP286" s="382"/>
      <c r="AQ286" s="382"/>
      <c r="AR286" s="382"/>
      <c r="AS286" s="382"/>
      <c r="AT286" s="382"/>
      <c r="AU286" s="382"/>
      <c r="AV286" s="382"/>
      <c r="AW286" s="382"/>
      <c r="AX286" s="382"/>
      <c r="AY286" s="382"/>
      <c r="AZ286" s="382"/>
      <c r="BA286" s="382"/>
      <c r="BB286" s="382"/>
      <c r="BC286" s="382"/>
      <c r="BD286" s="382"/>
      <c r="BE286" s="382"/>
      <c r="BF286" s="382"/>
      <c r="BG286" s="382"/>
      <c r="BH286" s="382"/>
      <c r="BI286" s="382"/>
      <c r="BJ286" s="382"/>
      <c r="BK286" s="382"/>
      <c r="BL286" s="382"/>
      <c r="BM286" s="382"/>
      <c r="BN286" s="382"/>
      <c r="BO286" s="382"/>
    </row>
    <row r="287" spans="1:67" s="88" customFormat="1" ht="10.55" customHeight="1" x14ac:dyDescent="0.2">
      <c r="A287" s="512" t="s">
        <v>416</v>
      </c>
      <c r="B287" s="2790"/>
      <c r="C287" s="2791"/>
      <c r="D287" s="2792"/>
      <c r="E287" s="2734"/>
      <c r="F287" s="2735"/>
      <c r="G287" s="1785">
        <v>20</v>
      </c>
      <c r="H287" s="524"/>
      <c r="I287" s="1409">
        <f t="shared" ref="I287:I300" si="68">IF($O287&gt;0,-PMT(($I$9),$O287,1),0)</f>
        <v>6.4147128734474465E-2</v>
      </c>
      <c r="J287" s="1421">
        <f t="shared" ref="J287:J299" si="69">ROUND(E287*I287,0)</f>
        <v>0</v>
      </c>
      <c r="K287" s="687"/>
      <c r="L287" s="1003"/>
      <c r="M287" s="1428">
        <f t="shared" ref="M287:M300" si="70">ROUND(E287/100*IF(ISBLANK(L287),K287,L287),0)</f>
        <v>0</v>
      </c>
      <c r="N287" s="1110"/>
      <c r="O287" s="674">
        <f t="shared" ref="O287:O300" si="71">IF(ISBLANK(H287),G287,H287)</f>
        <v>20</v>
      </c>
      <c r="P287" s="682"/>
      <c r="Q287" s="286"/>
      <c r="R287" s="287"/>
      <c r="S287" s="280"/>
      <c r="T287" s="280"/>
      <c r="U287" s="280"/>
      <c r="V287" s="280"/>
      <c r="W287" s="280"/>
      <c r="X287" s="280"/>
      <c r="Y287" s="280"/>
      <c r="Z287" s="284"/>
      <c r="AA287" s="284"/>
      <c r="AB287" s="284"/>
      <c r="AC287" s="284"/>
      <c r="AD287" s="284"/>
      <c r="AE287" s="284"/>
      <c r="AF287" s="447"/>
      <c r="AG287" s="447"/>
      <c r="AH287" s="447"/>
      <c r="AI287" s="382"/>
      <c r="AJ287" s="382"/>
      <c r="AK287" s="382"/>
      <c r="AL287" s="382"/>
      <c r="AM287" s="382"/>
      <c r="AN287" s="382"/>
      <c r="AO287" s="382"/>
      <c r="AP287" s="382"/>
      <c r="AQ287" s="382"/>
      <c r="AR287" s="382"/>
      <c r="AS287" s="382"/>
      <c r="AT287" s="382"/>
      <c r="AU287" s="382"/>
      <c r="AV287" s="382"/>
      <c r="AW287" s="382"/>
      <c r="AX287" s="382"/>
      <c r="AY287" s="382"/>
      <c r="AZ287" s="382"/>
      <c r="BA287" s="382"/>
      <c r="BB287" s="382"/>
      <c r="BC287" s="382"/>
      <c r="BD287" s="382"/>
      <c r="BE287" s="382"/>
      <c r="BF287" s="382"/>
      <c r="BG287" s="382"/>
      <c r="BH287" s="382"/>
      <c r="BI287" s="382"/>
      <c r="BJ287" s="382"/>
      <c r="BK287" s="382"/>
      <c r="BL287" s="382"/>
      <c r="BM287" s="382"/>
      <c r="BN287" s="382"/>
      <c r="BO287" s="382"/>
    </row>
    <row r="288" spans="1:67" s="88" customFormat="1" ht="10.55" customHeight="1" x14ac:dyDescent="0.2">
      <c r="A288" s="512" t="s">
        <v>417</v>
      </c>
      <c r="B288" s="2807"/>
      <c r="C288" s="2808"/>
      <c r="D288" s="2809"/>
      <c r="E288" s="2561"/>
      <c r="F288" s="2562"/>
      <c r="G288" s="1785">
        <v>20</v>
      </c>
      <c r="H288" s="524"/>
      <c r="I288" s="1409">
        <f t="shared" si="68"/>
        <v>6.4147128734474465E-2</v>
      </c>
      <c r="J288" s="1421">
        <f t="shared" si="69"/>
        <v>0</v>
      </c>
      <c r="K288" s="678"/>
      <c r="L288" s="1002"/>
      <c r="M288" s="1428">
        <f t="shared" si="70"/>
        <v>0</v>
      </c>
      <c r="N288" s="1110"/>
      <c r="O288" s="674">
        <f t="shared" si="71"/>
        <v>20</v>
      </c>
      <c r="P288" s="682"/>
      <c r="Q288" s="286"/>
      <c r="R288" s="287"/>
      <c r="S288" s="280"/>
      <c r="T288" s="280"/>
      <c r="U288" s="280"/>
      <c r="V288" s="280"/>
      <c r="W288" s="280"/>
      <c r="X288" s="280"/>
      <c r="Y288" s="280"/>
      <c r="Z288" s="284"/>
      <c r="AA288" s="284"/>
      <c r="AB288" s="284"/>
      <c r="AC288" s="284"/>
      <c r="AD288" s="284"/>
      <c r="AE288" s="284"/>
      <c r="AF288" s="447"/>
      <c r="AG288" s="447"/>
      <c r="AH288" s="447"/>
      <c r="AI288" s="382"/>
      <c r="AJ288" s="382"/>
      <c r="AK288" s="382"/>
      <c r="AL288" s="382"/>
      <c r="AM288" s="382"/>
      <c r="AN288" s="382"/>
      <c r="AO288" s="382"/>
      <c r="AP288" s="382"/>
      <c r="AQ288" s="382"/>
      <c r="AR288" s="382"/>
      <c r="AS288" s="382"/>
      <c r="AT288" s="382"/>
      <c r="AU288" s="382"/>
      <c r="AV288" s="382"/>
      <c r="AW288" s="382"/>
      <c r="AX288" s="382"/>
      <c r="AY288" s="382"/>
      <c r="AZ288" s="382"/>
      <c r="BA288" s="382"/>
      <c r="BB288" s="382"/>
      <c r="BC288" s="382"/>
      <c r="BD288" s="382"/>
      <c r="BE288" s="382"/>
      <c r="BF288" s="382"/>
      <c r="BG288" s="382"/>
      <c r="BH288" s="382"/>
      <c r="BI288" s="382"/>
      <c r="BJ288" s="382"/>
      <c r="BK288" s="382"/>
      <c r="BL288" s="382"/>
      <c r="BM288" s="382"/>
      <c r="BN288" s="382"/>
      <c r="BO288" s="382"/>
    </row>
    <row r="289" spans="1:67" s="88" customFormat="1" ht="10.55" customHeight="1" x14ac:dyDescent="0.2">
      <c r="A289" s="512" t="s">
        <v>418</v>
      </c>
      <c r="B289" s="2807"/>
      <c r="C289" s="2808"/>
      <c r="D289" s="2809"/>
      <c r="E289" s="2561"/>
      <c r="F289" s="2562"/>
      <c r="G289" s="1785">
        <v>20</v>
      </c>
      <c r="H289" s="524"/>
      <c r="I289" s="1409">
        <f t="shared" si="68"/>
        <v>6.4147128734474465E-2</v>
      </c>
      <c r="J289" s="1421">
        <f t="shared" si="69"/>
        <v>0</v>
      </c>
      <c r="K289" s="678">
        <v>0.5</v>
      </c>
      <c r="L289" s="1002"/>
      <c r="M289" s="1428">
        <f t="shared" si="70"/>
        <v>0</v>
      </c>
      <c r="N289" s="1110"/>
      <c r="O289" s="674">
        <f t="shared" si="71"/>
        <v>20</v>
      </c>
      <c r="P289" s="682"/>
      <c r="Q289" s="286"/>
      <c r="R289" s="287"/>
      <c r="S289" s="280"/>
      <c r="T289" s="280"/>
      <c r="U289" s="280"/>
      <c r="V289" s="280"/>
      <c r="W289" s="280"/>
      <c r="X289" s="280"/>
      <c r="Y289" s="280"/>
      <c r="Z289" s="284"/>
      <c r="AA289" s="284"/>
      <c r="AB289" s="284"/>
      <c r="AC289" s="284"/>
      <c r="AD289" s="284"/>
      <c r="AE289" s="284"/>
      <c r="AF289" s="447"/>
      <c r="AG289" s="447"/>
      <c r="AH289" s="447"/>
      <c r="AI289" s="382"/>
      <c r="AJ289" s="382"/>
      <c r="AK289" s="382"/>
      <c r="AL289" s="382"/>
      <c r="AM289" s="382"/>
      <c r="AN289" s="382"/>
      <c r="AO289" s="382"/>
      <c r="AP289" s="382"/>
      <c r="AQ289" s="382"/>
      <c r="AR289" s="382"/>
      <c r="AS289" s="382"/>
      <c r="AT289" s="382"/>
      <c r="AU289" s="382"/>
      <c r="AV289" s="382"/>
      <c r="AW289" s="382"/>
      <c r="AX289" s="382"/>
      <c r="AY289" s="382"/>
      <c r="AZ289" s="382"/>
      <c r="BA289" s="382"/>
      <c r="BB289" s="382"/>
      <c r="BC289" s="382"/>
      <c r="BD289" s="382"/>
      <c r="BE289" s="382"/>
      <c r="BF289" s="382"/>
      <c r="BG289" s="382"/>
      <c r="BH289" s="382"/>
      <c r="BI289" s="382"/>
      <c r="BJ289" s="382"/>
      <c r="BK289" s="382"/>
      <c r="BL289" s="382"/>
      <c r="BM289" s="382"/>
      <c r="BN289" s="382"/>
      <c r="BO289" s="382"/>
    </row>
    <row r="290" spans="1:67" s="88" customFormat="1" ht="10.55" customHeight="1" x14ac:dyDescent="0.2">
      <c r="A290" s="512" t="s">
        <v>419</v>
      </c>
      <c r="B290" s="2807"/>
      <c r="C290" s="2808"/>
      <c r="D290" s="2809"/>
      <c r="E290" s="2561"/>
      <c r="F290" s="2562"/>
      <c r="G290" s="1785">
        <v>20</v>
      </c>
      <c r="H290" s="524"/>
      <c r="I290" s="1409">
        <f t="shared" si="68"/>
        <v>6.4147128734474465E-2</v>
      </c>
      <c r="J290" s="1421">
        <f t="shared" si="69"/>
        <v>0</v>
      </c>
      <c r="K290" s="678"/>
      <c r="L290" s="1002"/>
      <c r="M290" s="1428">
        <f t="shared" si="70"/>
        <v>0</v>
      </c>
      <c r="N290" s="1110"/>
      <c r="O290" s="674">
        <f t="shared" si="71"/>
        <v>20</v>
      </c>
      <c r="P290" s="682"/>
      <c r="Q290" s="286"/>
      <c r="R290" s="287"/>
      <c r="S290" s="280"/>
      <c r="T290" s="280"/>
      <c r="U290" s="280"/>
      <c r="V290" s="280"/>
      <c r="W290" s="280"/>
      <c r="X290" s="280"/>
      <c r="Y290" s="280"/>
      <c r="Z290" s="284"/>
      <c r="AA290" s="284"/>
      <c r="AB290" s="284"/>
      <c r="AC290" s="284"/>
      <c r="AD290" s="284"/>
      <c r="AE290" s="284"/>
      <c r="AF290" s="447"/>
      <c r="AG290" s="447"/>
      <c r="AH290" s="447"/>
      <c r="AI290" s="382"/>
      <c r="AJ290" s="382"/>
      <c r="AK290" s="382"/>
      <c r="AL290" s="382"/>
      <c r="AM290" s="382"/>
      <c r="AN290" s="382"/>
      <c r="AO290" s="382"/>
      <c r="AP290" s="382"/>
      <c r="AQ290" s="382"/>
      <c r="AR290" s="382"/>
      <c r="AS290" s="382"/>
      <c r="AT290" s="382"/>
      <c r="AU290" s="382"/>
      <c r="AV290" s="382"/>
      <c r="AW290" s="382"/>
      <c r="AX290" s="382"/>
      <c r="AY290" s="382"/>
      <c r="AZ290" s="382"/>
      <c r="BA290" s="382"/>
      <c r="BB290" s="382"/>
      <c r="BC290" s="382"/>
      <c r="BD290" s="382"/>
      <c r="BE290" s="382"/>
      <c r="BF290" s="382"/>
      <c r="BG290" s="382"/>
      <c r="BH290" s="382"/>
      <c r="BI290" s="382"/>
      <c r="BJ290" s="382"/>
      <c r="BK290" s="382"/>
      <c r="BL290" s="382"/>
      <c r="BM290" s="382"/>
      <c r="BN290" s="382"/>
      <c r="BO290" s="382"/>
    </row>
    <row r="291" spans="1:67" s="88" customFormat="1" ht="10.55" customHeight="1" x14ac:dyDescent="0.2">
      <c r="A291" s="512" t="s">
        <v>420</v>
      </c>
      <c r="B291" s="2807"/>
      <c r="C291" s="2808"/>
      <c r="D291" s="2809"/>
      <c r="E291" s="2561"/>
      <c r="F291" s="2562"/>
      <c r="G291" s="1785">
        <v>20</v>
      </c>
      <c r="H291" s="524"/>
      <c r="I291" s="1409">
        <f t="shared" si="68"/>
        <v>6.4147128734474465E-2</v>
      </c>
      <c r="J291" s="1421">
        <f t="shared" si="69"/>
        <v>0</v>
      </c>
      <c r="K291" s="678"/>
      <c r="L291" s="1002"/>
      <c r="M291" s="1428">
        <f t="shared" si="70"/>
        <v>0</v>
      </c>
      <c r="N291" s="1110"/>
      <c r="O291" s="674">
        <f t="shared" si="71"/>
        <v>20</v>
      </c>
      <c r="P291" s="682"/>
      <c r="Q291" s="286"/>
      <c r="R291" s="287"/>
      <c r="S291" s="280"/>
      <c r="T291" s="280"/>
      <c r="U291" s="280"/>
      <c r="V291" s="280"/>
      <c r="W291" s="280"/>
      <c r="X291" s="280"/>
      <c r="Y291" s="280"/>
      <c r="Z291" s="284"/>
      <c r="AA291" s="284"/>
      <c r="AB291" s="284"/>
      <c r="AC291" s="284"/>
      <c r="AD291" s="284"/>
      <c r="AE291" s="284"/>
      <c r="AF291" s="447"/>
      <c r="AG291" s="447"/>
      <c r="AH291" s="447"/>
      <c r="AI291" s="382"/>
      <c r="AJ291" s="382"/>
      <c r="AK291" s="382"/>
      <c r="AL291" s="382"/>
      <c r="AM291" s="382"/>
      <c r="AN291" s="382"/>
      <c r="AO291" s="382"/>
      <c r="AP291" s="382"/>
      <c r="AQ291" s="382"/>
      <c r="AR291" s="382"/>
      <c r="AS291" s="382"/>
      <c r="AT291" s="382"/>
      <c r="AU291" s="382"/>
      <c r="AV291" s="382"/>
      <c r="AW291" s="382"/>
      <c r="AX291" s="382"/>
      <c r="AY291" s="382"/>
      <c r="AZ291" s="382"/>
      <c r="BA291" s="382"/>
      <c r="BB291" s="382"/>
      <c r="BC291" s="382"/>
      <c r="BD291" s="382"/>
      <c r="BE291" s="382"/>
      <c r="BF291" s="382"/>
      <c r="BG291" s="382"/>
      <c r="BH291" s="382"/>
      <c r="BI291" s="382"/>
      <c r="BJ291" s="382"/>
      <c r="BK291" s="382"/>
      <c r="BL291" s="382"/>
      <c r="BM291" s="382"/>
      <c r="BN291" s="382"/>
      <c r="BO291" s="382"/>
    </row>
    <row r="292" spans="1:67" s="88" customFormat="1" ht="10.55" customHeight="1" x14ac:dyDescent="0.2">
      <c r="A292" s="512" t="s">
        <v>421</v>
      </c>
      <c r="B292" s="2807"/>
      <c r="C292" s="2808"/>
      <c r="D292" s="2809"/>
      <c r="E292" s="2561"/>
      <c r="F292" s="2562"/>
      <c r="G292" s="1785">
        <v>20</v>
      </c>
      <c r="H292" s="524"/>
      <c r="I292" s="1409">
        <f t="shared" si="68"/>
        <v>6.4147128734474465E-2</v>
      </c>
      <c r="J292" s="1421">
        <f t="shared" si="69"/>
        <v>0</v>
      </c>
      <c r="K292" s="678">
        <v>2</v>
      </c>
      <c r="L292" s="1002"/>
      <c r="M292" s="1428">
        <f t="shared" si="70"/>
        <v>0</v>
      </c>
      <c r="N292" s="1110"/>
      <c r="O292" s="674">
        <f t="shared" si="71"/>
        <v>20</v>
      </c>
      <c r="P292" s="682"/>
      <c r="Q292" s="286"/>
      <c r="R292" s="287"/>
      <c r="S292" s="280"/>
      <c r="T292" s="280"/>
      <c r="U292" s="280"/>
      <c r="V292" s="280"/>
      <c r="W292" s="280"/>
      <c r="X292" s="280"/>
      <c r="Y292" s="280"/>
      <c r="Z292" s="284"/>
      <c r="AA292" s="284"/>
      <c r="AB292" s="284"/>
      <c r="AC292" s="284"/>
      <c r="AD292" s="284"/>
      <c r="AE292" s="284"/>
      <c r="AF292" s="447"/>
      <c r="AG292" s="447"/>
      <c r="AH292" s="447"/>
      <c r="AI292" s="382"/>
      <c r="AJ292" s="382"/>
      <c r="AK292" s="382"/>
      <c r="AL292" s="382"/>
      <c r="AM292" s="382"/>
      <c r="AN292" s="382"/>
      <c r="AO292" s="382"/>
      <c r="AP292" s="382"/>
      <c r="AQ292" s="382"/>
      <c r="AR292" s="382"/>
      <c r="AS292" s="382"/>
      <c r="AT292" s="382"/>
      <c r="AU292" s="382"/>
      <c r="AV292" s="382"/>
      <c r="AW292" s="382"/>
      <c r="AX292" s="382"/>
      <c r="AY292" s="382"/>
      <c r="AZ292" s="382"/>
      <c r="BA292" s="382"/>
      <c r="BB292" s="382"/>
      <c r="BC292" s="382"/>
      <c r="BD292" s="382"/>
      <c r="BE292" s="382"/>
      <c r="BF292" s="382"/>
      <c r="BG292" s="382"/>
      <c r="BH292" s="382"/>
      <c r="BI292" s="382"/>
      <c r="BJ292" s="382"/>
      <c r="BK292" s="382"/>
      <c r="BL292" s="382"/>
      <c r="BM292" s="382"/>
      <c r="BN292" s="382"/>
      <c r="BO292" s="382"/>
    </row>
    <row r="293" spans="1:67" s="88" customFormat="1" ht="10.55" customHeight="1" x14ac:dyDescent="0.2">
      <c r="A293" s="512" t="s">
        <v>422</v>
      </c>
      <c r="B293" s="2807"/>
      <c r="C293" s="2808"/>
      <c r="D293" s="2809"/>
      <c r="E293" s="2561"/>
      <c r="F293" s="2562"/>
      <c r="G293" s="1785">
        <v>20</v>
      </c>
      <c r="H293" s="524"/>
      <c r="I293" s="1409">
        <f t="shared" si="68"/>
        <v>6.4147128734474465E-2</v>
      </c>
      <c r="J293" s="1421">
        <f t="shared" si="69"/>
        <v>0</v>
      </c>
      <c r="K293" s="678"/>
      <c r="L293" s="1002"/>
      <c r="M293" s="1428">
        <f t="shared" si="70"/>
        <v>0</v>
      </c>
      <c r="N293" s="1110"/>
      <c r="O293" s="674">
        <f t="shared" si="71"/>
        <v>20</v>
      </c>
      <c r="P293" s="682"/>
      <c r="Q293" s="286"/>
      <c r="R293" s="287"/>
      <c r="S293" s="280"/>
      <c r="T293" s="280"/>
      <c r="U293" s="280"/>
      <c r="V293" s="280"/>
      <c r="W293" s="280"/>
      <c r="X293" s="280"/>
      <c r="Y293" s="280"/>
      <c r="Z293" s="284"/>
      <c r="AA293" s="284"/>
      <c r="AB293" s="284"/>
      <c r="AC293" s="284"/>
      <c r="AD293" s="284"/>
      <c r="AE293" s="284"/>
      <c r="AF293" s="447"/>
      <c r="AG293" s="447"/>
      <c r="AH293" s="447"/>
      <c r="AI293" s="382"/>
      <c r="AJ293" s="382"/>
      <c r="AK293" s="382"/>
      <c r="AL293" s="382"/>
      <c r="AM293" s="382"/>
      <c r="AN293" s="382"/>
      <c r="AO293" s="382"/>
      <c r="AP293" s="382"/>
      <c r="AQ293" s="382"/>
      <c r="AR293" s="382"/>
      <c r="AS293" s="382"/>
      <c r="AT293" s="382"/>
      <c r="AU293" s="382"/>
      <c r="AV293" s="382"/>
      <c r="AW293" s="382"/>
      <c r="AX293" s="382"/>
      <c r="AY293" s="382"/>
      <c r="AZ293" s="382"/>
      <c r="BA293" s="382"/>
      <c r="BB293" s="382"/>
      <c r="BC293" s="382"/>
      <c r="BD293" s="382"/>
      <c r="BE293" s="382"/>
      <c r="BF293" s="382"/>
      <c r="BG293" s="382"/>
      <c r="BH293" s="382"/>
      <c r="BI293" s="382"/>
      <c r="BJ293" s="382"/>
      <c r="BK293" s="382"/>
      <c r="BL293" s="382"/>
      <c r="BM293" s="382"/>
      <c r="BN293" s="382"/>
      <c r="BO293" s="382"/>
    </row>
    <row r="294" spans="1:67" s="88" customFormat="1" ht="10.55" customHeight="1" x14ac:dyDescent="0.2">
      <c r="A294" s="512" t="s">
        <v>423</v>
      </c>
      <c r="B294" s="2807"/>
      <c r="C294" s="2808"/>
      <c r="D294" s="2809"/>
      <c r="E294" s="2561"/>
      <c r="F294" s="2562"/>
      <c r="G294" s="1785">
        <v>20</v>
      </c>
      <c r="H294" s="524"/>
      <c r="I294" s="1409">
        <f t="shared" si="68"/>
        <v>6.4147128734474465E-2</v>
      </c>
      <c r="J294" s="1421">
        <f t="shared" si="69"/>
        <v>0</v>
      </c>
      <c r="K294" s="678"/>
      <c r="L294" s="1002"/>
      <c r="M294" s="1428">
        <f t="shared" si="70"/>
        <v>0</v>
      </c>
      <c r="N294" s="1110"/>
      <c r="O294" s="674">
        <f t="shared" si="71"/>
        <v>20</v>
      </c>
      <c r="P294" s="682"/>
      <c r="Q294" s="286"/>
      <c r="R294" s="287"/>
      <c r="S294" s="280"/>
      <c r="T294" s="280"/>
      <c r="U294" s="280"/>
      <c r="V294" s="280"/>
      <c r="W294" s="280"/>
      <c r="X294" s="280"/>
      <c r="Y294" s="280"/>
      <c r="Z294" s="284"/>
      <c r="AA294" s="284"/>
      <c r="AB294" s="284"/>
      <c r="AC294" s="284"/>
      <c r="AD294" s="284"/>
      <c r="AE294" s="284"/>
      <c r="AF294" s="447"/>
      <c r="AG294" s="447"/>
      <c r="AH294" s="447"/>
      <c r="AI294" s="382"/>
      <c r="AJ294" s="382"/>
      <c r="AK294" s="382"/>
      <c r="AL294" s="382"/>
      <c r="AM294" s="382"/>
      <c r="AN294" s="382"/>
      <c r="AO294" s="382"/>
      <c r="AP294" s="382"/>
      <c r="AQ294" s="382"/>
      <c r="AR294" s="382"/>
      <c r="AS294" s="382"/>
      <c r="AT294" s="382"/>
      <c r="AU294" s="382"/>
      <c r="AV294" s="382"/>
      <c r="AW294" s="382"/>
      <c r="AX294" s="382"/>
      <c r="AY294" s="382"/>
      <c r="AZ294" s="382"/>
      <c r="BA294" s="382"/>
      <c r="BB294" s="382"/>
      <c r="BC294" s="382"/>
      <c r="BD294" s="382"/>
      <c r="BE294" s="382"/>
      <c r="BF294" s="382"/>
      <c r="BG294" s="382"/>
      <c r="BH294" s="382"/>
      <c r="BI294" s="382"/>
      <c r="BJ294" s="382"/>
      <c r="BK294" s="382"/>
      <c r="BL294" s="382"/>
      <c r="BM294" s="382"/>
      <c r="BN294" s="382"/>
      <c r="BO294" s="382"/>
    </row>
    <row r="295" spans="1:67" s="88" customFormat="1" ht="10.55" customHeight="1" x14ac:dyDescent="0.2">
      <c r="A295" s="675"/>
      <c r="B295" s="2807"/>
      <c r="C295" s="2808"/>
      <c r="D295" s="2809"/>
      <c r="E295" s="2561"/>
      <c r="F295" s="2562"/>
      <c r="G295" s="1015"/>
      <c r="H295" s="524"/>
      <c r="I295" s="1409">
        <f t="shared" si="68"/>
        <v>0</v>
      </c>
      <c r="J295" s="1421">
        <f t="shared" si="69"/>
        <v>0</v>
      </c>
      <c r="K295" s="679"/>
      <c r="L295" s="1002"/>
      <c r="M295" s="1428">
        <f t="shared" si="70"/>
        <v>0</v>
      </c>
      <c r="N295" s="1110"/>
      <c r="O295" s="674">
        <f t="shared" si="71"/>
        <v>0</v>
      </c>
      <c r="P295" s="682"/>
      <c r="Q295" s="286"/>
      <c r="R295" s="287"/>
      <c r="S295" s="280"/>
      <c r="T295" s="280"/>
      <c r="U295" s="280"/>
      <c r="V295" s="280"/>
      <c r="W295" s="280"/>
      <c r="X295" s="280"/>
      <c r="Y295" s="280"/>
      <c r="Z295" s="284"/>
      <c r="AA295" s="284"/>
      <c r="AB295" s="284"/>
      <c r="AC295" s="284"/>
      <c r="AD295" s="284"/>
      <c r="AE295" s="284"/>
      <c r="AF295" s="447"/>
      <c r="AG295" s="447"/>
      <c r="AH295" s="447"/>
      <c r="AI295" s="382"/>
      <c r="AJ295" s="382"/>
      <c r="AK295" s="382"/>
      <c r="AL295" s="382"/>
      <c r="AM295" s="382"/>
      <c r="AN295" s="382"/>
      <c r="AO295" s="382"/>
      <c r="AP295" s="382"/>
      <c r="AQ295" s="382"/>
      <c r="AR295" s="382"/>
      <c r="AS295" s="382"/>
      <c r="AT295" s="382"/>
      <c r="AU295" s="382"/>
      <c r="AV295" s="382"/>
      <c r="AW295" s="382"/>
      <c r="AX295" s="382"/>
      <c r="AY295" s="382"/>
      <c r="AZ295" s="382"/>
      <c r="BA295" s="382"/>
      <c r="BB295" s="382"/>
      <c r="BC295" s="382"/>
      <c r="BD295" s="382"/>
      <c r="BE295" s="382"/>
      <c r="BF295" s="382"/>
      <c r="BG295" s="382"/>
      <c r="BH295" s="382"/>
      <c r="BI295" s="382"/>
      <c r="BJ295" s="382"/>
      <c r="BK295" s="382"/>
      <c r="BL295" s="382"/>
      <c r="BM295" s="382"/>
      <c r="BN295" s="382"/>
      <c r="BO295" s="382"/>
    </row>
    <row r="296" spans="1:67" s="88" customFormat="1" ht="10.55" customHeight="1" x14ac:dyDescent="0.2">
      <c r="A296" s="675"/>
      <c r="B296" s="2807"/>
      <c r="C296" s="2808"/>
      <c r="D296" s="2809"/>
      <c r="E296" s="2561"/>
      <c r="F296" s="2562"/>
      <c r="G296" s="1015"/>
      <c r="H296" s="524"/>
      <c r="I296" s="1409">
        <f t="shared" si="68"/>
        <v>0</v>
      </c>
      <c r="J296" s="1421">
        <f t="shared" si="69"/>
        <v>0</v>
      </c>
      <c r="K296" s="679"/>
      <c r="L296" s="1002"/>
      <c r="M296" s="1428">
        <f t="shared" si="70"/>
        <v>0</v>
      </c>
      <c r="N296" s="1110"/>
      <c r="O296" s="674">
        <f t="shared" si="71"/>
        <v>0</v>
      </c>
      <c r="P296" s="682"/>
      <c r="Q296" s="286"/>
      <c r="R296" s="287"/>
      <c r="S296" s="280"/>
      <c r="T296" s="280"/>
      <c r="U296" s="280"/>
      <c r="V296" s="280"/>
      <c r="W296" s="280"/>
      <c r="X296" s="280"/>
      <c r="Y296" s="280"/>
      <c r="Z296" s="284"/>
      <c r="AA296" s="284"/>
      <c r="AB296" s="284"/>
      <c r="AC296" s="284"/>
      <c r="AD296" s="284"/>
      <c r="AE296" s="284"/>
      <c r="AF296" s="447"/>
      <c r="AG296" s="447"/>
      <c r="AH296" s="447"/>
      <c r="AI296" s="382"/>
      <c r="AJ296" s="382"/>
      <c r="AK296" s="382"/>
      <c r="AL296" s="382"/>
      <c r="AM296" s="382"/>
      <c r="AN296" s="382"/>
      <c r="AO296" s="382"/>
      <c r="AP296" s="382"/>
      <c r="AQ296" s="382"/>
      <c r="AR296" s="382"/>
      <c r="AS296" s="382"/>
      <c r="AT296" s="382"/>
      <c r="AU296" s="382"/>
      <c r="AV296" s="382"/>
      <c r="AW296" s="382"/>
      <c r="AX296" s="382"/>
      <c r="AY296" s="382"/>
      <c r="AZ296" s="382"/>
      <c r="BA296" s="382"/>
      <c r="BB296" s="382"/>
      <c r="BC296" s="382"/>
      <c r="BD296" s="382"/>
      <c r="BE296" s="382"/>
      <c r="BF296" s="382"/>
      <c r="BG296" s="382"/>
      <c r="BH296" s="382"/>
      <c r="BI296" s="382"/>
      <c r="BJ296" s="382"/>
      <c r="BK296" s="382"/>
      <c r="BL296" s="382"/>
      <c r="BM296" s="382"/>
      <c r="BN296" s="382"/>
      <c r="BO296" s="382"/>
    </row>
    <row r="297" spans="1:67" s="88" customFormat="1" ht="10.55" customHeight="1" x14ac:dyDescent="0.2">
      <c r="A297" s="675"/>
      <c r="B297" s="2807"/>
      <c r="C297" s="2808"/>
      <c r="D297" s="2809"/>
      <c r="E297" s="2561"/>
      <c r="F297" s="2562"/>
      <c r="G297" s="1015"/>
      <c r="H297" s="524"/>
      <c r="I297" s="1409">
        <f t="shared" si="68"/>
        <v>0</v>
      </c>
      <c r="J297" s="1421">
        <f t="shared" si="69"/>
        <v>0</v>
      </c>
      <c r="K297" s="679"/>
      <c r="L297" s="1002"/>
      <c r="M297" s="1428">
        <f t="shared" si="70"/>
        <v>0</v>
      </c>
      <c r="N297" s="1110"/>
      <c r="O297" s="674">
        <f t="shared" si="71"/>
        <v>0</v>
      </c>
      <c r="P297" s="682"/>
      <c r="Q297" s="286"/>
      <c r="R297" s="287"/>
      <c r="S297" s="280"/>
      <c r="T297" s="280"/>
      <c r="U297" s="280"/>
      <c r="V297" s="280"/>
      <c r="W297" s="280"/>
      <c r="X297" s="280"/>
      <c r="Y297" s="280"/>
      <c r="Z297" s="284"/>
      <c r="AA297" s="284"/>
      <c r="AB297" s="284"/>
      <c r="AC297" s="284"/>
      <c r="AD297" s="284"/>
      <c r="AE297" s="284"/>
      <c r="AF297" s="447"/>
      <c r="AG297" s="447"/>
      <c r="AH297" s="447"/>
      <c r="AI297" s="382"/>
      <c r="AJ297" s="382"/>
      <c r="AK297" s="382"/>
      <c r="AL297" s="382"/>
      <c r="AM297" s="382"/>
      <c r="AN297" s="382"/>
      <c r="AO297" s="382"/>
      <c r="AP297" s="382"/>
      <c r="AQ297" s="382"/>
      <c r="AR297" s="382"/>
      <c r="AS297" s="382"/>
      <c r="AT297" s="382"/>
      <c r="AU297" s="382"/>
      <c r="AV297" s="382"/>
      <c r="AW297" s="382"/>
      <c r="AX297" s="382"/>
      <c r="AY297" s="382"/>
      <c r="AZ297" s="382"/>
      <c r="BA297" s="382"/>
      <c r="BB297" s="382"/>
      <c r="BC297" s="382"/>
      <c r="BD297" s="382"/>
      <c r="BE297" s="382"/>
      <c r="BF297" s="382"/>
      <c r="BG297" s="382"/>
      <c r="BH297" s="382"/>
      <c r="BI297" s="382"/>
      <c r="BJ297" s="382"/>
      <c r="BK297" s="382"/>
      <c r="BL297" s="382"/>
      <c r="BM297" s="382"/>
      <c r="BN297" s="382"/>
      <c r="BO297" s="382"/>
    </row>
    <row r="298" spans="1:67" s="88" customFormat="1" ht="10.55" customHeight="1" x14ac:dyDescent="0.2">
      <c r="A298" s="675"/>
      <c r="B298" s="2807"/>
      <c r="C298" s="2808"/>
      <c r="D298" s="2809"/>
      <c r="E298" s="2561"/>
      <c r="F298" s="2562"/>
      <c r="G298" s="1015"/>
      <c r="H298" s="524"/>
      <c r="I298" s="1409">
        <f t="shared" si="68"/>
        <v>0</v>
      </c>
      <c r="J298" s="1421">
        <f t="shared" si="69"/>
        <v>0</v>
      </c>
      <c r="K298" s="679"/>
      <c r="L298" s="1002"/>
      <c r="M298" s="1428">
        <f t="shared" si="70"/>
        <v>0</v>
      </c>
      <c r="N298" s="1110"/>
      <c r="O298" s="674">
        <f t="shared" si="71"/>
        <v>0</v>
      </c>
      <c r="P298" s="682"/>
      <c r="Q298" s="286"/>
      <c r="R298" s="287"/>
      <c r="S298" s="280"/>
      <c r="T298" s="280"/>
      <c r="U298" s="280"/>
      <c r="V298" s="280"/>
      <c r="W298" s="280"/>
      <c r="X298" s="280"/>
      <c r="Y298" s="280"/>
      <c r="Z298" s="284"/>
      <c r="AA298" s="284"/>
      <c r="AB298" s="284"/>
      <c r="AC298" s="284"/>
      <c r="AD298" s="284"/>
      <c r="AE298" s="284"/>
      <c r="AF298" s="447"/>
      <c r="AG298" s="447"/>
      <c r="AH298" s="447"/>
      <c r="AI298" s="382"/>
      <c r="AJ298" s="382"/>
      <c r="AK298" s="382"/>
      <c r="AL298" s="382"/>
      <c r="AM298" s="382"/>
      <c r="AN298" s="382"/>
      <c r="AO298" s="382"/>
      <c r="AP298" s="382"/>
      <c r="AQ298" s="382"/>
      <c r="AR298" s="382"/>
      <c r="AS298" s="382"/>
      <c r="AT298" s="382"/>
      <c r="AU298" s="382"/>
      <c r="AV298" s="382"/>
      <c r="AW298" s="382"/>
      <c r="AX298" s="382"/>
      <c r="AY298" s="382"/>
      <c r="AZ298" s="382"/>
      <c r="BA298" s="382"/>
      <c r="BB298" s="382"/>
      <c r="BC298" s="382"/>
      <c r="BD298" s="382"/>
      <c r="BE298" s="382"/>
      <c r="BF298" s="382"/>
      <c r="BG298" s="382"/>
      <c r="BH298" s="382"/>
      <c r="BI298" s="382"/>
      <c r="BJ298" s="382"/>
      <c r="BK298" s="382"/>
      <c r="BL298" s="382"/>
      <c r="BM298" s="382"/>
      <c r="BN298" s="382"/>
      <c r="BO298" s="382"/>
    </row>
    <row r="299" spans="1:67" s="88" customFormat="1" ht="10.55" customHeight="1" x14ac:dyDescent="0.2">
      <c r="A299" s="675"/>
      <c r="B299" s="2807"/>
      <c r="C299" s="2808"/>
      <c r="D299" s="2809"/>
      <c r="E299" s="2561"/>
      <c r="F299" s="2562"/>
      <c r="G299" s="1015"/>
      <c r="H299" s="524"/>
      <c r="I299" s="1409">
        <f t="shared" si="68"/>
        <v>0</v>
      </c>
      <c r="J299" s="1421">
        <f t="shared" si="69"/>
        <v>0</v>
      </c>
      <c r="K299" s="679"/>
      <c r="L299" s="1002"/>
      <c r="M299" s="1428">
        <f t="shared" si="70"/>
        <v>0</v>
      </c>
      <c r="N299" s="1110"/>
      <c r="O299" s="674">
        <f t="shared" si="71"/>
        <v>0</v>
      </c>
      <c r="P299" s="682"/>
      <c r="Q299" s="286"/>
      <c r="R299" s="287"/>
      <c r="S299" s="280"/>
      <c r="T299" s="280"/>
      <c r="U299" s="280"/>
      <c r="V299" s="280"/>
      <c r="W299" s="280"/>
      <c r="X299" s="280"/>
      <c r="Y299" s="280"/>
      <c r="Z299" s="284"/>
      <c r="AA299" s="284"/>
      <c r="AB299" s="284"/>
      <c r="AC299" s="284"/>
      <c r="AD299" s="284"/>
      <c r="AE299" s="284"/>
      <c r="AF299" s="447"/>
      <c r="AG299" s="447"/>
      <c r="AH299" s="447"/>
      <c r="AI299" s="382"/>
      <c r="AJ299" s="382"/>
      <c r="AK299" s="382"/>
      <c r="AL299" s="382"/>
      <c r="AM299" s="382"/>
      <c r="AN299" s="382"/>
      <c r="AO299" s="382"/>
      <c r="AP299" s="382"/>
      <c r="AQ299" s="382"/>
      <c r="AR299" s="382"/>
      <c r="AS299" s="382"/>
      <c r="AT299" s="382"/>
      <c r="AU299" s="382"/>
      <c r="AV299" s="382"/>
      <c r="AW299" s="382"/>
      <c r="AX299" s="382"/>
      <c r="AY299" s="382"/>
      <c r="AZ299" s="382"/>
      <c r="BA299" s="382"/>
      <c r="BB299" s="382"/>
      <c r="BC299" s="382"/>
      <c r="BD299" s="382"/>
      <c r="BE299" s="382"/>
      <c r="BF299" s="382"/>
      <c r="BG299" s="382"/>
      <c r="BH299" s="382"/>
      <c r="BI299" s="382"/>
      <c r="BJ299" s="382"/>
      <c r="BK299" s="382"/>
      <c r="BL299" s="382"/>
      <c r="BM299" s="382"/>
      <c r="BN299" s="382"/>
      <c r="BO299" s="382"/>
    </row>
    <row r="300" spans="1:67" s="88" customFormat="1" ht="10.55" customHeight="1" x14ac:dyDescent="0.2">
      <c r="A300" s="1153"/>
      <c r="B300" s="2884"/>
      <c r="C300" s="2885"/>
      <c r="D300" s="2886"/>
      <c r="E300" s="2793"/>
      <c r="F300" s="2794"/>
      <c r="G300" s="1086"/>
      <c r="H300" s="1087"/>
      <c r="I300" s="1437">
        <f t="shared" si="68"/>
        <v>0</v>
      </c>
      <c r="J300" s="1413"/>
      <c r="K300" s="1088"/>
      <c r="L300" s="1089"/>
      <c r="M300" s="1431">
        <f t="shared" si="70"/>
        <v>0</v>
      </c>
      <c r="N300" s="1110"/>
      <c r="O300" s="674">
        <f t="shared" si="71"/>
        <v>0</v>
      </c>
      <c r="P300" s="682"/>
      <c r="Q300" s="286"/>
      <c r="R300" s="287"/>
      <c r="S300" s="280"/>
      <c r="T300" s="280"/>
      <c r="U300" s="280"/>
      <c r="V300" s="280"/>
      <c r="W300" s="280"/>
      <c r="X300" s="280"/>
      <c r="Y300" s="280"/>
      <c r="Z300" s="284"/>
      <c r="AA300" s="284"/>
      <c r="AB300" s="284"/>
      <c r="AC300" s="284"/>
      <c r="AD300" s="284"/>
      <c r="AE300" s="284"/>
      <c r="AF300" s="447"/>
      <c r="AG300" s="447"/>
      <c r="AH300" s="447"/>
      <c r="AI300" s="382"/>
      <c r="AJ300" s="382"/>
      <c r="AK300" s="382"/>
      <c r="AL300" s="382"/>
      <c r="AM300" s="382"/>
      <c r="AN300" s="382"/>
      <c r="AO300" s="382"/>
      <c r="AP300" s="382"/>
      <c r="AQ300" s="382"/>
      <c r="AR300" s="382"/>
      <c r="AS300" s="382"/>
      <c r="AT300" s="382"/>
      <c r="AU300" s="382"/>
      <c r="AV300" s="382"/>
      <c r="AW300" s="382"/>
      <c r="AX300" s="382"/>
      <c r="AY300" s="382"/>
      <c r="AZ300" s="382"/>
      <c r="BA300" s="382"/>
      <c r="BB300" s="382"/>
      <c r="BC300" s="382"/>
      <c r="BD300" s="382"/>
      <c r="BE300" s="382"/>
      <c r="BF300" s="382"/>
      <c r="BG300" s="382"/>
      <c r="BH300" s="382"/>
      <c r="BI300" s="382"/>
      <c r="BJ300" s="382"/>
      <c r="BK300" s="382"/>
      <c r="BL300" s="382"/>
      <c r="BM300" s="382"/>
      <c r="BN300" s="382"/>
      <c r="BO300" s="382"/>
    </row>
    <row r="301" spans="1:67" s="88" customFormat="1" ht="10.55" customHeight="1" x14ac:dyDescent="0.2">
      <c r="A301" s="1145" t="s">
        <v>424</v>
      </c>
      <c r="B301" s="2783"/>
      <c r="C301" s="2784"/>
      <c r="D301" s="2785"/>
      <c r="E301" s="2810">
        <f>SUM(E302:E314)</f>
        <v>0</v>
      </c>
      <c r="F301" s="2811"/>
      <c r="G301" s="2747"/>
      <c r="H301" s="2748"/>
      <c r="I301" s="1435">
        <f>IF(E301=0,0,J301/E301)</f>
        <v>0</v>
      </c>
      <c r="J301" s="1423">
        <f>SUM(J302:J314)</f>
        <v>0</v>
      </c>
      <c r="K301" s="2749">
        <f>IF(E301=0,0,M301/E301*100)</f>
        <v>0</v>
      </c>
      <c r="L301" s="2750"/>
      <c r="M301" s="1430">
        <f>SUM(M302:M314)</f>
        <v>0</v>
      </c>
      <c r="N301" s="1110"/>
      <c r="O301" s="387">
        <f>IF(H301="",G301,H301)</f>
        <v>0</v>
      </c>
      <c r="P301" s="682"/>
      <c r="Q301" s="286"/>
      <c r="R301" s="287"/>
      <c r="S301" s="280"/>
      <c r="T301" s="280"/>
      <c r="U301" s="280"/>
      <c r="V301" s="280"/>
      <c r="W301" s="280"/>
      <c r="X301" s="280"/>
      <c r="Y301" s="280"/>
      <c r="Z301" s="284"/>
      <c r="AA301" s="284"/>
      <c r="AB301" s="284"/>
      <c r="AC301" s="284"/>
      <c r="AD301" s="284"/>
      <c r="AE301" s="284"/>
      <c r="AF301" s="447"/>
      <c r="AG301" s="447"/>
      <c r="AH301" s="447"/>
      <c r="AI301" s="382"/>
      <c r="AJ301" s="382"/>
      <c r="AK301" s="382"/>
      <c r="AL301" s="382"/>
      <c r="AM301" s="382"/>
      <c r="AN301" s="382"/>
      <c r="AO301" s="382"/>
      <c r="AP301" s="382"/>
      <c r="AQ301" s="382"/>
      <c r="AR301" s="382"/>
      <c r="AS301" s="382"/>
      <c r="AT301" s="382"/>
      <c r="AU301" s="382"/>
      <c r="AV301" s="382"/>
      <c r="AW301" s="382"/>
      <c r="AX301" s="382"/>
      <c r="AY301" s="382"/>
      <c r="AZ301" s="382"/>
      <c r="BA301" s="382"/>
      <c r="BB301" s="382"/>
      <c r="BC301" s="382"/>
      <c r="BD301" s="382"/>
      <c r="BE301" s="382"/>
      <c r="BF301" s="382"/>
      <c r="BG301" s="382"/>
      <c r="BH301" s="382"/>
      <c r="BI301" s="382"/>
      <c r="BJ301" s="382"/>
      <c r="BK301" s="382"/>
      <c r="BL301" s="382"/>
      <c r="BM301" s="382"/>
      <c r="BN301" s="382"/>
      <c r="BO301" s="382"/>
    </row>
    <row r="302" spans="1:67" s="88" customFormat="1" ht="10.55" customHeight="1" x14ac:dyDescent="0.2">
      <c r="A302" s="675"/>
      <c r="B302" s="2790"/>
      <c r="C302" s="2791"/>
      <c r="D302" s="2792"/>
      <c r="E302" s="2734"/>
      <c r="F302" s="2735"/>
      <c r="G302" s="1014"/>
      <c r="H302" s="524"/>
      <c r="I302" s="1409">
        <f t="shared" ref="I302:I315" si="72">IF($O302&gt;0,-PMT(($I$9),$O302,1),0)</f>
        <v>0</v>
      </c>
      <c r="J302" s="1421">
        <f t="shared" ref="J302:J314" si="73">ROUND(E302*I302,0)</f>
        <v>0</v>
      </c>
      <c r="K302" s="687"/>
      <c r="L302" s="1003"/>
      <c r="M302" s="1428">
        <f t="shared" ref="M302:M315" si="74">ROUND(E302/100*IF(ISBLANK(L302),K302,L302),0)</f>
        <v>0</v>
      </c>
      <c r="N302" s="1110"/>
      <c r="O302" s="674">
        <f t="shared" ref="O302:O315" si="75">IF(ISBLANK(H302),G302,H302)</f>
        <v>0</v>
      </c>
      <c r="P302" s="682"/>
      <c r="Q302" s="286"/>
      <c r="R302" s="287"/>
      <c r="S302" s="280"/>
      <c r="T302" s="280"/>
      <c r="U302" s="280"/>
      <c r="V302" s="280"/>
      <c r="W302" s="280"/>
      <c r="X302" s="280"/>
      <c r="Y302" s="280"/>
      <c r="Z302" s="284"/>
      <c r="AA302" s="284"/>
      <c r="AB302" s="284"/>
      <c r="AC302" s="284"/>
      <c r="AD302" s="284"/>
      <c r="AE302" s="284"/>
      <c r="AF302" s="447"/>
      <c r="AG302" s="447"/>
      <c r="AH302" s="447"/>
      <c r="AI302" s="382"/>
      <c r="AJ302" s="382"/>
      <c r="AK302" s="382"/>
      <c r="AL302" s="382"/>
      <c r="AM302" s="382"/>
      <c r="AN302" s="382"/>
      <c r="AO302" s="382"/>
      <c r="AP302" s="382"/>
      <c r="AQ302" s="382"/>
      <c r="AR302" s="382"/>
      <c r="AS302" s="382"/>
      <c r="AT302" s="382"/>
      <c r="AU302" s="382"/>
      <c r="AV302" s="382"/>
      <c r="AW302" s="382"/>
      <c r="AX302" s="382"/>
      <c r="AY302" s="382"/>
      <c r="AZ302" s="382"/>
      <c r="BA302" s="382"/>
      <c r="BB302" s="382"/>
      <c r="BC302" s="382"/>
      <c r="BD302" s="382"/>
      <c r="BE302" s="382"/>
      <c r="BF302" s="382"/>
      <c r="BG302" s="382"/>
      <c r="BH302" s="382"/>
      <c r="BI302" s="382"/>
      <c r="BJ302" s="382"/>
      <c r="BK302" s="382"/>
      <c r="BL302" s="382"/>
      <c r="BM302" s="382"/>
      <c r="BN302" s="382"/>
      <c r="BO302" s="382"/>
    </row>
    <row r="303" spans="1:67" s="88" customFormat="1" ht="10.55" customHeight="1" x14ac:dyDescent="0.2">
      <c r="A303" s="675"/>
      <c r="B303" s="2807"/>
      <c r="C303" s="2808"/>
      <c r="D303" s="2809"/>
      <c r="E303" s="2561"/>
      <c r="F303" s="2562"/>
      <c r="G303" s="1014"/>
      <c r="H303" s="524"/>
      <c r="I303" s="1409">
        <f t="shared" si="72"/>
        <v>0</v>
      </c>
      <c r="J303" s="1421">
        <f t="shared" si="73"/>
        <v>0</v>
      </c>
      <c r="K303" s="678"/>
      <c r="L303" s="1002"/>
      <c r="M303" s="1428">
        <f t="shared" si="74"/>
        <v>0</v>
      </c>
      <c r="N303" s="1110"/>
      <c r="O303" s="674">
        <f t="shared" si="75"/>
        <v>0</v>
      </c>
      <c r="P303" s="682"/>
      <c r="Q303" s="286"/>
      <c r="R303" s="287"/>
      <c r="S303" s="280"/>
      <c r="T303" s="280"/>
      <c r="U303" s="280"/>
      <c r="V303" s="280"/>
      <c r="W303" s="280"/>
      <c r="X303" s="280"/>
      <c r="Y303" s="280"/>
      <c r="Z303" s="284"/>
      <c r="AA303" s="284"/>
      <c r="AB303" s="284"/>
      <c r="AC303" s="284"/>
      <c r="AD303" s="284"/>
      <c r="AE303" s="284"/>
      <c r="AF303" s="447"/>
      <c r="AG303" s="447"/>
      <c r="AH303" s="447"/>
      <c r="AI303" s="382"/>
      <c r="AJ303" s="382"/>
      <c r="AK303" s="382"/>
      <c r="AL303" s="382"/>
      <c r="AM303" s="382"/>
      <c r="AN303" s="382"/>
      <c r="AO303" s="382"/>
      <c r="AP303" s="382"/>
      <c r="AQ303" s="382"/>
      <c r="AR303" s="382"/>
      <c r="AS303" s="382"/>
      <c r="AT303" s="382"/>
      <c r="AU303" s="382"/>
      <c r="AV303" s="382"/>
      <c r="AW303" s="382"/>
      <c r="AX303" s="382"/>
      <c r="AY303" s="382"/>
      <c r="AZ303" s="382"/>
      <c r="BA303" s="382"/>
      <c r="BB303" s="382"/>
      <c r="BC303" s="382"/>
      <c r="BD303" s="382"/>
      <c r="BE303" s="382"/>
      <c r="BF303" s="382"/>
      <c r="BG303" s="382"/>
      <c r="BH303" s="382"/>
      <c r="BI303" s="382"/>
      <c r="BJ303" s="382"/>
      <c r="BK303" s="382"/>
      <c r="BL303" s="382"/>
      <c r="BM303" s="382"/>
      <c r="BN303" s="382"/>
      <c r="BO303" s="382"/>
    </row>
    <row r="304" spans="1:67" s="88" customFormat="1" ht="10.55" customHeight="1" x14ac:dyDescent="0.2">
      <c r="A304" s="675"/>
      <c r="B304" s="2807"/>
      <c r="C304" s="2808"/>
      <c r="D304" s="2809"/>
      <c r="E304" s="2561"/>
      <c r="F304" s="2562"/>
      <c r="G304" s="1014"/>
      <c r="H304" s="524"/>
      <c r="I304" s="1409">
        <f t="shared" si="72"/>
        <v>0</v>
      </c>
      <c r="J304" s="1421">
        <f t="shared" si="73"/>
        <v>0</v>
      </c>
      <c r="K304" s="678"/>
      <c r="L304" s="1002"/>
      <c r="M304" s="1428">
        <f t="shared" si="74"/>
        <v>0</v>
      </c>
      <c r="N304" s="1110"/>
      <c r="O304" s="674">
        <f t="shared" si="75"/>
        <v>0</v>
      </c>
      <c r="P304" s="682"/>
      <c r="Q304" s="286"/>
      <c r="R304" s="287"/>
      <c r="S304" s="280"/>
      <c r="T304" s="280"/>
      <c r="U304" s="280"/>
      <c r="V304" s="280"/>
      <c r="W304" s="280"/>
      <c r="X304" s="280"/>
      <c r="Y304" s="280"/>
      <c r="Z304" s="284"/>
      <c r="AA304" s="284"/>
      <c r="AB304" s="284"/>
      <c r="AC304" s="284"/>
      <c r="AD304" s="284"/>
      <c r="AE304" s="284"/>
      <c r="AF304" s="447"/>
      <c r="AG304" s="447"/>
      <c r="AH304" s="447"/>
      <c r="AI304" s="382"/>
      <c r="AJ304" s="382"/>
      <c r="AK304" s="382"/>
      <c r="AL304" s="382"/>
      <c r="AM304" s="382"/>
      <c r="AN304" s="382"/>
      <c r="AO304" s="382"/>
      <c r="AP304" s="382"/>
      <c r="AQ304" s="382"/>
      <c r="AR304" s="382"/>
      <c r="AS304" s="382"/>
      <c r="AT304" s="382"/>
      <c r="AU304" s="382"/>
      <c r="AV304" s="382"/>
      <c r="AW304" s="382"/>
      <c r="AX304" s="382"/>
      <c r="AY304" s="382"/>
      <c r="AZ304" s="382"/>
      <c r="BA304" s="382"/>
      <c r="BB304" s="382"/>
      <c r="BC304" s="382"/>
      <c r="BD304" s="382"/>
      <c r="BE304" s="382"/>
      <c r="BF304" s="382"/>
      <c r="BG304" s="382"/>
      <c r="BH304" s="382"/>
      <c r="BI304" s="382"/>
      <c r="BJ304" s="382"/>
      <c r="BK304" s="382"/>
      <c r="BL304" s="382"/>
      <c r="BM304" s="382"/>
      <c r="BN304" s="382"/>
      <c r="BO304" s="382"/>
    </row>
    <row r="305" spans="1:67" s="88" customFormat="1" ht="10.55" customHeight="1" x14ac:dyDescent="0.2">
      <c r="A305" s="675"/>
      <c r="B305" s="2807"/>
      <c r="C305" s="2808"/>
      <c r="D305" s="2809"/>
      <c r="E305" s="2561"/>
      <c r="F305" s="2562"/>
      <c r="G305" s="1014"/>
      <c r="H305" s="524"/>
      <c r="I305" s="1409">
        <f t="shared" si="72"/>
        <v>0</v>
      </c>
      <c r="J305" s="1421">
        <f t="shared" si="73"/>
        <v>0</v>
      </c>
      <c r="K305" s="678"/>
      <c r="L305" s="1002"/>
      <c r="M305" s="1428">
        <f t="shared" si="74"/>
        <v>0</v>
      </c>
      <c r="N305" s="1110"/>
      <c r="O305" s="674">
        <f t="shared" si="75"/>
        <v>0</v>
      </c>
      <c r="P305" s="682"/>
      <c r="Q305" s="286"/>
      <c r="R305" s="287"/>
      <c r="S305" s="280"/>
      <c r="T305" s="280"/>
      <c r="U305" s="280"/>
      <c r="V305" s="280"/>
      <c r="W305" s="280"/>
      <c r="X305" s="280"/>
      <c r="Y305" s="280"/>
      <c r="Z305" s="284"/>
      <c r="AA305" s="284"/>
      <c r="AB305" s="284"/>
      <c r="AC305" s="284"/>
      <c r="AD305" s="284"/>
      <c r="AE305" s="284"/>
      <c r="AF305" s="447"/>
      <c r="AG305" s="447"/>
      <c r="AH305" s="447"/>
      <c r="AI305" s="382"/>
      <c r="AJ305" s="382"/>
      <c r="AK305" s="382"/>
      <c r="AL305" s="382"/>
      <c r="AM305" s="382"/>
      <c r="AN305" s="382"/>
      <c r="AO305" s="382"/>
      <c r="AP305" s="382"/>
      <c r="AQ305" s="382"/>
      <c r="AR305" s="382"/>
      <c r="AS305" s="382"/>
      <c r="AT305" s="382"/>
      <c r="AU305" s="382"/>
      <c r="AV305" s="382"/>
      <c r="AW305" s="382"/>
      <c r="AX305" s="382"/>
      <c r="AY305" s="382"/>
      <c r="AZ305" s="382"/>
      <c r="BA305" s="382"/>
      <c r="BB305" s="382"/>
      <c r="BC305" s="382"/>
      <c r="BD305" s="382"/>
      <c r="BE305" s="382"/>
      <c r="BF305" s="382"/>
      <c r="BG305" s="382"/>
      <c r="BH305" s="382"/>
      <c r="BI305" s="382"/>
      <c r="BJ305" s="382"/>
      <c r="BK305" s="382"/>
      <c r="BL305" s="382"/>
      <c r="BM305" s="382"/>
      <c r="BN305" s="382"/>
      <c r="BO305" s="382"/>
    </row>
    <row r="306" spans="1:67" s="88" customFormat="1" ht="10.55" customHeight="1" x14ac:dyDescent="0.2">
      <c r="A306" s="675"/>
      <c r="B306" s="2807"/>
      <c r="C306" s="2808"/>
      <c r="D306" s="2809"/>
      <c r="E306" s="2561"/>
      <c r="F306" s="2562"/>
      <c r="G306" s="1014"/>
      <c r="H306" s="524"/>
      <c r="I306" s="1409">
        <f t="shared" si="72"/>
        <v>0</v>
      </c>
      <c r="J306" s="1421">
        <f t="shared" si="73"/>
        <v>0</v>
      </c>
      <c r="K306" s="678"/>
      <c r="L306" s="1002"/>
      <c r="M306" s="1428">
        <f t="shared" si="74"/>
        <v>0</v>
      </c>
      <c r="N306" s="1110"/>
      <c r="O306" s="674">
        <f t="shared" si="75"/>
        <v>0</v>
      </c>
      <c r="P306" s="682"/>
      <c r="Q306" s="286"/>
      <c r="R306" s="287"/>
      <c r="S306" s="280"/>
      <c r="T306" s="280"/>
      <c r="U306" s="280"/>
      <c r="V306" s="280"/>
      <c r="W306" s="280"/>
      <c r="X306" s="280"/>
      <c r="Y306" s="280"/>
      <c r="Z306" s="284"/>
      <c r="AA306" s="284"/>
      <c r="AB306" s="284"/>
      <c r="AC306" s="284"/>
      <c r="AD306" s="284"/>
      <c r="AE306" s="284"/>
      <c r="AF306" s="447"/>
      <c r="AG306" s="447"/>
      <c r="AH306" s="447"/>
      <c r="AI306" s="382"/>
      <c r="AJ306" s="382"/>
      <c r="AK306" s="382"/>
      <c r="AL306" s="382"/>
      <c r="AM306" s="382"/>
      <c r="AN306" s="382"/>
      <c r="AO306" s="382"/>
      <c r="AP306" s="382"/>
      <c r="AQ306" s="382"/>
      <c r="AR306" s="382"/>
      <c r="AS306" s="382"/>
      <c r="AT306" s="382"/>
      <c r="AU306" s="382"/>
      <c r="AV306" s="382"/>
      <c r="AW306" s="382"/>
      <c r="AX306" s="382"/>
      <c r="AY306" s="382"/>
      <c r="AZ306" s="382"/>
      <c r="BA306" s="382"/>
      <c r="BB306" s="382"/>
      <c r="BC306" s="382"/>
      <c r="BD306" s="382"/>
      <c r="BE306" s="382"/>
      <c r="BF306" s="382"/>
      <c r="BG306" s="382"/>
      <c r="BH306" s="382"/>
      <c r="BI306" s="382"/>
      <c r="BJ306" s="382"/>
      <c r="BK306" s="382"/>
      <c r="BL306" s="382"/>
      <c r="BM306" s="382"/>
      <c r="BN306" s="382"/>
      <c r="BO306" s="382"/>
    </row>
    <row r="307" spans="1:67" s="88" customFormat="1" ht="10.55" customHeight="1" x14ac:dyDescent="0.2">
      <c r="A307" s="675"/>
      <c r="B307" s="2807"/>
      <c r="C307" s="2808"/>
      <c r="D307" s="2809"/>
      <c r="E307" s="2561"/>
      <c r="F307" s="2562"/>
      <c r="G307" s="1014"/>
      <c r="H307" s="524"/>
      <c r="I307" s="1409">
        <f t="shared" si="72"/>
        <v>0</v>
      </c>
      <c r="J307" s="1421">
        <f t="shared" si="73"/>
        <v>0</v>
      </c>
      <c r="K307" s="678"/>
      <c r="L307" s="1002"/>
      <c r="M307" s="1428">
        <f t="shared" si="74"/>
        <v>0</v>
      </c>
      <c r="N307" s="1110"/>
      <c r="O307" s="674">
        <f t="shared" si="75"/>
        <v>0</v>
      </c>
      <c r="P307" s="682"/>
      <c r="Q307" s="286"/>
      <c r="R307" s="287"/>
      <c r="S307" s="280"/>
      <c r="T307" s="280"/>
      <c r="U307" s="280"/>
      <c r="V307" s="280"/>
      <c r="W307" s="280"/>
      <c r="X307" s="280"/>
      <c r="Y307" s="280"/>
      <c r="Z307" s="284"/>
      <c r="AA307" s="284"/>
      <c r="AB307" s="284"/>
      <c r="AC307" s="284"/>
      <c r="AD307" s="284"/>
      <c r="AE307" s="284"/>
      <c r="AF307" s="447"/>
      <c r="AG307" s="447"/>
      <c r="AH307" s="447"/>
      <c r="AI307" s="382"/>
      <c r="AJ307" s="382"/>
      <c r="AK307" s="382"/>
      <c r="AL307" s="382"/>
      <c r="AM307" s="382"/>
      <c r="AN307" s="382"/>
      <c r="AO307" s="382"/>
      <c r="AP307" s="382"/>
      <c r="AQ307" s="382"/>
      <c r="AR307" s="382"/>
      <c r="AS307" s="382"/>
      <c r="AT307" s="382"/>
      <c r="AU307" s="382"/>
      <c r="AV307" s="382"/>
      <c r="AW307" s="382"/>
      <c r="AX307" s="382"/>
      <c r="AY307" s="382"/>
      <c r="AZ307" s="382"/>
      <c r="BA307" s="382"/>
      <c r="BB307" s="382"/>
      <c r="BC307" s="382"/>
      <c r="BD307" s="382"/>
      <c r="BE307" s="382"/>
      <c r="BF307" s="382"/>
      <c r="BG307" s="382"/>
      <c r="BH307" s="382"/>
      <c r="BI307" s="382"/>
      <c r="BJ307" s="382"/>
      <c r="BK307" s="382"/>
      <c r="BL307" s="382"/>
      <c r="BM307" s="382"/>
      <c r="BN307" s="382"/>
      <c r="BO307" s="382"/>
    </row>
    <row r="308" spans="1:67" s="88" customFormat="1" ht="10.55" customHeight="1" x14ac:dyDescent="0.2">
      <c r="A308" s="675"/>
      <c r="B308" s="2807"/>
      <c r="C308" s="2808"/>
      <c r="D308" s="2809"/>
      <c r="E308" s="2561"/>
      <c r="F308" s="2562"/>
      <c r="G308" s="1014"/>
      <c r="H308" s="524"/>
      <c r="I308" s="1409">
        <f t="shared" si="72"/>
        <v>0</v>
      </c>
      <c r="J308" s="1421">
        <f t="shared" si="73"/>
        <v>0</v>
      </c>
      <c r="K308" s="678"/>
      <c r="L308" s="1002"/>
      <c r="M308" s="1428">
        <f t="shared" si="74"/>
        <v>0</v>
      </c>
      <c r="N308" s="1110"/>
      <c r="O308" s="674">
        <f t="shared" si="75"/>
        <v>0</v>
      </c>
      <c r="P308" s="682"/>
      <c r="Q308" s="286"/>
      <c r="R308" s="287"/>
      <c r="S308" s="280"/>
      <c r="T308" s="280"/>
      <c r="U308" s="280"/>
      <c r="V308" s="280"/>
      <c r="W308" s="280"/>
      <c r="X308" s="280"/>
      <c r="Y308" s="280"/>
      <c r="Z308" s="284"/>
      <c r="AA308" s="284"/>
      <c r="AB308" s="284"/>
      <c r="AC308" s="284"/>
      <c r="AD308" s="284"/>
      <c r="AE308" s="284"/>
      <c r="AF308" s="447"/>
      <c r="AG308" s="447"/>
      <c r="AH308" s="447"/>
      <c r="AI308" s="382"/>
      <c r="AJ308" s="382"/>
      <c r="AK308" s="382"/>
      <c r="AL308" s="382"/>
      <c r="AM308" s="382"/>
      <c r="AN308" s="382"/>
      <c r="AO308" s="382"/>
      <c r="AP308" s="382"/>
      <c r="AQ308" s="382"/>
      <c r="AR308" s="382"/>
      <c r="AS308" s="382"/>
      <c r="AT308" s="382"/>
      <c r="AU308" s="382"/>
      <c r="AV308" s="382"/>
      <c r="AW308" s="382"/>
      <c r="AX308" s="382"/>
      <c r="AY308" s="382"/>
      <c r="AZ308" s="382"/>
      <c r="BA308" s="382"/>
      <c r="BB308" s="382"/>
      <c r="BC308" s="382"/>
      <c r="BD308" s="382"/>
      <c r="BE308" s="382"/>
      <c r="BF308" s="382"/>
      <c r="BG308" s="382"/>
      <c r="BH308" s="382"/>
      <c r="BI308" s="382"/>
      <c r="BJ308" s="382"/>
      <c r="BK308" s="382"/>
      <c r="BL308" s="382"/>
      <c r="BM308" s="382"/>
      <c r="BN308" s="382"/>
      <c r="BO308" s="382"/>
    </row>
    <row r="309" spans="1:67" s="88" customFormat="1" ht="10.55" customHeight="1" x14ac:dyDescent="0.2">
      <c r="A309" s="675"/>
      <c r="B309" s="2807"/>
      <c r="C309" s="2808"/>
      <c r="D309" s="2809"/>
      <c r="E309" s="2561"/>
      <c r="F309" s="2562"/>
      <c r="G309" s="1015"/>
      <c r="H309" s="524"/>
      <c r="I309" s="1409">
        <f t="shared" si="72"/>
        <v>0</v>
      </c>
      <c r="J309" s="1421">
        <f t="shared" si="73"/>
        <v>0</v>
      </c>
      <c r="K309" s="679"/>
      <c r="L309" s="1002"/>
      <c r="M309" s="1428">
        <f t="shared" si="74"/>
        <v>0</v>
      </c>
      <c r="N309" s="1110"/>
      <c r="O309" s="674">
        <f t="shared" si="75"/>
        <v>0</v>
      </c>
      <c r="P309" s="682"/>
      <c r="Q309" s="286"/>
      <c r="R309" s="287"/>
      <c r="S309" s="280"/>
      <c r="T309" s="280"/>
      <c r="U309" s="280"/>
      <c r="V309" s="280"/>
      <c r="W309" s="280"/>
      <c r="X309" s="280"/>
      <c r="Y309" s="280"/>
      <c r="Z309" s="284"/>
      <c r="AA309" s="284"/>
      <c r="AB309" s="284"/>
      <c r="AC309" s="284"/>
      <c r="AD309" s="284"/>
      <c r="AE309" s="284"/>
      <c r="AF309" s="447"/>
      <c r="AG309" s="447"/>
      <c r="AH309" s="447"/>
      <c r="AI309" s="382"/>
      <c r="AJ309" s="382"/>
      <c r="AK309" s="382"/>
      <c r="AL309" s="382"/>
      <c r="AM309" s="382"/>
      <c r="AN309" s="382"/>
      <c r="AO309" s="382"/>
      <c r="AP309" s="382"/>
      <c r="AQ309" s="382"/>
      <c r="AR309" s="382"/>
      <c r="AS309" s="382"/>
      <c r="AT309" s="382"/>
      <c r="AU309" s="382"/>
      <c r="AV309" s="382"/>
      <c r="AW309" s="382"/>
      <c r="AX309" s="382"/>
      <c r="AY309" s="382"/>
      <c r="AZ309" s="382"/>
      <c r="BA309" s="382"/>
      <c r="BB309" s="382"/>
      <c r="BC309" s="382"/>
      <c r="BD309" s="382"/>
      <c r="BE309" s="382"/>
      <c r="BF309" s="382"/>
      <c r="BG309" s="382"/>
      <c r="BH309" s="382"/>
      <c r="BI309" s="382"/>
      <c r="BJ309" s="382"/>
      <c r="BK309" s="382"/>
      <c r="BL309" s="382"/>
      <c r="BM309" s="382"/>
      <c r="BN309" s="382"/>
      <c r="BO309" s="382"/>
    </row>
    <row r="310" spans="1:67" s="88" customFormat="1" ht="10.55" customHeight="1" x14ac:dyDescent="0.2">
      <c r="A310" s="675"/>
      <c r="B310" s="2807"/>
      <c r="C310" s="2808"/>
      <c r="D310" s="2809"/>
      <c r="E310" s="2561"/>
      <c r="F310" s="2562"/>
      <c r="G310" s="1015"/>
      <c r="H310" s="524"/>
      <c r="I310" s="1409">
        <f t="shared" si="72"/>
        <v>0</v>
      </c>
      <c r="J310" s="1421">
        <f t="shared" si="73"/>
        <v>0</v>
      </c>
      <c r="K310" s="679"/>
      <c r="L310" s="1002"/>
      <c r="M310" s="1428">
        <f t="shared" si="74"/>
        <v>0</v>
      </c>
      <c r="N310" s="1110"/>
      <c r="O310" s="674">
        <f t="shared" si="75"/>
        <v>0</v>
      </c>
      <c r="P310" s="682"/>
      <c r="Q310" s="286"/>
      <c r="R310" s="287"/>
      <c r="S310" s="280"/>
      <c r="T310" s="280"/>
      <c r="U310" s="280"/>
      <c r="V310" s="280"/>
      <c r="W310" s="280"/>
      <c r="X310" s="280"/>
      <c r="Y310" s="280"/>
      <c r="Z310" s="284"/>
      <c r="AA310" s="284"/>
      <c r="AB310" s="284"/>
      <c r="AC310" s="284"/>
      <c r="AD310" s="284"/>
      <c r="AE310" s="284"/>
      <c r="AF310" s="447"/>
      <c r="AG310" s="447"/>
      <c r="AH310" s="447"/>
      <c r="AI310" s="382"/>
      <c r="AJ310" s="382"/>
      <c r="AK310" s="382"/>
      <c r="AL310" s="382"/>
      <c r="AM310" s="382"/>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row>
    <row r="311" spans="1:67" s="88" customFormat="1" ht="10.55" customHeight="1" x14ac:dyDescent="0.2">
      <c r="A311" s="675"/>
      <c r="B311" s="2807"/>
      <c r="C311" s="2808"/>
      <c r="D311" s="2809"/>
      <c r="E311" s="2561"/>
      <c r="F311" s="2562"/>
      <c r="G311" s="1015"/>
      <c r="H311" s="524"/>
      <c r="I311" s="1409">
        <f t="shared" si="72"/>
        <v>0</v>
      </c>
      <c r="J311" s="1421">
        <f t="shared" si="73"/>
        <v>0</v>
      </c>
      <c r="K311" s="679"/>
      <c r="L311" s="1002"/>
      <c r="M311" s="1428">
        <f t="shared" si="74"/>
        <v>0</v>
      </c>
      <c r="N311" s="1110"/>
      <c r="O311" s="674">
        <f t="shared" si="75"/>
        <v>0</v>
      </c>
      <c r="P311" s="682"/>
      <c r="Q311" s="286"/>
      <c r="R311" s="287"/>
      <c r="S311" s="280"/>
      <c r="T311" s="280"/>
      <c r="U311" s="280"/>
      <c r="V311" s="280"/>
      <c r="W311" s="280"/>
      <c r="X311" s="280"/>
      <c r="Y311" s="280"/>
      <c r="Z311" s="284"/>
      <c r="AA311" s="284"/>
      <c r="AB311" s="284"/>
      <c r="AC311" s="284"/>
      <c r="AD311" s="284"/>
      <c r="AE311" s="284"/>
      <c r="AF311" s="447"/>
      <c r="AG311" s="447"/>
      <c r="AH311" s="447"/>
      <c r="AI311" s="382"/>
      <c r="AJ311" s="382"/>
      <c r="AK311" s="382"/>
      <c r="AL311" s="382"/>
      <c r="AM311" s="382"/>
      <c r="AN311" s="382"/>
      <c r="AO311" s="382"/>
      <c r="AP311" s="382"/>
      <c r="AQ311" s="382"/>
      <c r="AR311" s="382"/>
      <c r="AS311" s="382"/>
      <c r="AT311" s="382"/>
      <c r="AU311" s="382"/>
      <c r="AV311" s="382"/>
      <c r="AW311" s="382"/>
      <c r="AX311" s="382"/>
      <c r="AY311" s="382"/>
      <c r="AZ311" s="382"/>
      <c r="BA311" s="382"/>
      <c r="BB311" s="382"/>
      <c r="BC311" s="382"/>
      <c r="BD311" s="382"/>
      <c r="BE311" s="382"/>
      <c r="BF311" s="382"/>
      <c r="BG311" s="382"/>
      <c r="BH311" s="382"/>
      <c r="BI311" s="382"/>
      <c r="BJ311" s="382"/>
      <c r="BK311" s="382"/>
      <c r="BL311" s="382"/>
      <c r="BM311" s="382"/>
      <c r="BN311" s="382"/>
      <c r="BO311" s="382"/>
    </row>
    <row r="312" spans="1:67" s="88" customFormat="1" ht="10.55" customHeight="1" x14ac:dyDescent="0.2">
      <c r="A312" s="675"/>
      <c r="B312" s="2807"/>
      <c r="C312" s="2808"/>
      <c r="D312" s="2809"/>
      <c r="E312" s="2561"/>
      <c r="F312" s="2562"/>
      <c r="G312" s="1015"/>
      <c r="H312" s="524"/>
      <c r="I312" s="1409">
        <f t="shared" si="72"/>
        <v>0</v>
      </c>
      <c r="J312" s="1421">
        <f t="shared" si="73"/>
        <v>0</v>
      </c>
      <c r="K312" s="679"/>
      <c r="L312" s="1002"/>
      <c r="M312" s="1428">
        <f t="shared" si="74"/>
        <v>0</v>
      </c>
      <c r="N312" s="1110"/>
      <c r="O312" s="674">
        <f t="shared" si="75"/>
        <v>0</v>
      </c>
      <c r="P312" s="682"/>
      <c r="Q312" s="286"/>
      <c r="R312" s="287"/>
      <c r="S312" s="280"/>
      <c r="T312" s="280"/>
      <c r="U312" s="280"/>
      <c r="V312" s="280"/>
      <c r="W312" s="280"/>
      <c r="X312" s="280"/>
      <c r="Y312" s="280"/>
      <c r="Z312" s="284"/>
      <c r="AA312" s="284"/>
      <c r="AB312" s="284"/>
      <c r="AC312" s="284"/>
      <c r="AD312" s="284"/>
      <c r="AE312" s="284"/>
      <c r="AF312" s="447"/>
      <c r="AG312" s="447"/>
      <c r="AH312" s="447"/>
      <c r="AI312" s="382"/>
      <c r="AJ312" s="382"/>
      <c r="AK312" s="382"/>
      <c r="AL312" s="382"/>
      <c r="AM312" s="382"/>
      <c r="AN312" s="382"/>
      <c r="AO312" s="382"/>
      <c r="AP312" s="382"/>
      <c r="AQ312" s="382"/>
      <c r="AR312" s="382"/>
      <c r="AS312" s="382"/>
      <c r="AT312" s="382"/>
      <c r="AU312" s="382"/>
      <c r="AV312" s="382"/>
      <c r="AW312" s="382"/>
      <c r="AX312" s="382"/>
      <c r="AY312" s="382"/>
      <c r="AZ312" s="382"/>
      <c r="BA312" s="382"/>
      <c r="BB312" s="382"/>
      <c r="BC312" s="382"/>
      <c r="BD312" s="382"/>
      <c r="BE312" s="382"/>
      <c r="BF312" s="382"/>
      <c r="BG312" s="382"/>
      <c r="BH312" s="382"/>
      <c r="BI312" s="382"/>
      <c r="BJ312" s="382"/>
      <c r="BK312" s="382"/>
      <c r="BL312" s="382"/>
      <c r="BM312" s="382"/>
      <c r="BN312" s="382"/>
      <c r="BO312" s="382"/>
    </row>
    <row r="313" spans="1:67" s="88" customFormat="1" ht="10.55" customHeight="1" x14ac:dyDescent="0.2">
      <c r="A313" s="675"/>
      <c r="B313" s="2807"/>
      <c r="C313" s="2808"/>
      <c r="D313" s="2809"/>
      <c r="E313" s="2561"/>
      <c r="F313" s="2562"/>
      <c r="G313" s="1015"/>
      <c r="H313" s="524"/>
      <c r="I313" s="1409">
        <f t="shared" si="72"/>
        <v>0</v>
      </c>
      <c r="J313" s="1421">
        <f t="shared" si="73"/>
        <v>0</v>
      </c>
      <c r="K313" s="679"/>
      <c r="L313" s="1002"/>
      <c r="M313" s="1428">
        <f t="shared" si="74"/>
        <v>0</v>
      </c>
      <c r="N313" s="1110"/>
      <c r="O313" s="674">
        <f t="shared" si="75"/>
        <v>0</v>
      </c>
      <c r="P313" s="682"/>
      <c r="Q313" s="286"/>
      <c r="R313" s="287"/>
      <c r="S313" s="280"/>
      <c r="T313" s="280"/>
      <c r="U313" s="280"/>
      <c r="V313" s="280"/>
      <c r="W313" s="280"/>
      <c r="X313" s="280"/>
      <c r="Y313" s="280"/>
      <c r="Z313" s="284"/>
      <c r="AA313" s="284"/>
      <c r="AB313" s="284"/>
      <c r="AC313" s="284"/>
      <c r="AD313" s="284"/>
      <c r="AE313" s="284"/>
      <c r="AF313" s="447"/>
      <c r="AG313" s="447"/>
      <c r="AH313" s="447"/>
      <c r="AI313" s="382"/>
      <c r="AJ313" s="382"/>
      <c r="AK313" s="382"/>
      <c r="AL313" s="382"/>
      <c r="AM313" s="382"/>
      <c r="AN313" s="382"/>
      <c r="AO313" s="382"/>
      <c r="AP313" s="382"/>
      <c r="AQ313" s="382"/>
      <c r="AR313" s="382"/>
      <c r="AS313" s="382"/>
      <c r="AT313" s="382"/>
      <c r="AU313" s="382"/>
      <c r="AV313" s="382"/>
      <c r="AW313" s="382"/>
      <c r="AX313" s="382"/>
      <c r="AY313" s="382"/>
      <c r="AZ313" s="382"/>
      <c r="BA313" s="382"/>
      <c r="BB313" s="382"/>
      <c r="BC313" s="382"/>
      <c r="BD313" s="382"/>
      <c r="BE313" s="382"/>
      <c r="BF313" s="382"/>
      <c r="BG313" s="382"/>
      <c r="BH313" s="382"/>
      <c r="BI313" s="382"/>
      <c r="BJ313" s="382"/>
      <c r="BK313" s="382"/>
      <c r="BL313" s="382"/>
      <c r="BM313" s="382"/>
      <c r="BN313" s="382"/>
      <c r="BO313" s="382"/>
    </row>
    <row r="314" spans="1:67" s="88" customFormat="1" ht="10.55" customHeight="1" x14ac:dyDescent="0.2">
      <c r="A314" s="675"/>
      <c r="B314" s="2807"/>
      <c r="C314" s="2808"/>
      <c r="D314" s="2809"/>
      <c r="E314" s="2561"/>
      <c r="F314" s="2562"/>
      <c r="G314" s="1015"/>
      <c r="H314" s="524"/>
      <c r="I314" s="1409">
        <f t="shared" si="72"/>
        <v>0</v>
      </c>
      <c r="J314" s="1421">
        <f t="shared" si="73"/>
        <v>0</v>
      </c>
      <c r="K314" s="679"/>
      <c r="L314" s="1002"/>
      <c r="M314" s="1428">
        <f t="shared" si="74"/>
        <v>0</v>
      </c>
      <c r="N314" s="1110"/>
      <c r="O314" s="674">
        <f t="shared" si="75"/>
        <v>0</v>
      </c>
      <c r="P314" s="682"/>
      <c r="Q314" s="286"/>
      <c r="R314" s="287"/>
      <c r="S314" s="280"/>
      <c r="T314" s="280"/>
      <c r="U314" s="280"/>
      <c r="V314" s="280"/>
      <c r="W314" s="280"/>
      <c r="X314" s="280"/>
      <c r="Y314" s="280"/>
      <c r="Z314" s="284"/>
      <c r="AA314" s="284"/>
      <c r="AB314" s="284"/>
      <c r="AC314" s="284"/>
      <c r="AD314" s="284"/>
      <c r="AE314" s="284"/>
      <c r="AF314" s="447"/>
      <c r="AG314" s="447"/>
      <c r="AH314" s="447"/>
      <c r="AI314" s="382"/>
      <c r="AJ314" s="382"/>
      <c r="AK314" s="382"/>
      <c r="AL314" s="382"/>
      <c r="AM314" s="382"/>
      <c r="AN314" s="382"/>
      <c r="AO314" s="382"/>
      <c r="AP314" s="382"/>
      <c r="AQ314" s="382"/>
      <c r="AR314" s="382"/>
      <c r="AS314" s="382"/>
      <c r="AT314" s="382"/>
      <c r="AU314" s="382"/>
      <c r="AV314" s="382"/>
      <c r="AW314" s="382"/>
      <c r="AX314" s="382"/>
      <c r="AY314" s="382"/>
      <c r="AZ314" s="382"/>
      <c r="BA314" s="382"/>
      <c r="BB314" s="382"/>
      <c r="BC314" s="382"/>
      <c r="BD314" s="382"/>
      <c r="BE314" s="382"/>
      <c r="BF314" s="382"/>
      <c r="BG314" s="382"/>
      <c r="BH314" s="382"/>
      <c r="BI314" s="382"/>
      <c r="BJ314" s="382"/>
      <c r="BK314" s="382"/>
      <c r="BL314" s="382"/>
      <c r="BM314" s="382"/>
      <c r="BN314" s="382"/>
      <c r="BO314" s="382"/>
    </row>
    <row r="315" spans="1:67" s="88" customFormat="1" ht="10.55" customHeight="1" x14ac:dyDescent="0.2">
      <c r="A315" s="511"/>
      <c r="B315" s="2884"/>
      <c r="C315" s="2885"/>
      <c r="D315" s="2886"/>
      <c r="E315" s="2793"/>
      <c r="F315" s="2794"/>
      <c r="G315" s="1018"/>
      <c r="H315" s="1019"/>
      <c r="I315" s="1436">
        <f t="shared" si="72"/>
        <v>0</v>
      </c>
      <c r="J315" s="1422"/>
      <c r="K315" s="680"/>
      <c r="L315" s="1020"/>
      <c r="M315" s="1429">
        <f t="shared" si="74"/>
        <v>0</v>
      </c>
      <c r="N315" s="1110"/>
      <c r="O315" s="674">
        <f t="shared" si="75"/>
        <v>0</v>
      </c>
      <c r="P315" s="682"/>
      <c r="Q315" s="286"/>
      <c r="R315" s="287"/>
      <c r="S315" s="280"/>
      <c r="T315" s="280"/>
      <c r="U315" s="280"/>
      <c r="V315" s="280"/>
      <c r="W315" s="280"/>
      <c r="X315" s="280"/>
      <c r="Y315" s="280"/>
      <c r="Z315" s="284"/>
      <c r="AA315" s="284"/>
      <c r="AB315" s="284"/>
      <c r="AC315" s="284"/>
      <c r="AD315" s="284"/>
      <c r="AE315" s="284"/>
      <c r="AF315" s="447"/>
      <c r="AG315" s="447"/>
      <c r="AH315" s="447"/>
      <c r="AI315" s="382"/>
      <c r="AJ315" s="382"/>
      <c r="AK315" s="382"/>
      <c r="AL315" s="382"/>
      <c r="AM315" s="382"/>
      <c r="AN315" s="382"/>
      <c r="AO315" s="382"/>
      <c r="AP315" s="382"/>
      <c r="AQ315" s="382"/>
      <c r="AR315" s="382"/>
      <c r="AS315" s="382"/>
      <c r="AT315" s="382"/>
      <c r="AU315" s="382"/>
      <c r="AV315" s="382"/>
      <c r="AW315" s="382"/>
      <c r="AX315" s="382"/>
      <c r="AY315" s="382"/>
      <c r="AZ315" s="382"/>
      <c r="BA315" s="382"/>
      <c r="BB315" s="382"/>
      <c r="BC315" s="382"/>
      <c r="BD315" s="382"/>
      <c r="BE315" s="382"/>
      <c r="BF315" s="382"/>
      <c r="BG315" s="382"/>
      <c r="BH315" s="382"/>
      <c r="BI315" s="382"/>
      <c r="BJ315" s="382"/>
      <c r="BK315" s="382"/>
      <c r="BL315" s="382"/>
      <c r="BM315" s="382"/>
      <c r="BN315" s="382"/>
      <c r="BO315" s="382"/>
    </row>
    <row r="316" spans="1:67" s="88" customFormat="1" ht="10.55" customHeight="1" x14ac:dyDescent="0.2">
      <c r="A316" s="1145" t="s">
        <v>425</v>
      </c>
      <c r="B316" s="2783"/>
      <c r="C316" s="2784"/>
      <c r="D316" s="2785"/>
      <c r="E316" s="2810">
        <f>SUM(E317:E329)</f>
        <v>0</v>
      </c>
      <c r="F316" s="2811"/>
      <c r="G316" s="2747"/>
      <c r="H316" s="2748"/>
      <c r="I316" s="1435">
        <f>IF(E316=0,0,J316/E316)</f>
        <v>0</v>
      </c>
      <c r="J316" s="1423">
        <f>SUM(J317:J329)</f>
        <v>0</v>
      </c>
      <c r="K316" s="2749">
        <f>IF(E316=0,0,M316/E316*100)</f>
        <v>0</v>
      </c>
      <c r="L316" s="2750"/>
      <c r="M316" s="1430">
        <f>SUM(M317:M329)</f>
        <v>0</v>
      </c>
      <c r="N316" s="1110"/>
      <c r="O316" s="387">
        <f>IF(H316="",G316,H316)</f>
        <v>0</v>
      </c>
      <c r="P316" s="682"/>
      <c r="Q316" s="286"/>
      <c r="R316" s="287"/>
      <c r="S316" s="280"/>
      <c r="T316" s="280"/>
      <c r="U316" s="280"/>
      <c r="V316" s="280"/>
      <c r="W316" s="280"/>
      <c r="X316" s="280"/>
      <c r="Y316" s="280"/>
      <c r="Z316" s="284"/>
      <c r="AA316" s="284"/>
      <c r="AB316" s="284"/>
      <c r="AC316" s="284"/>
      <c r="AD316" s="284"/>
      <c r="AE316" s="284"/>
      <c r="AF316" s="447"/>
      <c r="AG316" s="447"/>
      <c r="AH316" s="447"/>
      <c r="AI316" s="382"/>
      <c r="AJ316" s="382"/>
      <c r="AK316" s="382"/>
      <c r="AL316" s="382"/>
      <c r="AM316" s="382"/>
      <c r="AN316" s="382"/>
      <c r="AO316" s="382"/>
      <c r="AP316" s="382"/>
      <c r="AQ316" s="382"/>
      <c r="AR316" s="382"/>
      <c r="AS316" s="382"/>
      <c r="AT316" s="382"/>
      <c r="AU316" s="382"/>
      <c r="AV316" s="382"/>
      <c r="AW316" s="382"/>
      <c r="AX316" s="382"/>
      <c r="AY316" s="382"/>
      <c r="AZ316" s="382"/>
      <c r="BA316" s="382"/>
      <c r="BB316" s="382"/>
      <c r="BC316" s="382"/>
      <c r="BD316" s="382"/>
      <c r="BE316" s="382"/>
      <c r="BF316" s="382"/>
      <c r="BG316" s="382"/>
      <c r="BH316" s="382"/>
      <c r="BI316" s="382"/>
      <c r="BJ316" s="382"/>
      <c r="BK316" s="382"/>
      <c r="BL316" s="382"/>
      <c r="BM316" s="382"/>
      <c r="BN316" s="382"/>
      <c r="BO316" s="382"/>
    </row>
    <row r="317" spans="1:67" s="88" customFormat="1" ht="10.55" customHeight="1" x14ac:dyDescent="0.2">
      <c r="A317" s="512" t="s">
        <v>426</v>
      </c>
      <c r="B317" s="2790"/>
      <c r="C317" s="2791"/>
      <c r="D317" s="2792"/>
      <c r="E317" s="2734"/>
      <c r="F317" s="2735"/>
      <c r="G317" s="1785">
        <v>15</v>
      </c>
      <c r="H317" s="524"/>
      <c r="I317" s="1409">
        <f t="shared" ref="I317:I330" si="76">IF($O317&gt;0,-PMT(($I$9),$O317,1),0)</f>
        <v>8.0766456051533542E-2</v>
      </c>
      <c r="J317" s="1421">
        <f t="shared" ref="J317:J329" si="77">ROUND(E317*I317,0)</f>
        <v>0</v>
      </c>
      <c r="K317" s="687"/>
      <c r="L317" s="1003"/>
      <c r="M317" s="1428">
        <f t="shared" ref="M317:M330" si="78">ROUND(E317/100*IF(ISBLANK(L317),K317,L317),0)</f>
        <v>0</v>
      </c>
      <c r="N317" s="1110"/>
      <c r="O317" s="674">
        <f t="shared" ref="O317:O330" si="79">IF(ISBLANK(H317),G317,H317)</f>
        <v>15</v>
      </c>
      <c r="P317" s="682"/>
      <c r="Q317" s="286"/>
      <c r="R317" s="287"/>
      <c r="S317" s="280"/>
      <c r="T317" s="280"/>
      <c r="U317" s="280"/>
      <c r="V317" s="280"/>
      <c r="W317" s="280"/>
      <c r="X317" s="280"/>
      <c r="Y317" s="280"/>
      <c r="Z317" s="284"/>
      <c r="AA317" s="284"/>
      <c r="AB317" s="284"/>
      <c r="AC317" s="284"/>
      <c r="AD317" s="284"/>
      <c r="AE317" s="284"/>
      <c r="AF317" s="447"/>
      <c r="AG317" s="447"/>
      <c r="AH317" s="447"/>
      <c r="AI317" s="382"/>
      <c r="AJ317" s="382"/>
      <c r="AK317" s="382"/>
      <c r="AL317" s="382"/>
      <c r="AM317" s="382"/>
      <c r="AN317" s="382"/>
      <c r="AO317" s="382"/>
      <c r="AP317" s="382"/>
      <c r="AQ317" s="382"/>
      <c r="AR317" s="382"/>
      <c r="AS317" s="382"/>
      <c r="AT317" s="382"/>
      <c r="AU317" s="382"/>
      <c r="AV317" s="382"/>
      <c r="AW317" s="382"/>
      <c r="AX317" s="382"/>
      <c r="AY317" s="382"/>
      <c r="AZ317" s="382"/>
      <c r="BA317" s="382"/>
      <c r="BB317" s="382"/>
      <c r="BC317" s="382"/>
      <c r="BD317" s="382"/>
      <c r="BE317" s="382"/>
      <c r="BF317" s="382"/>
      <c r="BG317" s="382"/>
      <c r="BH317" s="382"/>
      <c r="BI317" s="382"/>
      <c r="BJ317" s="382"/>
      <c r="BK317" s="382"/>
      <c r="BL317" s="382"/>
      <c r="BM317" s="382"/>
      <c r="BN317" s="382"/>
      <c r="BO317" s="382"/>
    </row>
    <row r="318" spans="1:67" s="88" customFormat="1" ht="10.55" customHeight="1" x14ac:dyDescent="0.2">
      <c r="A318" s="512" t="s">
        <v>427</v>
      </c>
      <c r="B318" s="2807"/>
      <c r="C318" s="2808"/>
      <c r="D318" s="2809"/>
      <c r="E318" s="2561"/>
      <c r="F318" s="2562"/>
      <c r="G318" s="1785">
        <v>15</v>
      </c>
      <c r="H318" s="524"/>
      <c r="I318" s="1409">
        <f t="shared" si="76"/>
        <v>8.0766456051533542E-2</v>
      </c>
      <c r="J318" s="1421">
        <f t="shared" si="77"/>
        <v>0</v>
      </c>
      <c r="K318" s="678">
        <v>0.5</v>
      </c>
      <c r="L318" s="1002"/>
      <c r="M318" s="1428">
        <f t="shared" si="78"/>
        <v>0</v>
      </c>
      <c r="N318" s="1110"/>
      <c r="O318" s="674">
        <f t="shared" si="79"/>
        <v>15</v>
      </c>
      <c r="P318" s="682"/>
      <c r="Q318" s="286"/>
      <c r="R318" s="287"/>
      <c r="S318" s="280"/>
      <c r="T318" s="280"/>
      <c r="U318" s="280"/>
      <c r="V318" s="280"/>
      <c r="W318" s="280"/>
      <c r="X318" s="280"/>
      <c r="Y318" s="280"/>
      <c r="Z318" s="284"/>
      <c r="AA318" s="284"/>
      <c r="AB318" s="284"/>
      <c r="AC318" s="284"/>
      <c r="AD318" s="284"/>
      <c r="AE318" s="284"/>
      <c r="AF318" s="447"/>
      <c r="AG318" s="447"/>
      <c r="AH318" s="447"/>
      <c r="AI318" s="382"/>
      <c r="AJ318" s="382"/>
      <c r="AK318" s="382"/>
      <c r="AL318" s="382"/>
      <c r="AM318" s="382"/>
      <c r="AN318" s="382"/>
      <c r="AO318" s="382"/>
      <c r="AP318" s="382"/>
      <c r="AQ318" s="382"/>
      <c r="AR318" s="382"/>
      <c r="AS318" s="382"/>
      <c r="AT318" s="382"/>
      <c r="AU318" s="382"/>
      <c r="AV318" s="382"/>
      <c r="AW318" s="382"/>
      <c r="AX318" s="382"/>
      <c r="AY318" s="382"/>
      <c r="AZ318" s="382"/>
      <c r="BA318" s="382"/>
      <c r="BB318" s="382"/>
      <c r="BC318" s="382"/>
      <c r="BD318" s="382"/>
      <c r="BE318" s="382"/>
      <c r="BF318" s="382"/>
      <c r="BG318" s="382"/>
      <c r="BH318" s="382"/>
      <c r="BI318" s="382"/>
      <c r="BJ318" s="382"/>
      <c r="BK318" s="382"/>
      <c r="BL318" s="382"/>
      <c r="BM318" s="382"/>
      <c r="BN318" s="382"/>
      <c r="BO318" s="382"/>
    </row>
    <row r="319" spans="1:67" s="88" customFormat="1" ht="10.55" customHeight="1" x14ac:dyDescent="0.2">
      <c r="A319" s="512" t="s">
        <v>428</v>
      </c>
      <c r="B319" s="2807"/>
      <c r="C319" s="2808"/>
      <c r="D319" s="2809"/>
      <c r="E319" s="2561"/>
      <c r="F319" s="2562"/>
      <c r="G319" s="1785">
        <v>15</v>
      </c>
      <c r="H319" s="524"/>
      <c r="I319" s="1409">
        <f t="shared" si="76"/>
        <v>8.0766456051533542E-2</v>
      </c>
      <c r="J319" s="1421">
        <f t="shared" si="77"/>
        <v>0</v>
      </c>
      <c r="K319" s="678"/>
      <c r="L319" s="1002"/>
      <c r="M319" s="1428">
        <f t="shared" si="78"/>
        <v>0</v>
      </c>
      <c r="N319" s="1110"/>
      <c r="O319" s="674">
        <f t="shared" si="79"/>
        <v>15</v>
      </c>
      <c r="P319" s="682"/>
      <c r="Q319" s="286"/>
      <c r="R319" s="287"/>
      <c r="S319" s="280"/>
      <c r="T319" s="280"/>
      <c r="U319" s="280"/>
      <c r="V319" s="280"/>
      <c r="W319" s="280"/>
      <c r="X319" s="280"/>
      <c r="Y319" s="280"/>
      <c r="Z319" s="284"/>
      <c r="AA319" s="284"/>
      <c r="AB319" s="284"/>
      <c r="AC319" s="284"/>
      <c r="AD319" s="284"/>
      <c r="AE319" s="284"/>
      <c r="AF319" s="447"/>
      <c r="AG319" s="447"/>
      <c r="AH319" s="447"/>
      <c r="AI319" s="382"/>
      <c r="AJ319" s="382"/>
      <c r="AK319" s="382"/>
      <c r="AL319" s="382"/>
      <c r="AM319" s="382"/>
      <c r="AN319" s="382"/>
      <c r="AO319" s="382"/>
      <c r="AP319" s="382"/>
      <c r="AQ319" s="382"/>
      <c r="AR319" s="382"/>
      <c r="AS319" s="382"/>
      <c r="AT319" s="382"/>
      <c r="AU319" s="382"/>
      <c r="AV319" s="382"/>
      <c r="AW319" s="382"/>
      <c r="AX319" s="382"/>
      <c r="AY319" s="382"/>
      <c r="AZ319" s="382"/>
      <c r="BA319" s="382"/>
      <c r="BB319" s="382"/>
      <c r="BC319" s="382"/>
      <c r="BD319" s="382"/>
      <c r="BE319" s="382"/>
      <c r="BF319" s="382"/>
      <c r="BG319" s="382"/>
      <c r="BH319" s="382"/>
      <c r="BI319" s="382"/>
      <c r="BJ319" s="382"/>
      <c r="BK319" s="382"/>
      <c r="BL319" s="382"/>
      <c r="BM319" s="382"/>
      <c r="BN319" s="382"/>
      <c r="BO319" s="382"/>
    </row>
    <row r="320" spans="1:67" s="88" customFormat="1" ht="10.55" customHeight="1" x14ac:dyDescent="0.2">
      <c r="A320" s="512" t="s">
        <v>429</v>
      </c>
      <c r="B320" s="2807"/>
      <c r="C320" s="2808"/>
      <c r="D320" s="2809"/>
      <c r="E320" s="2561"/>
      <c r="F320" s="2562"/>
      <c r="G320" s="1785">
        <v>30</v>
      </c>
      <c r="H320" s="524"/>
      <c r="I320" s="1409">
        <f t="shared" si="76"/>
        <v>4.7777640736176463E-2</v>
      </c>
      <c r="J320" s="1421">
        <f t="shared" si="77"/>
        <v>0</v>
      </c>
      <c r="K320" s="678">
        <v>0.5</v>
      </c>
      <c r="L320" s="1002"/>
      <c r="M320" s="1428">
        <f t="shared" si="78"/>
        <v>0</v>
      </c>
      <c r="N320" s="1110"/>
      <c r="O320" s="674">
        <f t="shared" si="79"/>
        <v>30</v>
      </c>
      <c r="P320" s="682"/>
      <c r="Q320" s="286"/>
      <c r="R320" s="287"/>
      <c r="S320" s="280"/>
      <c r="T320" s="280"/>
      <c r="U320" s="280"/>
      <c r="V320" s="280"/>
      <c r="W320" s="280"/>
      <c r="X320" s="280"/>
      <c r="Y320" s="280"/>
      <c r="Z320" s="284"/>
      <c r="AA320" s="284"/>
      <c r="AB320" s="284"/>
      <c r="AC320" s="284"/>
      <c r="AD320" s="284"/>
      <c r="AE320" s="284"/>
      <c r="AF320" s="447"/>
      <c r="AG320" s="447"/>
      <c r="AH320" s="447"/>
      <c r="AI320" s="382"/>
      <c r="AJ320" s="382"/>
      <c r="AK320" s="382"/>
      <c r="AL320" s="382"/>
      <c r="AM320" s="382"/>
      <c r="AN320" s="382"/>
      <c r="AO320" s="382"/>
      <c r="AP320" s="382"/>
      <c r="AQ320" s="382"/>
      <c r="AR320" s="382"/>
      <c r="AS320" s="382"/>
      <c r="AT320" s="382"/>
      <c r="AU320" s="382"/>
      <c r="AV320" s="382"/>
      <c r="AW320" s="382"/>
      <c r="AX320" s="382"/>
      <c r="AY320" s="382"/>
      <c r="AZ320" s="382"/>
      <c r="BA320" s="382"/>
      <c r="BB320" s="382"/>
      <c r="BC320" s="382"/>
      <c r="BD320" s="382"/>
      <c r="BE320" s="382"/>
      <c r="BF320" s="382"/>
      <c r="BG320" s="382"/>
      <c r="BH320" s="382"/>
      <c r="BI320" s="382"/>
      <c r="BJ320" s="382"/>
      <c r="BK320" s="382"/>
      <c r="BL320" s="382"/>
      <c r="BM320" s="382"/>
      <c r="BN320" s="382"/>
      <c r="BO320" s="382"/>
    </row>
    <row r="321" spans="1:67" s="88" customFormat="1" ht="10.55" customHeight="1" x14ac:dyDescent="0.2">
      <c r="A321" s="675"/>
      <c r="B321" s="2807"/>
      <c r="C321" s="2808"/>
      <c r="D321" s="2809"/>
      <c r="E321" s="2561"/>
      <c r="F321" s="2562"/>
      <c r="G321" s="1015"/>
      <c r="H321" s="524"/>
      <c r="I321" s="1409">
        <f t="shared" si="76"/>
        <v>0</v>
      </c>
      <c r="J321" s="1421">
        <f t="shared" si="77"/>
        <v>0</v>
      </c>
      <c r="K321" s="679"/>
      <c r="L321" s="1002"/>
      <c r="M321" s="1428">
        <f t="shared" si="78"/>
        <v>0</v>
      </c>
      <c r="N321" s="1110"/>
      <c r="O321" s="674">
        <f t="shared" si="79"/>
        <v>0</v>
      </c>
      <c r="P321" s="682"/>
      <c r="Q321" s="286"/>
      <c r="R321" s="287"/>
      <c r="S321" s="280"/>
      <c r="T321" s="280"/>
      <c r="U321" s="280"/>
      <c r="V321" s="280"/>
      <c r="W321" s="280"/>
      <c r="X321" s="280"/>
      <c r="Y321" s="280"/>
      <c r="Z321" s="284"/>
      <c r="AA321" s="284"/>
      <c r="AB321" s="284"/>
      <c r="AC321" s="284"/>
      <c r="AD321" s="284"/>
      <c r="AE321" s="284"/>
      <c r="AF321" s="447"/>
      <c r="AG321" s="447"/>
      <c r="AH321" s="447"/>
      <c r="AI321" s="382"/>
      <c r="AJ321" s="382"/>
      <c r="AK321" s="382"/>
      <c r="AL321" s="382"/>
      <c r="AM321" s="382"/>
      <c r="AN321" s="382"/>
      <c r="AO321" s="382"/>
      <c r="AP321" s="382"/>
      <c r="AQ321" s="382"/>
      <c r="AR321" s="382"/>
      <c r="AS321" s="382"/>
      <c r="AT321" s="382"/>
      <c r="AU321" s="382"/>
      <c r="AV321" s="382"/>
      <c r="AW321" s="382"/>
      <c r="AX321" s="382"/>
      <c r="AY321" s="382"/>
      <c r="AZ321" s="382"/>
      <c r="BA321" s="382"/>
      <c r="BB321" s="382"/>
      <c r="BC321" s="382"/>
      <c r="BD321" s="382"/>
      <c r="BE321" s="382"/>
      <c r="BF321" s="382"/>
      <c r="BG321" s="382"/>
      <c r="BH321" s="382"/>
      <c r="BI321" s="382"/>
      <c r="BJ321" s="382"/>
      <c r="BK321" s="382"/>
      <c r="BL321" s="382"/>
      <c r="BM321" s="382"/>
      <c r="BN321" s="382"/>
      <c r="BO321" s="382"/>
    </row>
    <row r="322" spans="1:67" s="88" customFormat="1" ht="10.55" customHeight="1" x14ac:dyDescent="0.2">
      <c r="A322" s="675"/>
      <c r="B322" s="2807"/>
      <c r="C322" s="2808"/>
      <c r="D322" s="2809"/>
      <c r="E322" s="2561"/>
      <c r="F322" s="2562"/>
      <c r="G322" s="1015"/>
      <c r="H322" s="524"/>
      <c r="I322" s="1409">
        <f t="shared" si="76"/>
        <v>0</v>
      </c>
      <c r="J322" s="1421">
        <f t="shared" si="77"/>
        <v>0</v>
      </c>
      <c r="K322" s="679"/>
      <c r="L322" s="1002"/>
      <c r="M322" s="1428">
        <f t="shared" si="78"/>
        <v>0</v>
      </c>
      <c r="N322" s="1110"/>
      <c r="O322" s="674">
        <f t="shared" si="79"/>
        <v>0</v>
      </c>
      <c r="P322" s="682"/>
      <c r="Q322" s="286"/>
      <c r="R322" s="287"/>
      <c r="S322" s="280"/>
      <c r="T322" s="280"/>
      <c r="U322" s="280"/>
      <c r="V322" s="280"/>
      <c r="W322" s="280"/>
      <c r="X322" s="280"/>
      <c r="Y322" s="280"/>
      <c r="Z322" s="284"/>
      <c r="AA322" s="284"/>
      <c r="AB322" s="284"/>
      <c r="AC322" s="284"/>
      <c r="AD322" s="284"/>
      <c r="AE322" s="284"/>
      <c r="AF322" s="447"/>
      <c r="AG322" s="447"/>
      <c r="AH322" s="447"/>
      <c r="AI322" s="382"/>
      <c r="AJ322" s="382"/>
      <c r="AK322" s="382"/>
      <c r="AL322" s="382"/>
      <c r="AM322" s="382"/>
      <c r="AN322" s="382"/>
      <c r="AO322" s="382"/>
      <c r="AP322" s="382"/>
      <c r="AQ322" s="382"/>
      <c r="AR322" s="382"/>
      <c r="AS322" s="382"/>
      <c r="AT322" s="382"/>
      <c r="AU322" s="382"/>
      <c r="AV322" s="382"/>
      <c r="AW322" s="382"/>
      <c r="AX322" s="382"/>
      <c r="AY322" s="382"/>
      <c r="AZ322" s="382"/>
      <c r="BA322" s="382"/>
      <c r="BB322" s="382"/>
      <c r="BC322" s="382"/>
      <c r="BD322" s="382"/>
      <c r="BE322" s="382"/>
      <c r="BF322" s="382"/>
      <c r="BG322" s="382"/>
      <c r="BH322" s="382"/>
      <c r="BI322" s="382"/>
      <c r="BJ322" s="382"/>
      <c r="BK322" s="382"/>
      <c r="BL322" s="382"/>
      <c r="BM322" s="382"/>
      <c r="BN322" s="382"/>
      <c r="BO322" s="382"/>
    </row>
    <row r="323" spans="1:67" s="88" customFormat="1" ht="10.55" customHeight="1" x14ac:dyDescent="0.2">
      <c r="A323" s="675"/>
      <c r="B323" s="2807"/>
      <c r="C323" s="2808"/>
      <c r="D323" s="2809"/>
      <c r="E323" s="2561"/>
      <c r="F323" s="2562"/>
      <c r="G323" s="1015"/>
      <c r="H323" s="524"/>
      <c r="I323" s="1409">
        <f t="shared" si="76"/>
        <v>0</v>
      </c>
      <c r="J323" s="1421">
        <f t="shared" si="77"/>
        <v>0</v>
      </c>
      <c r="K323" s="679"/>
      <c r="L323" s="1002"/>
      <c r="M323" s="1428">
        <f t="shared" si="78"/>
        <v>0</v>
      </c>
      <c r="N323" s="1110"/>
      <c r="O323" s="674">
        <f t="shared" si="79"/>
        <v>0</v>
      </c>
      <c r="P323" s="682"/>
      <c r="Q323" s="286"/>
      <c r="R323" s="287"/>
      <c r="S323" s="280"/>
      <c r="T323" s="280"/>
      <c r="U323" s="280"/>
      <c r="V323" s="280"/>
      <c r="W323" s="280"/>
      <c r="X323" s="280"/>
      <c r="Y323" s="280"/>
      <c r="Z323" s="284"/>
      <c r="AA323" s="284"/>
      <c r="AB323" s="284"/>
      <c r="AC323" s="284"/>
      <c r="AD323" s="284"/>
      <c r="AE323" s="284"/>
      <c r="AF323" s="447"/>
      <c r="AG323" s="447"/>
      <c r="AH323" s="447"/>
      <c r="AI323" s="382"/>
      <c r="AJ323" s="382"/>
      <c r="AK323" s="382"/>
      <c r="AL323" s="382"/>
      <c r="AM323" s="382"/>
      <c r="AN323" s="382"/>
      <c r="AO323" s="382"/>
      <c r="AP323" s="382"/>
      <c r="AQ323" s="382"/>
      <c r="AR323" s="382"/>
      <c r="AS323" s="382"/>
      <c r="AT323" s="382"/>
      <c r="AU323" s="382"/>
      <c r="AV323" s="382"/>
      <c r="AW323" s="382"/>
      <c r="AX323" s="382"/>
      <c r="AY323" s="382"/>
      <c r="AZ323" s="382"/>
      <c r="BA323" s="382"/>
      <c r="BB323" s="382"/>
      <c r="BC323" s="382"/>
      <c r="BD323" s="382"/>
      <c r="BE323" s="382"/>
      <c r="BF323" s="382"/>
      <c r="BG323" s="382"/>
      <c r="BH323" s="382"/>
      <c r="BI323" s="382"/>
      <c r="BJ323" s="382"/>
      <c r="BK323" s="382"/>
      <c r="BL323" s="382"/>
      <c r="BM323" s="382"/>
      <c r="BN323" s="382"/>
      <c r="BO323" s="382"/>
    </row>
    <row r="324" spans="1:67" s="88" customFormat="1" ht="10.55" customHeight="1" x14ac:dyDescent="0.2">
      <c r="A324" s="675"/>
      <c r="B324" s="2807"/>
      <c r="C324" s="2808"/>
      <c r="D324" s="2809"/>
      <c r="E324" s="2561"/>
      <c r="F324" s="2562"/>
      <c r="G324" s="1015"/>
      <c r="H324" s="524"/>
      <c r="I324" s="1409">
        <f t="shared" si="76"/>
        <v>0</v>
      </c>
      <c r="J324" s="1421">
        <f t="shared" si="77"/>
        <v>0</v>
      </c>
      <c r="K324" s="679"/>
      <c r="L324" s="1002"/>
      <c r="M324" s="1428">
        <f t="shared" si="78"/>
        <v>0</v>
      </c>
      <c r="N324" s="1110"/>
      <c r="O324" s="674">
        <f t="shared" si="79"/>
        <v>0</v>
      </c>
      <c r="P324" s="682"/>
      <c r="Q324" s="286"/>
      <c r="R324" s="287"/>
      <c r="S324" s="280"/>
      <c r="T324" s="280"/>
      <c r="U324" s="280"/>
      <c r="V324" s="280"/>
      <c r="W324" s="280"/>
      <c r="X324" s="280"/>
      <c r="Y324" s="280"/>
      <c r="Z324" s="284"/>
      <c r="AA324" s="284"/>
      <c r="AB324" s="284"/>
      <c r="AC324" s="284"/>
      <c r="AD324" s="284"/>
      <c r="AE324" s="284"/>
      <c r="AF324" s="447"/>
      <c r="AG324" s="447"/>
      <c r="AH324" s="447"/>
      <c r="AI324" s="382"/>
      <c r="AJ324" s="382"/>
      <c r="AK324" s="382"/>
      <c r="AL324" s="382"/>
      <c r="AM324" s="382"/>
      <c r="AN324" s="382"/>
      <c r="AO324" s="382"/>
      <c r="AP324" s="382"/>
      <c r="AQ324" s="382"/>
      <c r="AR324" s="382"/>
      <c r="AS324" s="382"/>
      <c r="AT324" s="382"/>
      <c r="AU324" s="382"/>
      <c r="AV324" s="382"/>
      <c r="AW324" s="382"/>
      <c r="AX324" s="382"/>
      <c r="AY324" s="382"/>
      <c r="AZ324" s="382"/>
      <c r="BA324" s="382"/>
      <c r="BB324" s="382"/>
      <c r="BC324" s="382"/>
      <c r="BD324" s="382"/>
      <c r="BE324" s="382"/>
      <c r="BF324" s="382"/>
      <c r="BG324" s="382"/>
      <c r="BH324" s="382"/>
      <c r="BI324" s="382"/>
      <c r="BJ324" s="382"/>
      <c r="BK324" s="382"/>
      <c r="BL324" s="382"/>
      <c r="BM324" s="382"/>
      <c r="BN324" s="382"/>
      <c r="BO324" s="382"/>
    </row>
    <row r="325" spans="1:67" s="88" customFormat="1" ht="10.55" customHeight="1" x14ac:dyDescent="0.2">
      <c r="A325" s="675"/>
      <c r="B325" s="2807"/>
      <c r="C325" s="2808"/>
      <c r="D325" s="2809"/>
      <c r="E325" s="2561"/>
      <c r="F325" s="2562"/>
      <c r="G325" s="1015"/>
      <c r="H325" s="524"/>
      <c r="I325" s="1409">
        <f t="shared" si="76"/>
        <v>0</v>
      </c>
      <c r="J325" s="1421">
        <f t="shared" si="77"/>
        <v>0</v>
      </c>
      <c r="K325" s="679"/>
      <c r="L325" s="1002"/>
      <c r="M325" s="1428">
        <f t="shared" si="78"/>
        <v>0</v>
      </c>
      <c r="N325" s="1110"/>
      <c r="O325" s="674">
        <f t="shared" si="79"/>
        <v>0</v>
      </c>
      <c r="P325" s="682"/>
      <c r="Q325" s="286"/>
      <c r="R325" s="287"/>
      <c r="S325" s="280"/>
      <c r="T325" s="280"/>
      <c r="U325" s="280"/>
      <c r="V325" s="280"/>
      <c r="W325" s="280"/>
      <c r="X325" s="280"/>
      <c r="Y325" s="280"/>
      <c r="Z325" s="284"/>
      <c r="AA325" s="284"/>
      <c r="AB325" s="284"/>
      <c r="AC325" s="284"/>
      <c r="AD325" s="284"/>
      <c r="AE325" s="284"/>
      <c r="AF325" s="447"/>
      <c r="AG325" s="447"/>
      <c r="AH325" s="447"/>
      <c r="AI325" s="382"/>
      <c r="AJ325" s="382"/>
      <c r="AK325" s="382"/>
      <c r="AL325" s="382"/>
      <c r="AM325" s="382"/>
      <c r="AN325" s="382"/>
      <c r="AO325" s="382"/>
      <c r="AP325" s="382"/>
      <c r="AQ325" s="382"/>
      <c r="AR325" s="382"/>
      <c r="AS325" s="382"/>
      <c r="AT325" s="382"/>
      <c r="AU325" s="382"/>
      <c r="AV325" s="382"/>
      <c r="AW325" s="382"/>
      <c r="AX325" s="382"/>
      <c r="AY325" s="382"/>
      <c r="AZ325" s="382"/>
      <c r="BA325" s="382"/>
      <c r="BB325" s="382"/>
      <c r="BC325" s="382"/>
      <c r="BD325" s="382"/>
      <c r="BE325" s="382"/>
      <c r="BF325" s="382"/>
      <c r="BG325" s="382"/>
      <c r="BH325" s="382"/>
      <c r="BI325" s="382"/>
      <c r="BJ325" s="382"/>
      <c r="BK325" s="382"/>
      <c r="BL325" s="382"/>
      <c r="BM325" s="382"/>
      <c r="BN325" s="382"/>
      <c r="BO325" s="382"/>
    </row>
    <row r="326" spans="1:67" s="88" customFormat="1" ht="10.55" customHeight="1" x14ac:dyDescent="0.2">
      <c r="A326" s="675"/>
      <c r="B326" s="2807"/>
      <c r="C326" s="2808"/>
      <c r="D326" s="2809"/>
      <c r="E326" s="2561"/>
      <c r="F326" s="2562"/>
      <c r="G326" s="1015"/>
      <c r="H326" s="524"/>
      <c r="I326" s="1409">
        <f t="shared" si="76"/>
        <v>0</v>
      </c>
      <c r="J326" s="1421">
        <f t="shared" si="77"/>
        <v>0</v>
      </c>
      <c r="K326" s="679"/>
      <c r="L326" s="1002"/>
      <c r="M326" s="1428">
        <f t="shared" si="78"/>
        <v>0</v>
      </c>
      <c r="N326" s="1110"/>
      <c r="O326" s="674">
        <f t="shared" si="79"/>
        <v>0</v>
      </c>
      <c r="P326" s="682"/>
      <c r="Q326" s="286"/>
      <c r="R326" s="287"/>
      <c r="S326" s="280"/>
      <c r="T326" s="280"/>
      <c r="U326" s="280"/>
      <c r="V326" s="280"/>
      <c r="W326" s="280"/>
      <c r="X326" s="280"/>
      <c r="Y326" s="280"/>
      <c r="Z326" s="284"/>
      <c r="AA326" s="284"/>
      <c r="AB326" s="284"/>
      <c r="AC326" s="284"/>
      <c r="AD326" s="284"/>
      <c r="AE326" s="284"/>
      <c r="AF326" s="447"/>
      <c r="AG326" s="447"/>
      <c r="AH326" s="447"/>
      <c r="AI326" s="382"/>
      <c r="AJ326" s="382"/>
      <c r="AK326" s="382"/>
      <c r="AL326" s="382"/>
      <c r="AM326" s="382"/>
      <c r="AN326" s="382"/>
      <c r="AO326" s="382"/>
      <c r="AP326" s="382"/>
      <c r="AQ326" s="382"/>
      <c r="AR326" s="382"/>
      <c r="AS326" s="382"/>
      <c r="AT326" s="382"/>
      <c r="AU326" s="382"/>
      <c r="AV326" s="382"/>
      <c r="AW326" s="382"/>
      <c r="AX326" s="382"/>
      <c r="AY326" s="382"/>
      <c r="AZ326" s="382"/>
      <c r="BA326" s="382"/>
      <c r="BB326" s="382"/>
      <c r="BC326" s="382"/>
      <c r="BD326" s="382"/>
      <c r="BE326" s="382"/>
      <c r="BF326" s="382"/>
      <c r="BG326" s="382"/>
      <c r="BH326" s="382"/>
      <c r="BI326" s="382"/>
      <c r="BJ326" s="382"/>
      <c r="BK326" s="382"/>
      <c r="BL326" s="382"/>
      <c r="BM326" s="382"/>
      <c r="BN326" s="382"/>
      <c r="BO326" s="382"/>
    </row>
    <row r="327" spans="1:67" s="88" customFormat="1" ht="10.55" customHeight="1" x14ac:dyDescent="0.2">
      <c r="A327" s="675"/>
      <c r="B327" s="2807"/>
      <c r="C327" s="2808"/>
      <c r="D327" s="2809"/>
      <c r="E327" s="2561"/>
      <c r="F327" s="2562"/>
      <c r="G327" s="1015"/>
      <c r="H327" s="524"/>
      <c r="I327" s="1409">
        <f t="shared" si="76"/>
        <v>0</v>
      </c>
      <c r="J327" s="1421">
        <f t="shared" si="77"/>
        <v>0</v>
      </c>
      <c r="K327" s="679"/>
      <c r="L327" s="1002"/>
      <c r="M327" s="1428">
        <f t="shared" si="78"/>
        <v>0</v>
      </c>
      <c r="N327" s="1110"/>
      <c r="O327" s="674">
        <f t="shared" si="79"/>
        <v>0</v>
      </c>
      <c r="P327" s="682"/>
      <c r="Q327" s="286"/>
      <c r="R327" s="287"/>
      <c r="S327" s="280"/>
      <c r="T327" s="280"/>
      <c r="U327" s="280"/>
      <c r="V327" s="280"/>
      <c r="W327" s="280"/>
      <c r="X327" s="280"/>
      <c r="Y327" s="280"/>
      <c r="Z327" s="284"/>
      <c r="AA327" s="284"/>
      <c r="AB327" s="284"/>
      <c r="AC327" s="284"/>
      <c r="AD327" s="284"/>
      <c r="AE327" s="284"/>
      <c r="AF327" s="447"/>
      <c r="AG327" s="447"/>
      <c r="AH327" s="447"/>
      <c r="AI327" s="382"/>
      <c r="AJ327" s="382"/>
      <c r="AK327" s="382"/>
      <c r="AL327" s="382"/>
      <c r="AM327" s="382"/>
      <c r="AN327" s="382"/>
      <c r="AO327" s="382"/>
      <c r="AP327" s="382"/>
      <c r="AQ327" s="382"/>
      <c r="AR327" s="382"/>
      <c r="AS327" s="382"/>
      <c r="AT327" s="382"/>
      <c r="AU327" s="382"/>
      <c r="AV327" s="382"/>
      <c r="AW327" s="382"/>
      <c r="AX327" s="382"/>
      <c r="AY327" s="382"/>
      <c r="AZ327" s="382"/>
      <c r="BA327" s="382"/>
      <c r="BB327" s="382"/>
      <c r="BC327" s="382"/>
      <c r="BD327" s="382"/>
      <c r="BE327" s="382"/>
      <c r="BF327" s="382"/>
      <c r="BG327" s="382"/>
      <c r="BH327" s="382"/>
      <c r="BI327" s="382"/>
      <c r="BJ327" s="382"/>
      <c r="BK327" s="382"/>
      <c r="BL327" s="382"/>
      <c r="BM327" s="382"/>
      <c r="BN327" s="382"/>
      <c r="BO327" s="382"/>
    </row>
    <row r="328" spans="1:67" s="88" customFormat="1" ht="10.55" customHeight="1" x14ac:dyDescent="0.2">
      <c r="A328" s="675"/>
      <c r="B328" s="2807"/>
      <c r="C328" s="2808"/>
      <c r="D328" s="2809"/>
      <c r="E328" s="2561"/>
      <c r="F328" s="2562"/>
      <c r="G328" s="1015"/>
      <c r="H328" s="524"/>
      <c r="I328" s="1409">
        <f t="shared" si="76"/>
        <v>0</v>
      </c>
      <c r="J328" s="1421">
        <f t="shared" si="77"/>
        <v>0</v>
      </c>
      <c r="K328" s="679"/>
      <c r="L328" s="1002"/>
      <c r="M328" s="1428">
        <f t="shared" si="78"/>
        <v>0</v>
      </c>
      <c r="N328" s="1110"/>
      <c r="O328" s="674">
        <f t="shared" si="79"/>
        <v>0</v>
      </c>
      <c r="P328" s="682"/>
      <c r="Q328" s="286"/>
      <c r="R328" s="287"/>
      <c r="S328" s="280"/>
      <c r="T328" s="280"/>
      <c r="U328" s="280"/>
      <c r="V328" s="280"/>
      <c r="W328" s="280"/>
      <c r="X328" s="280"/>
      <c r="Y328" s="280"/>
      <c r="Z328" s="284"/>
      <c r="AA328" s="284"/>
      <c r="AB328" s="284"/>
      <c r="AC328" s="284"/>
      <c r="AD328" s="284"/>
      <c r="AE328" s="284"/>
      <c r="AF328" s="447"/>
      <c r="AG328" s="447"/>
      <c r="AH328" s="447"/>
      <c r="AI328" s="382"/>
      <c r="AJ328" s="382"/>
      <c r="AK328" s="382"/>
      <c r="AL328" s="382"/>
      <c r="AM328" s="382"/>
      <c r="AN328" s="382"/>
      <c r="AO328" s="382"/>
      <c r="AP328" s="382"/>
      <c r="AQ328" s="382"/>
      <c r="AR328" s="382"/>
      <c r="AS328" s="382"/>
      <c r="AT328" s="382"/>
      <c r="AU328" s="382"/>
      <c r="AV328" s="382"/>
      <c r="AW328" s="382"/>
      <c r="AX328" s="382"/>
      <c r="AY328" s="382"/>
      <c r="AZ328" s="382"/>
      <c r="BA328" s="382"/>
      <c r="BB328" s="382"/>
      <c r="BC328" s="382"/>
      <c r="BD328" s="382"/>
      <c r="BE328" s="382"/>
      <c r="BF328" s="382"/>
      <c r="BG328" s="382"/>
      <c r="BH328" s="382"/>
      <c r="BI328" s="382"/>
      <c r="BJ328" s="382"/>
      <c r="BK328" s="382"/>
      <c r="BL328" s="382"/>
      <c r="BM328" s="382"/>
      <c r="BN328" s="382"/>
      <c r="BO328" s="382"/>
    </row>
    <row r="329" spans="1:67" s="88" customFormat="1" ht="10.55" customHeight="1" x14ac:dyDescent="0.2">
      <c r="A329" s="675"/>
      <c r="B329" s="2807"/>
      <c r="C329" s="2808"/>
      <c r="D329" s="2809"/>
      <c r="E329" s="2561"/>
      <c r="F329" s="2562"/>
      <c r="G329" s="1015"/>
      <c r="H329" s="524"/>
      <c r="I329" s="1409">
        <f t="shared" si="76"/>
        <v>0</v>
      </c>
      <c r="J329" s="1421">
        <f t="shared" si="77"/>
        <v>0</v>
      </c>
      <c r="K329" s="679"/>
      <c r="L329" s="1002"/>
      <c r="M329" s="1428">
        <f t="shared" si="78"/>
        <v>0</v>
      </c>
      <c r="N329" s="1110"/>
      <c r="O329" s="674">
        <f t="shared" si="79"/>
        <v>0</v>
      </c>
      <c r="P329" s="682"/>
      <c r="Q329" s="286"/>
      <c r="R329" s="287"/>
      <c r="S329" s="280"/>
      <c r="T329" s="280"/>
      <c r="U329" s="280"/>
      <c r="V329" s="280"/>
      <c r="W329" s="280"/>
      <c r="X329" s="280"/>
      <c r="Y329" s="280"/>
      <c r="Z329" s="284"/>
      <c r="AA329" s="284"/>
      <c r="AB329" s="284"/>
      <c r="AC329" s="284"/>
      <c r="AD329" s="284"/>
      <c r="AE329" s="284"/>
      <c r="AF329" s="447"/>
      <c r="AG329" s="447"/>
      <c r="AH329" s="447"/>
      <c r="AI329" s="382"/>
      <c r="AJ329" s="382"/>
      <c r="AK329" s="382"/>
      <c r="AL329" s="382"/>
      <c r="AM329" s="382"/>
      <c r="AN329" s="382"/>
      <c r="AO329" s="382"/>
      <c r="AP329" s="382"/>
      <c r="AQ329" s="382"/>
      <c r="AR329" s="382"/>
      <c r="AS329" s="382"/>
      <c r="AT329" s="382"/>
      <c r="AU329" s="382"/>
      <c r="AV329" s="382"/>
      <c r="AW329" s="382"/>
      <c r="AX329" s="382"/>
      <c r="AY329" s="382"/>
      <c r="AZ329" s="382"/>
      <c r="BA329" s="382"/>
      <c r="BB329" s="382"/>
      <c r="BC329" s="382"/>
      <c r="BD329" s="382"/>
      <c r="BE329" s="382"/>
      <c r="BF329" s="382"/>
      <c r="BG329" s="382"/>
      <c r="BH329" s="382"/>
      <c r="BI329" s="382"/>
      <c r="BJ329" s="382"/>
      <c r="BK329" s="382"/>
      <c r="BL329" s="382"/>
      <c r="BM329" s="382"/>
      <c r="BN329" s="382"/>
      <c r="BO329" s="382"/>
    </row>
    <row r="330" spans="1:67" s="88" customFormat="1" ht="10.55" customHeight="1" x14ac:dyDescent="0.2">
      <c r="A330" s="511"/>
      <c r="B330" s="2884"/>
      <c r="C330" s="2885"/>
      <c r="D330" s="2886"/>
      <c r="E330" s="2793"/>
      <c r="F330" s="2794"/>
      <c r="G330" s="1018"/>
      <c r="H330" s="1019"/>
      <c r="I330" s="1436">
        <f t="shared" si="76"/>
        <v>0</v>
      </c>
      <c r="J330" s="1422"/>
      <c r="K330" s="680"/>
      <c r="L330" s="1020"/>
      <c r="M330" s="1429">
        <f t="shared" si="78"/>
        <v>0</v>
      </c>
      <c r="N330" s="1110"/>
      <c r="O330" s="674">
        <f t="shared" si="79"/>
        <v>0</v>
      </c>
      <c r="P330" s="682"/>
      <c r="Q330" s="286"/>
      <c r="R330" s="287"/>
      <c r="S330" s="280"/>
      <c r="T330" s="280"/>
      <c r="U330" s="280"/>
      <c r="V330" s="280"/>
      <c r="W330" s="280"/>
      <c r="X330" s="280"/>
      <c r="Y330" s="280"/>
      <c r="Z330" s="284"/>
      <c r="AA330" s="284"/>
      <c r="AB330" s="284"/>
      <c r="AC330" s="284"/>
      <c r="AD330" s="284"/>
      <c r="AE330" s="284"/>
      <c r="AF330" s="447"/>
      <c r="AG330" s="447"/>
      <c r="AH330" s="447"/>
      <c r="AI330" s="382"/>
      <c r="AJ330" s="382"/>
      <c r="AK330" s="382"/>
      <c r="AL330" s="382"/>
      <c r="AM330" s="382"/>
      <c r="AN330" s="382"/>
      <c r="AO330" s="382"/>
      <c r="AP330" s="382"/>
      <c r="AQ330" s="382"/>
      <c r="AR330" s="382"/>
      <c r="AS330" s="382"/>
      <c r="AT330" s="382"/>
      <c r="AU330" s="382"/>
      <c r="AV330" s="382"/>
      <c r="AW330" s="382"/>
      <c r="AX330" s="382"/>
      <c r="AY330" s="382"/>
      <c r="AZ330" s="382"/>
      <c r="BA330" s="382"/>
      <c r="BB330" s="382"/>
      <c r="BC330" s="382"/>
      <c r="BD330" s="382"/>
      <c r="BE330" s="382"/>
      <c r="BF330" s="382"/>
      <c r="BG330" s="382"/>
      <c r="BH330" s="382"/>
      <c r="BI330" s="382"/>
      <c r="BJ330" s="382"/>
      <c r="BK330" s="382"/>
      <c r="BL330" s="382"/>
      <c r="BM330" s="382"/>
      <c r="BN330" s="382"/>
      <c r="BO330" s="382"/>
    </row>
    <row r="331" spans="1:67" s="88" customFormat="1" ht="10.55" customHeight="1" x14ac:dyDescent="0.2">
      <c r="A331" s="1150" t="s">
        <v>430</v>
      </c>
      <c r="B331" s="2784"/>
      <c r="C331" s="2784"/>
      <c r="D331" s="2785"/>
      <c r="E331" s="2810">
        <f>SUM(E333:E345)</f>
        <v>0</v>
      </c>
      <c r="F331" s="2811"/>
      <c r="G331" s="2747"/>
      <c r="H331" s="2748"/>
      <c r="I331" s="1435">
        <f>IF(E331=0,0,J331/E331)</f>
        <v>0</v>
      </c>
      <c r="J331" s="1423">
        <f>SUM(J333:J345)</f>
        <v>0</v>
      </c>
      <c r="K331" s="2749">
        <f>IF(E331=0,0,M331/E331*100)</f>
        <v>0</v>
      </c>
      <c r="L331" s="2750"/>
      <c r="M331" s="1430">
        <f>SUM(M333:M345)</f>
        <v>0</v>
      </c>
      <c r="N331" s="1110"/>
      <c r="O331" s="387">
        <f>IF(H331="",G331,H331)</f>
        <v>0</v>
      </c>
      <c r="P331" s="682"/>
      <c r="Q331" s="286"/>
      <c r="R331" s="287"/>
      <c r="S331" s="280"/>
      <c r="T331" s="280"/>
      <c r="U331" s="280"/>
      <c r="V331" s="280"/>
      <c r="W331" s="280"/>
      <c r="X331" s="280"/>
      <c r="Y331" s="280"/>
      <c r="Z331" s="284"/>
      <c r="AA331" s="284"/>
      <c r="AB331" s="284"/>
      <c r="AC331" s="284"/>
      <c r="AD331" s="284"/>
      <c r="AE331" s="284"/>
      <c r="AF331" s="447"/>
      <c r="AG331" s="447"/>
      <c r="AH331" s="447"/>
      <c r="AI331" s="382"/>
      <c r="AJ331" s="382"/>
      <c r="AK331" s="382"/>
      <c r="AL331" s="382"/>
      <c r="AM331" s="382"/>
      <c r="AN331" s="382"/>
      <c r="AO331" s="382"/>
      <c r="AP331" s="382"/>
      <c r="AQ331" s="382"/>
      <c r="AR331" s="382"/>
      <c r="AS331" s="382"/>
      <c r="AT331" s="382"/>
      <c r="AU331" s="382"/>
      <c r="AV331" s="382"/>
      <c r="AW331" s="382"/>
      <c r="AX331" s="382"/>
      <c r="AY331" s="382"/>
      <c r="AZ331" s="382"/>
      <c r="BA331" s="382"/>
      <c r="BB331" s="382"/>
      <c r="BC331" s="382"/>
      <c r="BD331" s="382"/>
      <c r="BE331" s="382"/>
      <c r="BF331" s="382"/>
      <c r="BG331" s="382"/>
      <c r="BH331" s="382"/>
      <c r="BI331" s="382"/>
      <c r="BJ331" s="382"/>
      <c r="BK331" s="382"/>
      <c r="BL331" s="382"/>
      <c r="BM331" s="382"/>
      <c r="BN331" s="382"/>
      <c r="BO331" s="382"/>
    </row>
    <row r="332" spans="1:67" s="706" customFormat="1" ht="10.55" customHeight="1" x14ac:dyDescent="0.2">
      <c r="A332" s="1151"/>
      <c r="B332" s="1322"/>
      <c r="C332" s="1322"/>
      <c r="D332" s="1323"/>
      <c r="E332" s="1417"/>
      <c r="F332" s="1418"/>
      <c r="G332" s="1010"/>
      <c r="H332" s="1024"/>
      <c r="I332" s="1438"/>
      <c r="J332" s="1424"/>
      <c r="K332" s="729"/>
      <c r="L332" s="730"/>
      <c r="M332" s="1432"/>
      <c r="N332" s="333"/>
      <c r="O332" s="702"/>
      <c r="P332" s="703"/>
      <c r="Q332" s="286"/>
      <c r="R332" s="287"/>
      <c r="S332" s="280"/>
      <c r="T332" s="280"/>
      <c r="U332" s="280"/>
      <c r="V332" s="280"/>
      <c r="W332" s="280"/>
      <c r="X332" s="280"/>
      <c r="Y332" s="280"/>
      <c r="Z332" s="280"/>
      <c r="AA332" s="280"/>
      <c r="AB332" s="280"/>
      <c r="AC332" s="280"/>
      <c r="AD332" s="280"/>
      <c r="AE332" s="280"/>
      <c r="AF332" s="704"/>
      <c r="AG332" s="704"/>
      <c r="AH332" s="704"/>
      <c r="AI332" s="705"/>
      <c r="AJ332" s="705"/>
      <c r="AK332" s="705"/>
      <c r="AL332" s="705"/>
      <c r="AM332" s="705"/>
      <c r="AN332" s="705"/>
      <c r="AO332" s="705"/>
      <c r="AP332" s="705"/>
      <c r="AQ332" s="705"/>
      <c r="AR332" s="705"/>
      <c r="AS332" s="705"/>
      <c r="AT332" s="705"/>
      <c r="AU332" s="705"/>
      <c r="AV332" s="705"/>
      <c r="AW332" s="705"/>
      <c r="AX332" s="705"/>
      <c r="AY332" s="705"/>
      <c r="AZ332" s="705"/>
      <c r="BA332" s="705"/>
      <c r="BB332" s="705"/>
      <c r="BC332" s="705"/>
      <c r="BD332" s="705"/>
      <c r="BE332" s="705"/>
      <c r="BF332" s="705"/>
      <c r="BG332" s="705"/>
      <c r="BH332" s="705"/>
      <c r="BI332" s="705"/>
      <c r="BJ332" s="705"/>
      <c r="BK332" s="705"/>
      <c r="BL332" s="705"/>
      <c r="BM332" s="705"/>
      <c r="BN332" s="705"/>
      <c r="BO332" s="705"/>
    </row>
    <row r="333" spans="1:67" s="88" customFormat="1" ht="10.55" customHeight="1" x14ac:dyDescent="0.2">
      <c r="A333" s="1152" t="s">
        <v>508</v>
      </c>
      <c r="B333" s="1324"/>
      <c r="C333" s="1324"/>
      <c r="D333" s="1325"/>
      <c r="E333" s="2812">
        <f>ROUND(SUM(E44,E59,E74,E89,E106,E121,E136,E151,E166,E181,E241,E256,E271,E301,E316)*D333,-2)</f>
        <v>0</v>
      </c>
      <c r="F333" s="2813"/>
      <c r="G333" s="1785">
        <v>20</v>
      </c>
      <c r="H333" s="524"/>
      <c r="I333" s="1409">
        <f t="shared" ref="I333:I346" si="80">IF($O333&gt;0,-PMT(($I$9),$O333,1),0)</f>
        <v>6.4147128734474465E-2</v>
      </c>
      <c r="J333" s="1421">
        <f t="shared" ref="J333:J345" si="81">ROUND(E333*I333,0)</f>
        <v>0</v>
      </c>
      <c r="K333" s="687">
        <v>2</v>
      </c>
      <c r="L333" s="1003"/>
      <c r="M333" s="1428">
        <f t="shared" ref="M333:M360" si="82">ROUND(E333/100*IF(ISBLANK(L333),K333,L333),0)</f>
        <v>0</v>
      </c>
      <c r="N333" s="1110"/>
      <c r="O333" s="674">
        <f t="shared" ref="O333:O346" si="83">IF(ISBLANK(H333),G333,H333)</f>
        <v>20</v>
      </c>
      <c r="P333" s="682"/>
      <c r="Q333" s="286"/>
      <c r="R333" s="287"/>
      <c r="S333" s="280"/>
      <c r="T333" s="280"/>
      <c r="U333" s="280"/>
      <c r="V333" s="280"/>
      <c r="W333" s="280"/>
      <c r="X333" s="280"/>
      <c r="Y333" s="280"/>
      <c r="Z333" s="284"/>
      <c r="AA333" s="284"/>
      <c r="AB333" s="284"/>
      <c r="AC333" s="284"/>
      <c r="AD333" s="284"/>
      <c r="AE333" s="284"/>
      <c r="AF333" s="447"/>
      <c r="AG333" s="447"/>
      <c r="AH333" s="447"/>
      <c r="AI333" s="382"/>
      <c r="AJ333" s="382"/>
      <c r="AK333" s="382"/>
      <c r="AL333" s="382"/>
      <c r="AM333" s="382"/>
      <c r="AN333" s="382"/>
      <c r="AO333" s="382"/>
      <c r="AP333" s="382"/>
      <c r="AQ333" s="382"/>
      <c r="AR333" s="382"/>
      <c r="AS333" s="382"/>
      <c r="AT333" s="382"/>
      <c r="AU333" s="382"/>
      <c r="AV333" s="382"/>
      <c r="AW333" s="382"/>
      <c r="AX333" s="382"/>
      <c r="AY333" s="382"/>
      <c r="AZ333" s="382"/>
      <c r="BA333" s="382"/>
      <c r="BB333" s="382"/>
      <c r="BC333" s="382"/>
      <c r="BD333" s="382"/>
      <c r="BE333" s="382"/>
      <c r="BF333" s="382"/>
      <c r="BG333" s="382"/>
      <c r="BH333" s="382"/>
      <c r="BI333" s="382"/>
      <c r="BJ333" s="382"/>
      <c r="BK333" s="382"/>
      <c r="BL333" s="382"/>
      <c r="BM333" s="382"/>
      <c r="BN333" s="382"/>
      <c r="BO333" s="382"/>
    </row>
    <row r="334" spans="1:67" s="88" customFormat="1" ht="10.55" customHeight="1" x14ac:dyDescent="0.2">
      <c r="A334" s="731"/>
      <c r="B334" s="2808"/>
      <c r="C334" s="2808"/>
      <c r="D334" s="2809"/>
      <c r="E334" s="2561"/>
      <c r="F334" s="2562"/>
      <c r="G334" s="1015"/>
      <c r="H334" s="524"/>
      <c r="I334" s="1409">
        <f t="shared" si="80"/>
        <v>0</v>
      </c>
      <c r="J334" s="1421">
        <f t="shared" si="81"/>
        <v>0</v>
      </c>
      <c r="K334" s="679"/>
      <c r="L334" s="1002"/>
      <c r="M334" s="1428">
        <f t="shared" si="82"/>
        <v>0</v>
      </c>
      <c r="N334" s="1110"/>
      <c r="O334" s="674">
        <f t="shared" si="83"/>
        <v>0</v>
      </c>
      <c r="P334" s="682"/>
      <c r="Q334" s="286"/>
      <c r="R334" s="287"/>
      <c r="S334" s="280"/>
      <c r="T334" s="280"/>
      <c r="U334" s="280"/>
      <c r="V334" s="280"/>
      <c r="W334" s="280"/>
      <c r="X334" s="280"/>
      <c r="Y334" s="280"/>
      <c r="Z334" s="284"/>
      <c r="AA334" s="284"/>
      <c r="AB334" s="284"/>
      <c r="AC334" s="284"/>
      <c r="AD334" s="284"/>
      <c r="AE334" s="284"/>
      <c r="AF334" s="447"/>
      <c r="AG334" s="447"/>
      <c r="AH334" s="447"/>
      <c r="AI334" s="382"/>
      <c r="AJ334" s="382"/>
      <c r="AK334" s="382"/>
      <c r="AL334" s="382"/>
      <c r="AM334" s="382"/>
      <c r="AN334" s="382"/>
      <c r="AO334" s="382"/>
      <c r="AP334" s="382"/>
      <c r="AQ334" s="382"/>
      <c r="AR334" s="382"/>
      <c r="AS334" s="382"/>
      <c r="AT334" s="382"/>
      <c r="AU334" s="382"/>
      <c r="AV334" s="382"/>
      <c r="AW334" s="382"/>
      <c r="AX334" s="382"/>
      <c r="AY334" s="382"/>
      <c r="AZ334" s="382"/>
      <c r="BA334" s="382"/>
      <c r="BB334" s="382"/>
      <c r="BC334" s="382"/>
      <c r="BD334" s="382"/>
      <c r="BE334" s="382"/>
      <c r="BF334" s="382"/>
      <c r="BG334" s="382"/>
      <c r="BH334" s="382"/>
      <c r="BI334" s="382"/>
      <c r="BJ334" s="382"/>
      <c r="BK334" s="382"/>
      <c r="BL334" s="382"/>
      <c r="BM334" s="382"/>
      <c r="BN334" s="382"/>
      <c r="BO334" s="382"/>
    </row>
    <row r="335" spans="1:67" s="88" customFormat="1" ht="10.55" customHeight="1" x14ac:dyDescent="0.2">
      <c r="A335" s="731"/>
      <c r="B335" s="2808"/>
      <c r="C335" s="2808"/>
      <c r="D335" s="2809"/>
      <c r="E335" s="2561"/>
      <c r="F335" s="2562"/>
      <c r="G335" s="1015"/>
      <c r="H335" s="524"/>
      <c r="I335" s="1409">
        <f t="shared" si="80"/>
        <v>0</v>
      </c>
      <c r="J335" s="1421">
        <f t="shared" si="81"/>
        <v>0</v>
      </c>
      <c r="K335" s="679"/>
      <c r="L335" s="1002"/>
      <c r="M335" s="1428">
        <f t="shared" si="82"/>
        <v>0</v>
      </c>
      <c r="N335" s="1110"/>
      <c r="O335" s="674">
        <f t="shared" si="83"/>
        <v>0</v>
      </c>
      <c r="P335" s="682"/>
      <c r="Q335" s="286"/>
      <c r="R335" s="287"/>
      <c r="S335" s="280"/>
      <c r="T335" s="280"/>
      <c r="U335" s="280"/>
      <c r="V335" s="280"/>
      <c r="W335" s="280"/>
      <c r="X335" s="280"/>
      <c r="Y335" s="280"/>
      <c r="Z335" s="284"/>
      <c r="AA335" s="284"/>
      <c r="AB335" s="284"/>
      <c r="AC335" s="284"/>
      <c r="AD335" s="284"/>
      <c r="AE335" s="284"/>
      <c r="AF335" s="447"/>
      <c r="AG335" s="447"/>
      <c r="AH335" s="447"/>
      <c r="AI335" s="382"/>
      <c r="AJ335" s="382"/>
      <c r="AK335" s="382"/>
      <c r="AL335" s="382"/>
      <c r="AM335" s="382"/>
      <c r="AN335" s="382"/>
      <c r="AO335" s="382"/>
      <c r="AP335" s="382"/>
      <c r="AQ335" s="382"/>
      <c r="AR335" s="382"/>
      <c r="AS335" s="382"/>
      <c r="AT335" s="382"/>
      <c r="AU335" s="382"/>
      <c r="AV335" s="382"/>
      <c r="AW335" s="382"/>
      <c r="AX335" s="382"/>
      <c r="AY335" s="382"/>
      <c r="AZ335" s="382"/>
      <c r="BA335" s="382"/>
      <c r="BB335" s="382"/>
      <c r="BC335" s="382"/>
      <c r="BD335" s="382"/>
      <c r="BE335" s="382"/>
      <c r="BF335" s="382"/>
      <c r="BG335" s="382"/>
      <c r="BH335" s="382"/>
      <c r="BI335" s="382"/>
      <c r="BJ335" s="382"/>
      <c r="BK335" s="382"/>
      <c r="BL335" s="382"/>
      <c r="BM335" s="382"/>
      <c r="BN335" s="382"/>
      <c r="BO335" s="382"/>
    </row>
    <row r="336" spans="1:67" s="88" customFormat="1" ht="10.55" customHeight="1" x14ac:dyDescent="0.2">
      <c r="A336" s="731"/>
      <c r="B336" s="2808"/>
      <c r="C336" s="2808"/>
      <c r="D336" s="2809"/>
      <c r="E336" s="2561"/>
      <c r="F336" s="2562"/>
      <c r="G336" s="1015"/>
      <c r="H336" s="524"/>
      <c r="I336" s="1409">
        <f t="shared" si="80"/>
        <v>0</v>
      </c>
      <c r="J336" s="1421">
        <f t="shared" si="81"/>
        <v>0</v>
      </c>
      <c r="K336" s="679"/>
      <c r="L336" s="1002"/>
      <c r="M336" s="1428">
        <f t="shared" si="82"/>
        <v>0</v>
      </c>
      <c r="N336" s="1110"/>
      <c r="O336" s="674">
        <f t="shared" si="83"/>
        <v>0</v>
      </c>
      <c r="P336" s="682"/>
      <c r="Q336" s="286"/>
      <c r="R336" s="287"/>
      <c r="S336" s="280"/>
      <c r="T336" s="280"/>
      <c r="U336" s="280"/>
      <c r="V336" s="280"/>
      <c r="W336" s="280"/>
      <c r="X336" s="280"/>
      <c r="Y336" s="280"/>
      <c r="Z336" s="284"/>
      <c r="AA336" s="284"/>
      <c r="AB336" s="284"/>
      <c r="AC336" s="284"/>
      <c r="AD336" s="284"/>
      <c r="AE336" s="284"/>
      <c r="AF336" s="447"/>
      <c r="AG336" s="447"/>
      <c r="AH336" s="447"/>
      <c r="AI336" s="382"/>
      <c r="AJ336" s="382"/>
      <c r="AK336" s="382"/>
      <c r="AL336" s="382"/>
      <c r="AM336" s="382"/>
      <c r="AN336" s="382"/>
      <c r="AO336" s="382"/>
      <c r="AP336" s="382"/>
      <c r="AQ336" s="382"/>
      <c r="AR336" s="382"/>
      <c r="AS336" s="382"/>
      <c r="AT336" s="382"/>
      <c r="AU336" s="382"/>
      <c r="AV336" s="382"/>
      <c r="AW336" s="382"/>
      <c r="AX336" s="382"/>
      <c r="AY336" s="382"/>
      <c r="AZ336" s="382"/>
      <c r="BA336" s="382"/>
      <c r="BB336" s="382"/>
      <c r="BC336" s="382"/>
      <c r="BD336" s="382"/>
      <c r="BE336" s="382"/>
      <c r="BF336" s="382"/>
      <c r="BG336" s="382"/>
      <c r="BH336" s="382"/>
      <c r="BI336" s="382"/>
      <c r="BJ336" s="382"/>
      <c r="BK336" s="382"/>
      <c r="BL336" s="382"/>
      <c r="BM336" s="382"/>
      <c r="BN336" s="382"/>
      <c r="BO336" s="382"/>
    </row>
    <row r="337" spans="1:67" s="88" customFormat="1" ht="10.55" customHeight="1" x14ac:dyDescent="0.2">
      <c r="A337" s="731"/>
      <c r="B337" s="2808"/>
      <c r="C337" s="2808"/>
      <c r="D337" s="2809"/>
      <c r="E337" s="2561"/>
      <c r="F337" s="2562"/>
      <c r="G337" s="1015"/>
      <c r="H337" s="524"/>
      <c r="I337" s="1409">
        <f t="shared" si="80"/>
        <v>0</v>
      </c>
      <c r="J337" s="1421">
        <f t="shared" si="81"/>
        <v>0</v>
      </c>
      <c r="K337" s="679"/>
      <c r="L337" s="1002"/>
      <c r="M337" s="1428">
        <f t="shared" si="82"/>
        <v>0</v>
      </c>
      <c r="N337" s="1110"/>
      <c r="O337" s="674">
        <f t="shared" si="83"/>
        <v>0</v>
      </c>
      <c r="P337" s="682"/>
      <c r="Q337" s="286"/>
      <c r="R337" s="287"/>
      <c r="S337" s="280"/>
      <c r="T337" s="280"/>
      <c r="U337" s="280"/>
      <c r="V337" s="280"/>
      <c r="W337" s="280"/>
      <c r="X337" s="280"/>
      <c r="Y337" s="280"/>
      <c r="Z337" s="284"/>
      <c r="AA337" s="284"/>
      <c r="AB337" s="284"/>
      <c r="AC337" s="284"/>
      <c r="AD337" s="284"/>
      <c r="AE337" s="284"/>
      <c r="AF337" s="447"/>
      <c r="AG337" s="447"/>
      <c r="AH337" s="447"/>
      <c r="AI337" s="382"/>
      <c r="AJ337" s="382"/>
      <c r="AK337" s="382"/>
      <c r="AL337" s="382"/>
      <c r="AM337" s="382"/>
      <c r="AN337" s="382"/>
      <c r="AO337" s="382"/>
      <c r="AP337" s="382"/>
      <c r="AQ337" s="382"/>
      <c r="AR337" s="382"/>
      <c r="AS337" s="382"/>
      <c r="AT337" s="382"/>
      <c r="AU337" s="382"/>
      <c r="AV337" s="382"/>
      <c r="AW337" s="382"/>
      <c r="AX337" s="382"/>
      <c r="AY337" s="382"/>
      <c r="AZ337" s="382"/>
      <c r="BA337" s="382"/>
      <c r="BB337" s="382"/>
      <c r="BC337" s="382"/>
      <c r="BD337" s="382"/>
      <c r="BE337" s="382"/>
      <c r="BF337" s="382"/>
      <c r="BG337" s="382"/>
      <c r="BH337" s="382"/>
      <c r="BI337" s="382"/>
      <c r="BJ337" s="382"/>
      <c r="BK337" s="382"/>
      <c r="BL337" s="382"/>
      <c r="BM337" s="382"/>
      <c r="BN337" s="382"/>
      <c r="BO337" s="382"/>
    </row>
    <row r="338" spans="1:67" s="88" customFormat="1" ht="10.55" customHeight="1" x14ac:dyDescent="0.2">
      <c r="A338" s="731"/>
      <c r="B338" s="2808"/>
      <c r="C338" s="2808"/>
      <c r="D338" s="2809"/>
      <c r="E338" s="2561"/>
      <c r="F338" s="2562"/>
      <c r="G338" s="1015"/>
      <c r="H338" s="524"/>
      <c r="I338" s="1409">
        <f t="shared" si="80"/>
        <v>0</v>
      </c>
      <c r="J338" s="1421">
        <f t="shared" si="81"/>
        <v>0</v>
      </c>
      <c r="K338" s="679"/>
      <c r="L338" s="1002"/>
      <c r="M338" s="1428">
        <f t="shared" si="82"/>
        <v>0</v>
      </c>
      <c r="N338" s="1110"/>
      <c r="O338" s="674">
        <f t="shared" si="83"/>
        <v>0</v>
      </c>
      <c r="P338" s="682"/>
      <c r="Q338" s="286"/>
      <c r="R338" s="287"/>
      <c r="S338" s="280"/>
      <c r="T338" s="280"/>
      <c r="U338" s="280"/>
      <c r="V338" s="280"/>
      <c r="W338" s="280"/>
      <c r="X338" s="280"/>
      <c r="Y338" s="280"/>
      <c r="Z338" s="284"/>
      <c r="AA338" s="284"/>
      <c r="AB338" s="284"/>
      <c r="AC338" s="284"/>
      <c r="AD338" s="284"/>
      <c r="AE338" s="284"/>
      <c r="AF338" s="447"/>
      <c r="AG338" s="447"/>
      <c r="AH338" s="447"/>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2"/>
      <c r="BL338" s="382"/>
      <c r="BM338" s="382"/>
      <c r="BN338" s="382"/>
      <c r="BO338" s="382"/>
    </row>
    <row r="339" spans="1:67" s="88" customFormat="1" ht="10.55" customHeight="1" x14ac:dyDescent="0.2">
      <c r="A339" s="1148"/>
      <c r="B339" s="1326"/>
      <c r="C339" s="1326"/>
      <c r="D339" s="1327"/>
      <c r="E339" s="2814"/>
      <c r="F339" s="2815"/>
      <c r="G339" s="1026"/>
      <c r="H339" s="694"/>
      <c r="I339" s="1439">
        <f t="shared" si="80"/>
        <v>0</v>
      </c>
      <c r="J339" s="1425">
        <f t="shared" si="81"/>
        <v>0</v>
      </c>
      <c r="K339" s="695"/>
      <c r="L339" s="1005"/>
      <c r="M339" s="1429">
        <f t="shared" si="82"/>
        <v>0</v>
      </c>
      <c r="N339" s="1110"/>
      <c r="O339" s="674">
        <f t="shared" si="83"/>
        <v>0</v>
      </c>
      <c r="P339" s="682"/>
      <c r="Q339" s="286"/>
      <c r="R339" s="287"/>
      <c r="S339" s="280"/>
      <c r="T339" s="280"/>
      <c r="U339" s="280"/>
      <c r="V339" s="280"/>
      <c r="W339" s="280"/>
      <c r="X339" s="280"/>
      <c r="Y339" s="280"/>
      <c r="Z339" s="284"/>
      <c r="AA339" s="284"/>
      <c r="AB339" s="284"/>
      <c r="AC339" s="284"/>
      <c r="AD339" s="284"/>
      <c r="AE339" s="284"/>
      <c r="AF339" s="447"/>
      <c r="AG339" s="447"/>
      <c r="AH339" s="447"/>
      <c r="AI339" s="382"/>
      <c r="AJ339" s="382"/>
      <c r="AK339" s="382"/>
      <c r="AL339" s="382"/>
      <c r="AM339" s="382"/>
      <c r="AN339" s="382"/>
      <c r="AO339" s="382"/>
      <c r="AP339" s="382"/>
      <c r="AQ339" s="382"/>
      <c r="AR339" s="382"/>
      <c r="AS339" s="382"/>
      <c r="AT339" s="382"/>
      <c r="AU339" s="382"/>
      <c r="AV339" s="382"/>
      <c r="AW339" s="382"/>
      <c r="AX339" s="382"/>
      <c r="AY339" s="382"/>
      <c r="AZ339" s="382"/>
      <c r="BA339" s="382"/>
      <c r="BB339" s="382"/>
      <c r="BC339" s="382"/>
      <c r="BD339" s="382"/>
      <c r="BE339" s="382"/>
      <c r="BF339" s="382"/>
      <c r="BG339" s="382"/>
      <c r="BH339" s="382"/>
      <c r="BI339" s="382"/>
      <c r="BJ339" s="382"/>
      <c r="BK339" s="382"/>
      <c r="BL339" s="382"/>
      <c r="BM339" s="382"/>
      <c r="BN339" s="382"/>
      <c r="BO339" s="382"/>
    </row>
    <row r="340" spans="1:67" s="88" customFormat="1" ht="10.55" customHeight="1" x14ac:dyDescent="0.2">
      <c r="A340" s="1149" t="s">
        <v>509</v>
      </c>
      <c r="B340" s="1324"/>
      <c r="C340" s="1324"/>
      <c r="D340" s="1325"/>
      <c r="E340" s="2812">
        <f>ROUND(SUM(E44,E196,E211,E226,E286)*D340,-2)</f>
        <v>0</v>
      </c>
      <c r="F340" s="2813"/>
      <c r="G340" s="1785">
        <v>20</v>
      </c>
      <c r="H340" s="524"/>
      <c r="I340" s="1409">
        <f t="shared" si="80"/>
        <v>6.4147128734474465E-2</v>
      </c>
      <c r="J340" s="1421">
        <f t="shared" si="81"/>
        <v>0</v>
      </c>
      <c r="K340" s="687">
        <v>1</v>
      </c>
      <c r="L340" s="1003"/>
      <c r="M340" s="1428">
        <f t="shared" si="82"/>
        <v>0</v>
      </c>
      <c r="N340" s="1110"/>
      <c r="O340" s="674">
        <f t="shared" si="83"/>
        <v>20</v>
      </c>
      <c r="P340" s="682"/>
      <c r="Q340" s="286"/>
      <c r="R340" s="287"/>
      <c r="S340" s="280"/>
      <c r="T340" s="280"/>
      <c r="U340" s="280"/>
      <c r="V340" s="280"/>
      <c r="W340" s="280"/>
      <c r="X340" s="280"/>
      <c r="Y340" s="280"/>
      <c r="Z340" s="284"/>
      <c r="AA340" s="284"/>
      <c r="AB340" s="284"/>
      <c r="AC340" s="284"/>
      <c r="AD340" s="284"/>
      <c r="AE340" s="284"/>
      <c r="AF340" s="447"/>
      <c r="AG340" s="447"/>
      <c r="AH340" s="447"/>
      <c r="AI340" s="382"/>
      <c r="AJ340" s="382"/>
      <c r="AK340" s="382"/>
      <c r="AL340" s="382"/>
      <c r="AM340" s="382"/>
      <c r="AN340" s="382"/>
      <c r="AO340" s="382"/>
      <c r="AP340" s="382"/>
      <c r="AQ340" s="382"/>
      <c r="AR340" s="382"/>
      <c r="AS340" s="382"/>
      <c r="AT340" s="382"/>
      <c r="AU340" s="382"/>
      <c r="AV340" s="382"/>
      <c r="AW340" s="382"/>
      <c r="AX340" s="382"/>
      <c r="AY340" s="382"/>
      <c r="AZ340" s="382"/>
      <c r="BA340" s="382"/>
      <c r="BB340" s="382"/>
      <c r="BC340" s="382"/>
      <c r="BD340" s="382"/>
      <c r="BE340" s="382"/>
      <c r="BF340" s="382"/>
      <c r="BG340" s="382"/>
      <c r="BH340" s="382"/>
      <c r="BI340" s="382"/>
      <c r="BJ340" s="382"/>
      <c r="BK340" s="382"/>
      <c r="BL340" s="382"/>
      <c r="BM340" s="382"/>
      <c r="BN340" s="382"/>
      <c r="BO340" s="382"/>
    </row>
    <row r="341" spans="1:67" s="88" customFormat="1" ht="10.55" customHeight="1" x14ac:dyDescent="0.2">
      <c r="A341" s="731"/>
      <c r="B341" s="2808"/>
      <c r="C341" s="2808"/>
      <c r="D341" s="2809"/>
      <c r="E341" s="2561"/>
      <c r="F341" s="2562"/>
      <c r="G341" s="1015"/>
      <c r="H341" s="524"/>
      <c r="I341" s="1409">
        <f t="shared" si="80"/>
        <v>0</v>
      </c>
      <c r="J341" s="1421">
        <f t="shared" si="81"/>
        <v>0</v>
      </c>
      <c r="K341" s="679"/>
      <c r="L341" s="1002"/>
      <c r="M341" s="1428">
        <f t="shared" si="82"/>
        <v>0</v>
      </c>
      <c r="N341" s="1110"/>
      <c r="O341" s="674">
        <f t="shared" si="83"/>
        <v>0</v>
      </c>
      <c r="P341" s="682"/>
      <c r="Q341" s="286"/>
      <c r="R341" s="287"/>
      <c r="S341" s="280"/>
      <c r="T341" s="280"/>
      <c r="U341" s="280"/>
      <c r="V341" s="280"/>
      <c r="W341" s="280"/>
      <c r="X341" s="280"/>
      <c r="Y341" s="280"/>
      <c r="Z341" s="284"/>
      <c r="AA341" s="284"/>
      <c r="AB341" s="284"/>
      <c r="AC341" s="284"/>
      <c r="AD341" s="284"/>
      <c r="AE341" s="284"/>
      <c r="AF341" s="447"/>
      <c r="AG341" s="447"/>
      <c r="AH341" s="447"/>
      <c r="AI341" s="382"/>
      <c r="AJ341" s="382"/>
      <c r="AK341" s="382"/>
      <c r="AL341" s="382"/>
      <c r="AM341" s="382"/>
      <c r="AN341" s="382"/>
      <c r="AO341" s="382"/>
      <c r="AP341" s="382"/>
      <c r="AQ341" s="382"/>
      <c r="AR341" s="382"/>
      <c r="AS341" s="382"/>
      <c r="AT341" s="382"/>
      <c r="AU341" s="382"/>
      <c r="AV341" s="382"/>
      <c r="AW341" s="382"/>
      <c r="AX341" s="382"/>
      <c r="AY341" s="382"/>
      <c r="AZ341" s="382"/>
      <c r="BA341" s="382"/>
      <c r="BB341" s="382"/>
      <c r="BC341" s="382"/>
      <c r="BD341" s="382"/>
      <c r="BE341" s="382"/>
      <c r="BF341" s="382"/>
      <c r="BG341" s="382"/>
      <c r="BH341" s="382"/>
      <c r="BI341" s="382"/>
      <c r="BJ341" s="382"/>
      <c r="BK341" s="382"/>
      <c r="BL341" s="382"/>
      <c r="BM341" s="382"/>
      <c r="BN341" s="382"/>
      <c r="BO341" s="382"/>
    </row>
    <row r="342" spans="1:67" s="88" customFormat="1" ht="10.55" customHeight="1" x14ac:dyDescent="0.2">
      <c r="A342" s="731"/>
      <c r="B342" s="2808"/>
      <c r="C342" s="2808"/>
      <c r="D342" s="2809"/>
      <c r="E342" s="2561"/>
      <c r="F342" s="2562"/>
      <c r="G342" s="1015"/>
      <c r="H342" s="524"/>
      <c r="I342" s="1409">
        <f t="shared" si="80"/>
        <v>0</v>
      </c>
      <c r="J342" s="1421">
        <f t="shared" si="81"/>
        <v>0</v>
      </c>
      <c r="K342" s="679"/>
      <c r="L342" s="1002"/>
      <c r="M342" s="1428">
        <f t="shared" si="82"/>
        <v>0</v>
      </c>
      <c r="N342" s="1110"/>
      <c r="O342" s="674">
        <f t="shared" si="83"/>
        <v>0</v>
      </c>
      <c r="P342" s="682"/>
      <c r="Q342" s="286"/>
      <c r="R342" s="287"/>
      <c r="S342" s="280"/>
      <c r="T342" s="280"/>
      <c r="U342" s="280"/>
      <c r="V342" s="280"/>
      <c r="W342" s="280"/>
      <c r="X342" s="280"/>
      <c r="Y342" s="280"/>
      <c r="Z342" s="284"/>
      <c r="AA342" s="284"/>
      <c r="AB342" s="284"/>
      <c r="AC342" s="284"/>
      <c r="AD342" s="284"/>
      <c r="AE342" s="284"/>
      <c r="AF342" s="447"/>
      <c r="AG342" s="447"/>
      <c r="AH342" s="447"/>
      <c r="AI342" s="382"/>
      <c r="AJ342" s="382"/>
      <c r="AK342" s="382"/>
      <c r="AL342" s="382"/>
      <c r="AM342" s="382"/>
      <c r="AN342" s="382"/>
      <c r="AO342" s="382"/>
      <c r="AP342" s="382"/>
      <c r="AQ342" s="382"/>
      <c r="AR342" s="382"/>
      <c r="AS342" s="382"/>
      <c r="AT342" s="382"/>
      <c r="AU342" s="382"/>
      <c r="AV342" s="382"/>
      <c r="AW342" s="382"/>
      <c r="AX342" s="382"/>
      <c r="AY342" s="382"/>
      <c r="AZ342" s="382"/>
      <c r="BA342" s="382"/>
      <c r="BB342" s="382"/>
      <c r="BC342" s="382"/>
      <c r="BD342" s="382"/>
      <c r="BE342" s="382"/>
      <c r="BF342" s="382"/>
      <c r="BG342" s="382"/>
      <c r="BH342" s="382"/>
      <c r="BI342" s="382"/>
      <c r="BJ342" s="382"/>
      <c r="BK342" s="382"/>
      <c r="BL342" s="382"/>
      <c r="BM342" s="382"/>
      <c r="BN342" s="382"/>
      <c r="BO342" s="382"/>
    </row>
    <row r="343" spans="1:67" s="88" customFormat="1" ht="10.55" customHeight="1" x14ac:dyDescent="0.2">
      <c r="A343" s="731"/>
      <c r="B343" s="2808"/>
      <c r="C343" s="2808"/>
      <c r="D343" s="2809"/>
      <c r="E343" s="2561"/>
      <c r="F343" s="2562"/>
      <c r="G343" s="1015"/>
      <c r="H343" s="524"/>
      <c r="I343" s="1409">
        <f t="shared" si="80"/>
        <v>0</v>
      </c>
      <c r="J343" s="1421">
        <f t="shared" si="81"/>
        <v>0</v>
      </c>
      <c r="K343" s="679"/>
      <c r="L343" s="1002"/>
      <c r="M343" s="1428">
        <f t="shared" si="82"/>
        <v>0</v>
      </c>
      <c r="N343" s="1110"/>
      <c r="O343" s="674">
        <f t="shared" si="83"/>
        <v>0</v>
      </c>
      <c r="P343" s="682"/>
      <c r="Q343" s="286"/>
      <c r="R343" s="287"/>
      <c r="S343" s="280"/>
      <c r="T343" s="280"/>
      <c r="U343" s="280"/>
      <c r="V343" s="280"/>
      <c r="W343" s="280"/>
      <c r="X343" s="280"/>
      <c r="Y343" s="280"/>
      <c r="Z343" s="284"/>
      <c r="AA343" s="284"/>
      <c r="AB343" s="284"/>
      <c r="AC343" s="284"/>
      <c r="AD343" s="284"/>
      <c r="AE343" s="284"/>
      <c r="AF343" s="447"/>
      <c r="AG343" s="447"/>
      <c r="AH343" s="447"/>
      <c r="AI343" s="382"/>
      <c r="AJ343" s="382"/>
      <c r="AK343" s="382"/>
      <c r="AL343" s="382"/>
      <c r="AM343" s="382"/>
      <c r="AN343" s="382"/>
      <c r="AO343" s="382"/>
      <c r="AP343" s="382"/>
      <c r="AQ343" s="382"/>
      <c r="AR343" s="382"/>
      <c r="AS343" s="382"/>
      <c r="AT343" s="382"/>
      <c r="AU343" s="382"/>
      <c r="AV343" s="382"/>
      <c r="AW343" s="382"/>
      <c r="AX343" s="382"/>
      <c r="AY343" s="382"/>
      <c r="AZ343" s="382"/>
      <c r="BA343" s="382"/>
      <c r="BB343" s="382"/>
      <c r="BC343" s="382"/>
      <c r="BD343" s="382"/>
      <c r="BE343" s="382"/>
      <c r="BF343" s="382"/>
      <c r="BG343" s="382"/>
      <c r="BH343" s="382"/>
      <c r="BI343" s="382"/>
      <c r="BJ343" s="382"/>
      <c r="BK343" s="382"/>
      <c r="BL343" s="382"/>
      <c r="BM343" s="382"/>
      <c r="BN343" s="382"/>
      <c r="BO343" s="382"/>
    </row>
    <row r="344" spans="1:67" s="88" customFormat="1" ht="10.55" customHeight="1" x14ac:dyDescent="0.2">
      <c r="A344" s="731"/>
      <c r="B344" s="2808"/>
      <c r="C344" s="2808"/>
      <c r="D344" s="2809"/>
      <c r="E344" s="2561"/>
      <c r="F344" s="2562"/>
      <c r="G344" s="1015"/>
      <c r="H344" s="524"/>
      <c r="I344" s="1409">
        <f t="shared" si="80"/>
        <v>0</v>
      </c>
      <c r="J344" s="1421">
        <f t="shared" si="81"/>
        <v>0</v>
      </c>
      <c r="K344" s="679"/>
      <c r="L344" s="1002"/>
      <c r="M344" s="1428">
        <f t="shared" si="82"/>
        <v>0</v>
      </c>
      <c r="N344" s="1110"/>
      <c r="O344" s="674">
        <f t="shared" si="83"/>
        <v>0</v>
      </c>
      <c r="P344" s="682"/>
      <c r="Q344" s="286"/>
      <c r="R344" s="287"/>
      <c r="S344" s="280"/>
      <c r="T344" s="280"/>
      <c r="U344" s="280"/>
      <c r="V344" s="280"/>
      <c r="W344" s="280"/>
      <c r="X344" s="280"/>
      <c r="Y344" s="280"/>
      <c r="Z344" s="284"/>
      <c r="AA344" s="284"/>
      <c r="AB344" s="284"/>
      <c r="AC344" s="284"/>
      <c r="AD344" s="284"/>
      <c r="AE344" s="284"/>
      <c r="AF344" s="447"/>
      <c r="AG344" s="447"/>
      <c r="AH344" s="447"/>
      <c r="AI344" s="382"/>
      <c r="AJ344" s="382"/>
      <c r="AK344" s="382"/>
      <c r="AL344" s="382"/>
      <c r="AM344" s="382"/>
      <c r="AN344" s="382"/>
      <c r="AO344" s="382"/>
      <c r="AP344" s="382"/>
      <c r="AQ344" s="382"/>
      <c r="AR344" s="382"/>
      <c r="AS344" s="382"/>
      <c r="AT344" s="382"/>
      <c r="AU344" s="382"/>
      <c r="AV344" s="382"/>
      <c r="AW344" s="382"/>
      <c r="AX344" s="382"/>
      <c r="AY344" s="382"/>
      <c r="AZ344" s="382"/>
      <c r="BA344" s="382"/>
      <c r="BB344" s="382"/>
      <c r="BC344" s="382"/>
      <c r="BD344" s="382"/>
      <c r="BE344" s="382"/>
      <c r="BF344" s="382"/>
      <c r="BG344" s="382"/>
      <c r="BH344" s="382"/>
      <c r="BI344" s="382"/>
      <c r="BJ344" s="382"/>
      <c r="BK344" s="382"/>
      <c r="BL344" s="382"/>
      <c r="BM344" s="382"/>
      <c r="BN344" s="382"/>
      <c r="BO344" s="382"/>
    </row>
    <row r="345" spans="1:67" s="88" customFormat="1" ht="10.55" customHeight="1" x14ac:dyDescent="0.2">
      <c r="A345" s="731"/>
      <c r="B345" s="2808"/>
      <c r="C345" s="2808"/>
      <c r="D345" s="2809"/>
      <c r="E345" s="2561"/>
      <c r="F345" s="2562"/>
      <c r="G345" s="1015"/>
      <c r="H345" s="524"/>
      <c r="I345" s="1409">
        <f t="shared" si="80"/>
        <v>0</v>
      </c>
      <c r="J345" s="1421">
        <f t="shared" si="81"/>
        <v>0</v>
      </c>
      <c r="K345" s="679"/>
      <c r="L345" s="1002"/>
      <c r="M345" s="1428">
        <f t="shared" si="82"/>
        <v>0</v>
      </c>
      <c r="N345" s="1110"/>
      <c r="O345" s="674">
        <f t="shared" si="83"/>
        <v>0</v>
      </c>
      <c r="P345" s="682"/>
      <c r="Q345" s="286"/>
      <c r="R345" s="287"/>
      <c r="S345" s="280"/>
      <c r="T345" s="280"/>
      <c r="U345" s="280"/>
      <c r="V345" s="280"/>
      <c r="W345" s="280"/>
      <c r="X345" s="280"/>
      <c r="Y345" s="280"/>
      <c r="Z345" s="284"/>
      <c r="AA345" s="284"/>
      <c r="AB345" s="284"/>
      <c r="AC345" s="284"/>
      <c r="AD345" s="284"/>
      <c r="AE345" s="284"/>
      <c r="AF345" s="447"/>
      <c r="AG345" s="447"/>
      <c r="AH345" s="447"/>
      <c r="AI345" s="382"/>
      <c r="AJ345" s="382"/>
      <c r="AK345" s="382"/>
      <c r="AL345" s="382"/>
      <c r="AM345" s="382"/>
      <c r="AN345" s="382"/>
      <c r="AO345" s="382"/>
      <c r="AP345" s="382"/>
      <c r="AQ345" s="382"/>
      <c r="AR345" s="382"/>
      <c r="AS345" s="382"/>
      <c r="AT345" s="382"/>
      <c r="AU345" s="382"/>
      <c r="AV345" s="382"/>
      <c r="AW345" s="382"/>
      <c r="AX345" s="382"/>
      <c r="AY345" s="382"/>
      <c r="AZ345" s="382"/>
      <c r="BA345" s="382"/>
      <c r="BB345" s="382"/>
      <c r="BC345" s="382"/>
      <c r="BD345" s="382"/>
      <c r="BE345" s="382"/>
      <c r="BF345" s="382"/>
      <c r="BG345" s="382"/>
      <c r="BH345" s="382"/>
      <c r="BI345" s="382"/>
      <c r="BJ345" s="382"/>
      <c r="BK345" s="382"/>
      <c r="BL345" s="382"/>
      <c r="BM345" s="382"/>
      <c r="BN345" s="382"/>
      <c r="BO345" s="382"/>
    </row>
    <row r="346" spans="1:67" s="88" customFormat="1" ht="10.55" customHeight="1" x14ac:dyDescent="0.2">
      <c r="A346" s="1144"/>
      <c r="B346" s="1328"/>
      <c r="C346" s="1328"/>
      <c r="D346" s="1329"/>
      <c r="E346" s="2793"/>
      <c r="F346" s="2794"/>
      <c r="G346" s="1086"/>
      <c r="H346" s="1087"/>
      <c r="I346" s="1437">
        <f t="shared" si="80"/>
        <v>0</v>
      </c>
      <c r="J346" s="1413"/>
      <c r="K346" s="1088"/>
      <c r="L346" s="1089"/>
      <c r="M346" s="1431">
        <f t="shared" si="82"/>
        <v>0</v>
      </c>
      <c r="N346" s="1110"/>
      <c r="O346" s="674">
        <f t="shared" si="83"/>
        <v>0</v>
      </c>
      <c r="P346" s="682"/>
      <c r="Q346" s="286"/>
      <c r="R346" s="287"/>
      <c r="S346" s="280"/>
      <c r="T346" s="280"/>
      <c r="U346" s="280"/>
      <c r="V346" s="280"/>
      <c r="W346" s="280"/>
      <c r="X346" s="280"/>
      <c r="Y346" s="280"/>
      <c r="Z346" s="284"/>
      <c r="AA346" s="284"/>
      <c r="AB346" s="284"/>
      <c r="AC346" s="284"/>
      <c r="AD346" s="284"/>
      <c r="AE346" s="284"/>
      <c r="AF346" s="447"/>
      <c r="AG346" s="447"/>
      <c r="AH346" s="447"/>
      <c r="AI346" s="382"/>
      <c r="AJ346" s="382"/>
      <c r="AK346" s="382"/>
      <c r="AL346" s="382"/>
      <c r="AM346" s="382"/>
      <c r="AN346" s="382"/>
      <c r="AO346" s="382"/>
      <c r="AP346" s="382"/>
      <c r="AQ346" s="382"/>
      <c r="AR346" s="382"/>
      <c r="AS346" s="382"/>
      <c r="AT346" s="382"/>
      <c r="AU346" s="382"/>
      <c r="AV346" s="382"/>
      <c r="AW346" s="382"/>
      <c r="AX346" s="382"/>
      <c r="AY346" s="382"/>
      <c r="AZ346" s="382"/>
      <c r="BA346" s="382"/>
      <c r="BB346" s="382"/>
      <c r="BC346" s="382"/>
      <c r="BD346" s="382"/>
      <c r="BE346" s="382"/>
      <c r="BF346" s="382"/>
      <c r="BG346" s="382"/>
      <c r="BH346" s="382"/>
      <c r="BI346" s="382"/>
      <c r="BJ346" s="382"/>
      <c r="BK346" s="382"/>
      <c r="BL346" s="382"/>
      <c r="BM346" s="382"/>
      <c r="BN346" s="382"/>
      <c r="BO346" s="382"/>
    </row>
    <row r="347" spans="1:67" s="88" customFormat="1" ht="10.55" customHeight="1" x14ac:dyDescent="0.2">
      <c r="A347" s="1145" t="s">
        <v>431</v>
      </c>
      <c r="B347" s="2783"/>
      <c r="C347" s="2784"/>
      <c r="D347" s="2785"/>
      <c r="E347" s="2810">
        <f>SUM(E348:E360)</f>
        <v>0</v>
      </c>
      <c r="F347" s="2811"/>
      <c r="G347" s="2747"/>
      <c r="H347" s="2748"/>
      <c r="I347" s="1435">
        <f>IF(E347=0,0,J347/E347)</f>
        <v>0</v>
      </c>
      <c r="J347" s="1423">
        <f>SUM(J348:J360)</f>
        <v>0</v>
      </c>
      <c r="K347" s="2749"/>
      <c r="L347" s="2750"/>
      <c r="M347" s="1430">
        <f t="shared" si="82"/>
        <v>0</v>
      </c>
      <c r="N347" s="1110"/>
      <c r="O347" s="387">
        <f>IF(H347="",G347,H347)</f>
        <v>0</v>
      </c>
      <c r="P347" s="682"/>
      <c r="Q347" s="286"/>
      <c r="R347" s="287"/>
      <c r="S347" s="280"/>
      <c r="T347" s="280"/>
      <c r="U347" s="280"/>
      <c r="V347" s="280"/>
      <c r="W347" s="280"/>
      <c r="X347" s="280"/>
      <c r="Y347" s="280"/>
      <c r="Z347" s="284"/>
      <c r="AA347" s="284"/>
      <c r="AB347" s="284"/>
      <c r="AC347" s="284"/>
      <c r="AD347" s="284"/>
      <c r="AE347" s="284"/>
      <c r="AF347" s="447"/>
      <c r="AG347" s="447"/>
      <c r="AH347" s="447"/>
      <c r="AI347" s="382"/>
      <c r="AJ347" s="382"/>
      <c r="AK347" s="382"/>
      <c r="AL347" s="382"/>
      <c r="AM347" s="382"/>
      <c r="AN347" s="382"/>
      <c r="AO347" s="382"/>
      <c r="AP347" s="382"/>
      <c r="AQ347" s="382"/>
      <c r="AR347" s="382"/>
      <c r="AS347" s="382"/>
      <c r="AT347" s="382"/>
      <c r="AU347" s="382"/>
      <c r="AV347" s="382"/>
      <c r="AW347" s="382"/>
      <c r="AX347" s="382"/>
      <c r="AY347" s="382"/>
      <c r="AZ347" s="382"/>
      <c r="BA347" s="382"/>
      <c r="BB347" s="382"/>
      <c r="BC347" s="382"/>
      <c r="BD347" s="382"/>
      <c r="BE347" s="382"/>
      <c r="BF347" s="382"/>
      <c r="BG347" s="382"/>
      <c r="BH347" s="382"/>
      <c r="BI347" s="382"/>
      <c r="BJ347" s="382"/>
      <c r="BK347" s="382"/>
      <c r="BL347" s="382"/>
      <c r="BM347" s="382"/>
      <c r="BN347" s="382"/>
      <c r="BO347" s="382"/>
    </row>
    <row r="348" spans="1:67" s="88" customFormat="1" ht="10.55" customHeight="1" x14ac:dyDescent="0.2">
      <c r="A348" s="1146" t="s">
        <v>510</v>
      </c>
      <c r="B348" s="2881"/>
      <c r="C348" s="2882"/>
      <c r="D348" s="2883"/>
      <c r="E348" s="2816">
        <f>IF(E350=0,ROUND(E375,-2),0)</f>
        <v>0</v>
      </c>
      <c r="F348" s="2817" t="e">
        <f>IF(F350=0,ROUND(#REF!,-2),0)</f>
        <v>#REF!</v>
      </c>
      <c r="G348" s="1785">
        <v>20</v>
      </c>
      <c r="H348" s="524"/>
      <c r="I348" s="1440">
        <f t="shared" ref="I348:I360" si="84">IF($O348&gt;0,-PMT(($I$9),$O348,1),0)</f>
        <v>6.4147128734474465E-2</v>
      </c>
      <c r="J348" s="1426">
        <f t="shared" ref="J348:J360" si="85">ROUND(E348*I348,0)</f>
        <v>0</v>
      </c>
      <c r="K348" s="733"/>
      <c r="L348" s="734"/>
      <c r="M348" s="1433">
        <f t="shared" si="82"/>
        <v>0</v>
      </c>
      <c r="N348" s="1110"/>
      <c r="O348" s="674">
        <f t="shared" ref="O348:O356" si="86">IF(ISBLANK(H348),G348,H348)</f>
        <v>20</v>
      </c>
      <c r="P348" s="682"/>
      <c r="Q348" s="286"/>
      <c r="R348" s="287"/>
      <c r="S348" s="280"/>
      <c r="T348" s="280"/>
      <c r="U348" s="280"/>
      <c r="V348" s="280"/>
      <c r="W348" s="280"/>
      <c r="X348" s="280"/>
      <c r="Y348" s="280"/>
      <c r="Z348" s="284"/>
      <c r="AA348" s="284"/>
      <c r="AB348" s="284"/>
      <c r="AC348" s="284"/>
      <c r="AD348" s="284"/>
      <c r="AE348" s="284"/>
      <c r="AF348" s="447"/>
      <c r="AG348" s="447"/>
      <c r="AH348" s="447"/>
      <c r="AI348" s="382"/>
      <c r="AJ348" s="382"/>
      <c r="AK348" s="382"/>
      <c r="AL348" s="382"/>
      <c r="AM348" s="382"/>
      <c r="AN348" s="382"/>
      <c r="AO348" s="382"/>
      <c r="AP348" s="382"/>
      <c r="AQ348" s="382"/>
      <c r="AR348" s="382"/>
      <c r="AS348" s="382"/>
      <c r="AT348" s="382"/>
      <c r="AU348" s="382"/>
      <c r="AV348" s="382"/>
      <c r="AW348" s="382"/>
      <c r="AX348" s="382"/>
      <c r="AY348" s="382"/>
      <c r="AZ348" s="382"/>
      <c r="BA348" s="382"/>
      <c r="BB348" s="382"/>
      <c r="BC348" s="382"/>
      <c r="BD348" s="382"/>
      <c r="BE348" s="382"/>
      <c r="BF348" s="382"/>
      <c r="BG348" s="382"/>
      <c r="BH348" s="382"/>
      <c r="BI348" s="382"/>
      <c r="BJ348" s="382"/>
      <c r="BK348" s="382"/>
      <c r="BL348" s="382"/>
      <c r="BM348" s="382"/>
      <c r="BN348" s="382"/>
      <c r="BO348" s="382"/>
    </row>
    <row r="349" spans="1:67" s="88" customFormat="1" ht="10.55" customHeight="1" x14ac:dyDescent="0.2">
      <c r="A349" s="1147" t="s">
        <v>511</v>
      </c>
      <c r="B349" s="2818"/>
      <c r="C349" s="2819"/>
      <c r="D349" s="2820"/>
      <c r="E349" s="2751">
        <f>IF(E351=0,ROUND(E388,-2),0)</f>
        <v>0</v>
      </c>
      <c r="F349" s="2752">
        <f>IF(F351=0,ROUND(F406,-2),0)</f>
        <v>0</v>
      </c>
      <c r="G349" s="1785">
        <v>20</v>
      </c>
      <c r="H349" s="524"/>
      <c r="I349" s="1441">
        <f t="shared" si="84"/>
        <v>6.4147128734474465E-2</v>
      </c>
      <c r="J349" s="1427">
        <f t="shared" si="85"/>
        <v>0</v>
      </c>
      <c r="K349" s="684"/>
      <c r="L349" s="685"/>
      <c r="M349" s="1434">
        <f t="shared" si="82"/>
        <v>0</v>
      </c>
      <c r="N349" s="1110"/>
      <c r="O349" s="674">
        <f t="shared" si="86"/>
        <v>20</v>
      </c>
      <c r="P349" s="682"/>
      <c r="Q349" s="286"/>
      <c r="R349" s="287"/>
      <c r="S349" s="280"/>
      <c r="T349" s="280"/>
      <c r="U349" s="280"/>
      <c r="V349" s="280"/>
      <c r="W349" s="280"/>
      <c r="X349" s="280"/>
      <c r="Y349" s="280"/>
      <c r="Z349" s="284"/>
      <c r="AA349" s="284"/>
      <c r="AB349" s="284"/>
      <c r="AC349" s="284"/>
      <c r="AD349" s="284"/>
      <c r="AE349" s="284"/>
      <c r="AF349" s="447"/>
      <c r="AG349" s="447"/>
      <c r="AH349" s="447"/>
      <c r="AI349" s="382"/>
      <c r="AJ349" s="382"/>
      <c r="AK349" s="382"/>
      <c r="AL349" s="382"/>
      <c r="AM349" s="382"/>
      <c r="AN349" s="382"/>
      <c r="AO349" s="382"/>
      <c r="AP349" s="382"/>
      <c r="AQ349" s="382"/>
      <c r="AR349" s="382"/>
      <c r="AS349" s="382"/>
      <c r="AT349" s="382"/>
      <c r="AU349" s="382"/>
      <c r="AV349" s="382"/>
      <c r="AW349" s="382"/>
      <c r="AX349" s="382"/>
      <c r="AY349" s="382"/>
      <c r="AZ349" s="382"/>
      <c r="BA349" s="382"/>
      <c r="BB349" s="382"/>
      <c r="BC349" s="382"/>
      <c r="BD349" s="382"/>
      <c r="BE349" s="382"/>
      <c r="BF349" s="382"/>
      <c r="BG349" s="382"/>
      <c r="BH349" s="382"/>
      <c r="BI349" s="382"/>
      <c r="BJ349" s="382"/>
      <c r="BK349" s="382"/>
      <c r="BL349" s="382"/>
      <c r="BM349" s="382"/>
      <c r="BN349" s="382"/>
      <c r="BO349" s="382"/>
    </row>
    <row r="350" spans="1:67" s="88" customFormat="1" ht="10.55" customHeight="1" x14ac:dyDescent="0.2">
      <c r="A350" s="1147" t="s">
        <v>432</v>
      </c>
      <c r="B350" s="2818"/>
      <c r="C350" s="2819"/>
      <c r="D350" s="2820"/>
      <c r="E350" s="2751">
        <f>E398</f>
        <v>0</v>
      </c>
      <c r="F350" s="2752"/>
      <c r="G350" s="1785">
        <v>20</v>
      </c>
      <c r="H350" s="524"/>
      <c r="I350" s="1441">
        <f t="shared" si="84"/>
        <v>6.4147128734474465E-2</v>
      </c>
      <c r="J350" s="1427">
        <f t="shared" si="85"/>
        <v>0</v>
      </c>
      <c r="K350" s="684"/>
      <c r="L350" s="685"/>
      <c r="M350" s="1434">
        <f t="shared" si="82"/>
        <v>0</v>
      </c>
      <c r="N350" s="1110"/>
      <c r="O350" s="674">
        <f t="shared" si="86"/>
        <v>20</v>
      </c>
      <c r="P350" s="682"/>
      <c r="Q350" s="286"/>
      <c r="R350" s="287"/>
      <c r="S350" s="280"/>
      <c r="T350" s="280"/>
      <c r="U350" s="280"/>
      <c r="V350" s="280"/>
      <c r="W350" s="280"/>
      <c r="X350" s="280"/>
      <c r="Y350" s="280"/>
      <c r="Z350" s="284"/>
      <c r="AA350" s="284"/>
      <c r="AB350" s="284"/>
      <c r="AC350" s="284"/>
      <c r="AD350" s="284"/>
      <c r="AE350" s="284"/>
      <c r="AF350" s="447"/>
      <c r="AG350" s="447"/>
      <c r="AH350" s="447"/>
      <c r="AI350" s="382"/>
      <c r="AJ350" s="382"/>
      <c r="AK350" s="382"/>
      <c r="AL350" s="382"/>
      <c r="AM350" s="382"/>
      <c r="AN350" s="382"/>
      <c r="AO350" s="382"/>
      <c r="AP350" s="382"/>
      <c r="AQ350" s="382"/>
      <c r="AR350" s="382"/>
      <c r="AS350" s="382"/>
      <c r="AT350" s="382"/>
      <c r="AU350" s="382"/>
      <c r="AV350" s="382"/>
      <c r="AW350" s="382"/>
      <c r="AX350" s="382"/>
      <c r="AY350" s="382"/>
      <c r="AZ350" s="382"/>
      <c r="BA350" s="382"/>
      <c r="BB350" s="382"/>
      <c r="BC350" s="382"/>
      <c r="BD350" s="382"/>
      <c r="BE350" s="382"/>
      <c r="BF350" s="382"/>
      <c r="BG350" s="382"/>
      <c r="BH350" s="382"/>
      <c r="BI350" s="382"/>
      <c r="BJ350" s="382"/>
      <c r="BK350" s="382"/>
      <c r="BL350" s="382"/>
      <c r="BM350" s="382"/>
      <c r="BN350" s="382"/>
      <c r="BO350" s="382"/>
    </row>
    <row r="351" spans="1:67" s="88" customFormat="1" ht="10.55" customHeight="1" x14ac:dyDescent="0.2">
      <c r="A351" s="1147" t="s">
        <v>433</v>
      </c>
      <c r="B351" s="2818"/>
      <c r="C351" s="2819"/>
      <c r="D351" s="2820"/>
      <c r="E351" s="2751">
        <f>E406</f>
        <v>0</v>
      </c>
      <c r="F351" s="2752"/>
      <c r="G351" s="1785">
        <v>20</v>
      </c>
      <c r="H351" s="524"/>
      <c r="I351" s="1441">
        <f t="shared" si="84"/>
        <v>6.4147128734474465E-2</v>
      </c>
      <c r="J351" s="1427">
        <f t="shared" si="85"/>
        <v>0</v>
      </c>
      <c r="K351" s="684"/>
      <c r="L351" s="685"/>
      <c r="M351" s="1434">
        <f t="shared" si="82"/>
        <v>0</v>
      </c>
      <c r="N351" s="1110"/>
      <c r="O351" s="674">
        <f t="shared" si="86"/>
        <v>20</v>
      </c>
      <c r="P351" s="682"/>
      <c r="Q351" s="286"/>
      <c r="R351" s="287"/>
      <c r="S351" s="280"/>
      <c r="T351" s="280"/>
      <c r="U351" s="280"/>
      <c r="V351" s="280"/>
      <c r="W351" s="280"/>
      <c r="X351" s="280"/>
      <c r="Y351" s="280"/>
      <c r="Z351" s="284"/>
      <c r="AA351" s="284"/>
      <c r="AB351" s="284"/>
      <c r="AC351" s="284"/>
      <c r="AD351" s="284"/>
      <c r="AE351" s="284"/>
      <c r="AF351" s="447"/>
      <c r="AG351" s="447"/>
      <c r="AH351" s="447"/>
      <c r="AI351" s="382"/>
      <c r="AJ351" s="382"/>
      <c r="AK351" s="382"/>
      <c r="AL351" s="382"/>
      <c r="AM351" s="382"/>
      <c r="AN351" s="382"/>
      <c r="AO351" s="382"/>
      <c r="AP351" s="382"/>
      <c r="AQ351" s="382"/>
      <c r="AR351" s="382"/>
      <c r="AS351" s="382"/>
      <c r="AT351" s="382"/>
      <c r="AU351" s="382"/>
      <c r="AV351" s="382"/>
      <c r="AW351" s="382"/>
      <c r="AX351" s="382"/>
      <c r="AY351" s="382"/>
      <c r="AZ351" s="382"/>
      <c r="BA351" s="382"/>
      <c r="BB351" s="382"/>
      <c r="BC351" s="382"/>
      <c r="BD351" s="382"/>
      <c r="BE351" s="382"/>
      <c r="BF351" s="382"/>
      <c r="BG351" s="382"/>
      <c r="BH351" s="382"/>
      <c r="BI351" s="382"/>
      <c r="BJ351" s="382"/>
      <c r="BK351" s="382"/>
      <c r="BL351" s="382"/>
      <c r="BM351" s="382"/>
      <c r="BN351" s="382"/>
      <c r="BO351" s="382"/>
    </row>
    <row r="352" spans="1:67" s="88" customFormat="1" ht="10.55" customHeight="1" x14ac:dyDescent="0.2">
      <c r="A352" s="1147" t="s">
        <v>490</v>
      </c>
      <c r="B352" s="2818"/>
      <c r="C352" s="2819"/>
      <c r="D352" s="2820"/>
      <c r="E352" s="2561"/>
      <c r="F352" s="2562"/>
      <c r="G352" s="1785">
        <v>20</v>
      </c>
      <c r="H352" s="524"/>
      <c r="I352" s="1441">
        <f t="shared" si="84"/>
        <v>6.4147128734474465E-2</v>
      </c>
      <c r="J352" s="1427">
        <f t="shared" si="85"/>
        <v>0</v>
      </c>
      <c r="K352" s="684"/>
      <c r="L352" s="685"/>
      <c r="M352" s="1434">
        <f t="shared" si="82"/>
        <v>0</v>
      </c>
      <c r="N352" s="1110"/>
      <c r="O352" s="674">
        <f t="shared" si="86"/>
        <v>20</v>
      </c>
      <c r="P352" s="682"/>
      <c r="Q352" s="286"/>
      <c r="R352" s="287"/>
      <c r="S352" s="280"/>
      <c r="T352" s="280"/>
      <c r="U352" s="280"/>
      <c r="V352" s="280"/>
      <c r="W352" s="280"/>
      <c r="X352" s="280"/>
      <c r="Y352" s="280"/>
      <c r="Z352" s="284"/>
      <c r="AA352" s="284"/>
      <c r="AB352" s="284"/>
      <c r="AC352" s="284"/>
      <c r="AD352" s="284"/>
      <c r="AE352" s="284"/>
      <c r="AF352" s="447"/>
      <c r="AG352" s="447"/>
      <c r="AH352" s="447"/>
      <c r="AI352" s="382"/>
      <c r="AJ352" s="382"/>
      <c r="AK352" s="382"/>
      <c r="AL352" s="382"/>
      <c r="AM352" s="382"/>
      <c r="AN352" s="382"/>
      <c r="AO352" s="382"/>
      <c r="AP352" s="382"/>
      <c r="AQ352" s="382"/>
      <c r="AR352" s="382"/>
      <c r="AS352" s="382"/>
      <c r="AT352" s="382"/>
      <c r="AU352" s="382"/>
      <c r="AV352" s="382"/>
      <c r="AW352" s="382"/>
      <c r="AX352" s="382"/>
      <c r="AY352" s="382"/>
      <c r="AZ352" s="382"/>
      <c r="BA352" s="382"/>
      <c r="BB352" s="382"/>
      <c r="BC352" s="382"/>
      <c r="BD352" s="382"/>
      <c r="BE352" s="382"/>
      <c r="BF352" s="382"/>
      <c r="BG352" s="382"/>
      <c r="BH352" s="382"/>
      <c r="BI352" s="382"/>
      <c r="BJ352" s="382"/>
      <c r="BK352" s="382"/>
      <c r="BL352" s="382"/>
      <c r="BM352" s="382"/>
      <c r="BN352" s="382"/>
      <c r="BO352" s="382"/>
    </row>
    <row r="353" spans="1:67" s="88" customFormat="1" ht="10.55" customHeight="1" x14ac:dyDescent="0.2">
      <c r="A353" s="1147" t="s">
        <v>512</v>
      </c>
      <c r="B353" s="2818"/>
      <c r="C353" s="2819"/>
      <c r="D353" s="2820"/>
      <c r="E353" s="2561"/>
      <c r="F353" s="2562"/>
      <c r="G353" s="1785">
        <v>20</v>
      </c>
      <c r="H353" s="524"/>
      <c r="I353" s="1441">
        <f t="shared" si="84"/>
        <v>6.4147128734474465E-2</v>
      </c>
      <c r="J353" s="1427">
        <f t="shared" si="85"/>
        <v>0</v>
      </c>
      <c r="K353" s="684"/>
      <c r="L353" s="685"/>
      <c r="M353" s="1434">
        <f t="shared" si="82"/>
        <v>0</v>
      </c>
      <c r="N353" s="1110"/>
      <c r="O353" s="674">
        <f t="shared" si="86"/>
        <v>20</v>
      </c>
      <c r="P353" s="682"/>
      <c r="Q353" s="286"/>
      <c r="R353" s="287"/>
      <c r="S353" s="280"/>
      <c r="T353" s="280"/>
      <c r="U353" s="280"/>
      <c r="V353" s="280"/>
      <c r="W353" s="280"/>
      <c r="X353" s="280"/>
      <c r="Y353" s="280"/>
      <c r="Z353" s="284"/>
      <c r="AA353" s="284"/>
      <c r="AB353" s="284"/>
      <c r="AC353" s="284"/>
      <c r="AD353" s="284"/>
      <c r="AE353" s="284"/>
      <c r="AF353" s="447"/>
      <c r="AG353" s="447"/>
      <c r="AH353" s="447"/>
      <c r="AI353" s="382"/>
      <c r="AJ353" s="382"/>
      <c r="AK353" s="382"/>
      <c r="AL353" s="382"/>
      <c r="AM353" s="382"/>
      <c r="AN353" s="382"/>
      <c r="AO353" s="382"/>
      <c r="AP353" s="382"/>
      <c r="AQ353" s="382"/>
      <c r="AR353" s="382"/>
      <c r="AS353" s="382"/>
      <c r="AT353" s="382"/>
      <c r="AU353" s="382"/>
      <c r="AV353" s="382"/>
      <c r="AW353" s="382"/>
      <c r="AX353" s="382"/>
      <c r="AY353" s="382"/>
      <c r="AZ353" s="382"/>
      <c r="BA353" s="382"/>
      <c r="BB353" s="382"/>
      <c r="BC353" s="382"/>
      <c r="BD353" s="382"/>
      <c r="BE353" s="382"/>
      <c r="BF353" s="382"/>
      <c r="BG353" s="382"/>
      <c r="BH353" s="382"/>
      <c r="BI353" s="382"/>
      <c r="BJ353" s="382"/>
      <c r="BK353" s="382"/>
      <c r="BL353" s="382"/>
      <c r="BM353" s="382"/>
      <c r="BN353" s="382"/>
      <c r="BO353" s="382"/>
    </row>
    <row r="354" spans="1:67" s="88" customFormat="1" ht="10.55" customHeight="1" x14ac:dyDescent="0.2">
      <c r="A354" s="1147" t="s">
        <v>434</v>
      </c>
      <c r="B354" s="2818"/>
      <c r="C354" s="2819"/>
      <c r="D354" s="2820"/>
      <c r="E354" s="2561"/>
      <c r="F354" s="2562"/>
      <c r="G354" s="1785">
        <v>20</v>
      </c>
      <c r="H354" s="524"/>
      <c r="I354" s="1441">
        <f t="shared" si="84"/>
        <v>6.4147128734474465E-2</v>
      </c>
      <c r="J354" s="1427">
        <f t="shared" si="85"/>
        <v>0</v>
      </c>
      <c r="K354" s="684"/>
      <c r="L354" s="685"/>
      <c r="M354" s="1434">
        <f t="shared" si="82"/>
        <v>0</v>
      </c>
      <c r="N354" s="1110"/>
      <c r="O354" s="674">
        <f t="shared" si="86"/>
        <v>20</v>
      </c>
      <c r="P354" s="682"/>
      <c r="Q354" s="286"/>
      <c r="R354" s="287"/>
      <c r="S354" s="280"/>
      <c r="T354" s="280"/>
      <c r="U354" s="280"/>
      <c r="V354" s="280"/>
      <c r="W354" s="280"/>
      <c r="X354" s="280"/>
      <c r="Y354" s="280"/>
      <c r="Z354" s="284"/>
      <c r="AA354" s="284"/>
      <c r="AB354" s="284"/>
      <c r="AC354" s="284"/>
      <c r="AD354" s="284"/>
      <c r="AE354" s="284"/>
      <c r="AF354" s="447"/>
      <c r="AG354" s="447"/>
      <c r="AH354" s="447"/>
      <c r="AI354" s="382"/>
      <c r="AJ354" s="382"/>
      <c r="AK354" s="382"/>
      <c r="AL354" s="382"/>
      <c r="AM354" s="382"/>
      <c r="AN354" s="382"/>
      <c r="AO354" s="382"/>
      <c r="AP354" s="382"/>
      <c r="AQ354" s="382"/>
      <c r="AR354" s="382"/>
      <c r="AS354" s="382"/>
      <c r="AT354" s="382"/>
      <c r="AU354" s="382"/>
      <c r="AV354" s="382"/>
      <c r="AW354" s="382"/>
      <c r="AX354" s="382"/>
      <c r="AY354" s="382"/>
      <c r="AZ354" s="382"/>
      <c r="BA354" s="382"/>
      <c r="BB354" s="382"/>
      <c r="BC354" s="382"/>
      <c r="BD354" s="382"/>
      <c r="BE354" s="382"/>
      <c r="BF354" s="382"/>
      <c r="BG354" s="382"/>
      <c r="BH354" s="382"/>
      <c r="BI354" s="382"/>
      <c r="BJ354" s="382"/>
      <c r="BK354" s="382"/>
      <c r="BL354" s="382"/>
      <c r="BM354" s="382"/>
      <c r="BN354" s="382"/>
      <c r="BO354" s="382"/>
    </row>
    <row r="355" spans="1:67" s="88" customFormat="1" ht="10.55" customHeight="1" x14ac:dyDescent="0.2">
      <c r="A355" s="1147" t="s">
        <v>513</v>
      </c>
      <c r="B355" s="2818"/>
      <c r="C355" s="2819"/>
      <c r="D355" s="2820"/>
      <c r="E355" s="2561"/>
      <c r="F355" s="2562"/>
      <c r="G355" s="1785">
        <v>20</v>
      </c>
      <c r="H355" s="524"/>
      <c r="I355" s="1441">
        <f t="shared" si="84"/>
        <v>6.4147128734474465E-2</v>
      </c>
      <c r="J355" s="1427">
        <f t="shared" si="85"/>
        <v>0</v>
      </c>
      <c r="K355" s="684"/>
      <c r="L355" s="685"/>
      <c r="M355" s="1434">
        <f t="shared" si="82"/>
        <v>0</v>
      </c>
      <c r="N355" s="1110"/>
      <c r="O355" s="674">
        <f t="shared" si="86"/>
        <v>20</v>
      </c>
      <c r="P355" s="682"/>
      <c r="Q355" s="286"/>
      <c r="R355" s="287"/>
      <c r="S355" s="280"/>
      <c r="T355" s="280"/>
      <c r="U355" s="280"/>
      <c r="V355" s="280"/>
      <c r="W355" s="280"/>
      <c r="X355" s="280"/>
      <c r="Y355" s="280"/>
      <c r="Z355" s="284"/>
      <c r="AA355" s="284"/>
      <c r="AB355" s="284"/>
      <c r="AC355" s="284"/>
      <c r="AD355" s="284"/>
      <c r="AE355" s="284"/>
      <c r="AF355" s="447"/>
      <c r="AG355" s="447"/>
      <c r="AH355" s="447"/>
      <c r="AI355" s="382"/>
      <c r="AJ355" s="382"/>
      <c r="AK355" s="382"/>
      <c r="AL355" s="382"/>
      <c r="AM355" s="382"/>
      <c r="AN355" s="382"/>
      <c r="AO355" s="382"/>
      <c r="AP355" s="382"/>
      <c r="AQ355" s="382"/>
      <c r="AR355" s="382"/>
      <c r="AS355" s="382"/>
      <c r="AT355" s="382"/>
      <c r="AU355" s="382"/>
      <c r="AV355" s="382"/>
      <c r="AW355" s="382"/>
      <c r="AX355" s="382"/>
      <c r="AY355" s="382"/>
      <c r="AZ355" s="382"/>
      <c r="BA355" s="382"/>
      <c r="BB355" s="382"/>
      <c r="BC355" s="382"/>
      <c r="BD355" s="382"/>
      <c r="BE355" s="382"/>
      <c r="BF355" s="382"/>
      <c r="BG355" s="382"/>
      <c r="BH355" s="382"/>
      <c r="BI355" s="382"/>
      <c r="BJ355" s="382"/>
      <c r="BK355" s="382"/>
      <c r="BL355" s="382"/>
      <c r="BM355" s="382"/>
      <c r="BN355" s="382"/>
      <c r="BO355" s="382"/>
    </row>
    <row r="356" spans="1:67" s="88" customFormat="1" ht="10.55" customHeight="1" x14ac:dyDescent="0.2">
      <c r="A356" s="1147" t="s">
        <v>435</v>
      </c>
      <c r="B356" s="2818"/>
      <c r="C356" s="2819"/>
      <c r="D356" s="2820"/>
      <c r="E356" s="2561"/>
      <c r="F356" s="2562"/>
      <c r="G356" s="1785">
        <v>20</v>
      </c>
      <c r="H356" s="524"/>
      <c r="I356" s="1441">
        <f t="shared" si="84"/>
        <v>6.4147128734474465E-2</v>
      </c>
      <c r="J356" s="1427">
        <f t="shared" si="85"/>
        <v>0</v>
      </c>
      <c r="K356" s="684"/>
      <c r="L356" s="685"/>
      <c r="M356" s="1434">
        <f t="shared" si="82"/>
        <v>0</v>
      </c>
      <c r="N356" s="1110"/>
      <c r="O356" s="674">
        <f t="shared" si="86"/>
        <v>20</v>
      </c>
      <c r="P356" s="682"/>
      <c r="Q356" s="286"/>
      <c r="R356" s="287"/>
      <c r="S356" s="280"/>
      <c r="T356" s="280"/>
      <c r="U356" s="280"/>
      <c r="V356" s="280"/>
      <c r="W356" s="280"/>
      <c r="X356" s="280"/>
      <c r="Y356" s="280"/>
      <c r="Z356" s="284"/>
      <c r="AA356" s="284"/>
      <c r="AB356" s="284"/>
      <c r="AC356" s="284"/>
      <c r="AD356" s="284"/>
      <c r="AE356" s="284"/>
      <c r="AF356" s="447"/>
      <c r="AG356" s="447"/>
      <c r="AH356" s="447"/>
      <c r="AI356" s="382"/>
      <c r="AJ356" s="382"/>
      <c r="AK356" s="382"/>
      <c r="AL356" s="382"/>
      <c r="AM356" s="382"/>
      <c r="AN356" s="382"/>
      <c r="AO356" s="382"/>
      <c r="AP356" s="382"/>
      <c r="AQ356" s="382"/>
      <c r="AR356" s="382"/>
      <c r="AS356" s="382"/>
      <c r="AT356" s="382"/>
      <c r="AU356" s="382"/>
      <c r="AV356" s="382"/>
      <c r="AW356" s="382"/>
      <c r="AX356" s="382"/>
      <c r="AY356" s="382"/>
      <c r="AZ356" s="382"/>
      <c r="BA356" s="382"/>
      <c r="BB356" s="382"/>
      <c r="BC356" s="382"/>
      <c r="BD356" s="382"/>
      <c r="BE356" s="382"/>
      <c r="BF356" s="382"/>
      <c r="BG356" s="382"/>
      <c r="BH356" s="382"/>
      <c r="BI356" s="382"/>
      <c r="BJ356" s="382"/>
      <c r="BK356" s="382"/>
      <c r="BL356" s="382"/>
      <c r="BM356" s="382"/>
      <c r="BN356" s="382"/>
      <c r="BO356" s="382"/>
    </row>
    <row r="357" spans="1:67" s="88" customFormat="1" ht="10.55" customHeight="1" x14ac:dyDescent="0.2">
      <c r="A357" s="1147" t="s">
        <v>436</v>
      </c>
      <c r="B357" s="2818"/>
      <c r="C357" s="2819"/>
      <c r="D357" s="2820"/>
      <c r="E357" s="2561"/>
      <c r="F357" s="2562"/>
      <c r="G357" s="1785">
        <v>20</v>
      </c>
      <c r="H357" s="524"/>
      <c r="I357" s="1441">
        <f t="shared" si="84"/>
        <v>6.4147128734474465E-2</v>
      </c>
      <c r="J357" s="1427">
        <f t="shared" si="85"/>
        <v>0</v>
      </c>
      <c r="K357" s="684"/>
      <c r="L357" s="685"/>
      <c r="M357" s="1434">
        <f t="shared" si="82"/>
        <v>0</v>
      </c>
      <c r="N357" s="1110"/>
      <c r="O357" s="674">
        <f>IF(ISBLANK(H357),G357,H357)</f>
        <v>20</v>
      </c>
      <c r="P357" s="682"/>
      <c r="Q357" s="286"/>
      <c r="R357" s="287"/>
      <c r="S357" s="280"/>
      <c r="T357" s="280"/>
      <c r="U357" s="280"/>
      <c r="V357" s="280"/>
      <c r="W357" s="280"/>
      <c r="X357" s="280"/>
      <c r="Y357" s="280"/>
      <c r="Z357" s="284"/>
      <c r="AA357" s="284"/>
      <c r="AB357" s="284"/>
      <c r="AC357" s="284"/>
      <c r="AD357" s="284"/>
      <c r="AE357" s="284"/>
      <c r="AF357" s="447"/>
      <c r="AG357" s="447"/>
      <c r="AH357" s="447"/>
      <c r="AI357" s="382"/>
      <c r="AJ357" s="382"/>
      <c r="AK357" s="382"/>
      <c r="AL357" s="382"/>
      <c r="AM357" s="382"/>
      <c r="AN357" s="382"/>
      <c r="AO357" s="382"/>
      <c r="AP357" s="382"/>
      <c r="AQ357" s="382"/>
      <c r="AR357" s="382"/>
      <c r="AS357" s="382"/>
      <c r="AT357" s="382"/>
      <c r="AU357" s="382"/>
      <c r="AV357" s="382"/>
      <c r="AW357" s="382"/>
      <c r="AX357" s="382"/>
      <c r="AY357" s="382"/>
      <c r="AZ357" s="382"/>
      <c r="BA357" s="382"/>
      <c r="BB357" s="382"/>
      <c r="BC357" s="382"/>
      <c r="BD357" s="382"/>
      <c r="BE357" s="382"/>
      <c r="BF357" s="382"/>
      <c r="BG357" s="382"/>
      <c r="BH357" s="382"/>
      <c r="BI357" s="382"/>
      <c r="BJ357" s="382"/>
      <c r="BK357" s="382"/>
      <c r="BL357" s="382"/>
      <c r="BM357" s="382"/>
      <c r="BN357" s="382"/>
      <c r="BO357" s="382"/>
    </row>
    <row r="358" spans="1:67" s="88" customFormat="1" ht="10.55" customHeight="1" x14ac:dyDescent="0.2">
      <c r="A358" s="1147" t="s">
        <v>437</v>
      </c>
      <c r="B358" s="2818"/>
      <c r="C358" s="2819"/>
      <c r="D358" s="2820"/>
      <c r="E358" s="2561"/>
      <c r="F358" s="2562"/>
      <c r="G358" s="1785">
        <v>20</v>
      </c>
      <c r="H358" s="524"/>
      <c r="I358" s="1441">
        <f t="shared" si="84"/>
        <v>6.4147128734474465E-2</v>
      </c>
      <c r="J358" s="1427">
        <f t="shared" si="85"/>
        <v>0</v>
      </c>
      <c r="K358" s="684"/>
      <c r="L358" s="685"/>
      <c r="M358" s="1434">
        <f t="shared" si="82"/>
        <v>0</v>
      </c>
      <c r="N358" s="1110"/>
      <c r="O358" s="674">
        <f>IF(ISBLANK(H358),G358,H358)</f>
        <v>20</v>
      </c>
      <c r="P358" s="682"/>
      <c r="Q358" s="286"/>
      <c r="R358" s="287"/>
      <c r="S358" s="280"/>
      <c r="T358" s="280"/>
      <c r="U358" s="280"/>
      <c r="V358" s="280"/>
      <c r="W358" s="280"/>
      <c r="X358" s="280"/>
      <c r="Y358" s="280"/>
      <c r="Z358" s="284"/>
      <c r="AA358" s="284"/>
      <c r="AB358" s="284"/>
      <c r="AC358" s="284"/>
      <c r="AD358" s="284"/>
      <c r="AE358" s="284"/>
      <c r="AF358" s="447"/>
      <c r="AG358" s="447"/>
      <c r="AH358" s="447"/>
      <c r="AI358" s="382"/>
      <c r="AJ358" s="382"/>
      <c r="AK358" s="382"/>
      <c r="AL358" s="382"/>
      <c r="AM358" s="382"/>
      <c r="AN358" s="382"/>
      <c r="AO358" s="382"/>
      <c r="AP358" s="382"/>
      <c r="AQ358" s="382"/>
      <c r="AR358" s="382"/>
      <c r="AS358" s="382"/>
      <c r="AT358" s="382"/>
      <c r="AU358" s="382"/>
      <c r="AV358" s="382"/>
      <c r="AW358" s="382"/>
      <c r="AX358" s="382"/>
      <c r="AY358" s="382"/>
      <c r="AZ358" s="382"/>
      <c r="BA358" s="382"/>
      <c r="BB358" s="382"/>
      <c r="BC358" s="382"/>
      <c r="BD358" s="382"/>
      <c r="BE358" s="382"/>
      <c r="BF358" s="382"/>
      <c r="BG358" s="382"/>
      <c r="BH358" s="382"/>
      <c r="BI358" s="382"/>
      <c r="BJ358" s="382"/>
      <c r="BK358" s="382"/>
      <c r="BL358" s="382"/>
      <c r="BM358" s="382"/>
      <c r="BN358" s="382"/>
      <c r="BO358" s="382"/>
    </row>
    <row r="359" spans="1:67" s="88" customFormat="1" ht="10.55" customHeight="1" x14ac:dyDescent="0.2">
      <c r="A359" s="732"/>
      <c r="B359" s="2818"/>
      <c r="C359" s="2819"/>
      <c r="D359" s="2820"/>
      <c r="E359" s="2561"/>
      <c r="F359" s="2562"/>
      <c r="G359" s="1015"/>
      <c r="H359" s="524"/>
      <c r="I359" s="1441">
        <f t="shared" si="84"/>
        <v>0</v>
      </c>
      <c r="J359" s="1427">
        <f t="shared" si="85"/>
        <v>0</v>
      </c>
      <c r="K359" s="684"/>
      <c r="L359" s="685"/>
      <c r="M359" s="1434">
        <f t="shared" si="82"/>
        <v>0</v>
      </c>
      <c r="N359" s="1110"/>
      <c r="O359" s="674">
        <f>IF(ISBLANK(H359),G359,H359)</f>
        <v>0</v>
      </c>
      <c r="P359" s="682"/>
      <c r="Q359" s="286"/>
      <c r="R359" s="287"/>
      <c r="S359" s="280"/>
      <c r="T359" s="280"/>
      <c r="U359" s="280"/>
      <c r="V359" s="280"/>
      <c r="W359" s="280"/>
      <c r="X359" s="280"/>
      <c r="Y359" s="280"/>
      <c r="Z359" s="284"/>
      <c r="AA359" s="284"/>
      <c r="AB359" s="284"/>
      <c r="AC359" s="284"/>
      <c r="AD359" s="284"/>
      <c r="AE359" s="284"/>
      <c r="AF359" s="447"/>
      <c r="AG359" s="447"/>
      <c r="AH359" s="447"/>
      <c r="AI359" s="382"/>
      <c r="AJ359" s="382"/>
      <c r="AK359" s="382"/>
      <c r="AL359" s="382"/>
      <c r="AM359" s="382"/>
      <c r="AN359" s="382"/>
      <c r="AO359" s="382"/>
      <c r="AP359" s="382"/>
      <c r="AQ359" s="382"/>
      <c r="AR359" s="382"/>
      <c r="AS359" s="382"/>
      <c r="AT359" s="382"/>
      <c r="AU359" s="382"/>
      <c r="AV359" s="382"/>
      <c r="AW359" s="382"/>
      <c r="AX359" s="382"/>
      <c r="AY359" s="382"/>
      <c r="AZ359" s="382"/>
      <c r="BA359" s="382"/>
      <c r="BB359" s="382"/>
      <c r="BC359" s="382"/>
      <c r="BD359" s="382"/>
      <c r="BE359" s="382"/>
      <c r="BF359" s="382"/>
      <c r="BG359" s="382"/>
      <c r="BH359" s="382"/>
      <c r="BI359" s="382"/>
      <c r="BJ359" s="382"/>
      <c r="BK359" s="382"/>
      <c r="BL359" s="382"/>
      <c r="BM359" s="382"/>
      <c r="BN359" s="382"/>
      <c r="BO359" s="382"/>
    </row>
    <row r="360" spans="1:67" s="88" customFormat="1" ht="10.55" customHeight="1" x14ac:dyDescent="0.2">
      <c r="A360" s="732"/>
      <c r="B360" s="2818"/>
      <c r="C360" s="2819"/>
      <c r="D360" s="2820"/>
      <c r="E360" s="2561"/>
      <c r="F360" s="2562"/>
      <c r="G360" s="1015"/>
      <c r="H360" s="524"/>
      <c r="I360" s="1441">
        <f t="shared" si="84"/>
        <v>0</v>
      </c>
      <c r="J360" s="1427">
        <f t="shared" si="85"/>
        <v>0</v>
      </c>
      <c r="K360" s="684"/>
      <c r="L360" s="685"/>
      <c r="M360" s="1434">
        <f t="shared" si="82"/>
        <v>0</v>
      </c>
      <c r="N360" s="1110"/>
      <c r="O360" s="674">
        <f>IF(ISBLANK(H360),G360,H360)</f>
        <v>0</v>
      </c>
      <c r="P360" s="682"/>
      <c r="Q360" s="286"/>
      <c r="R360" s="287"/>
      <c r="S360" s="280"/>
      <c r="T360" s="280"/>
      <c r="U360" s="280"/>
      <c r="V360" s="280"/>
      <c r="W360" s="280"/>
      <c r="X360" s="280"/>
      <c r="Y360" s="280"/>
      <c r="Z360" s="284"/>
      <c r="AA360" s="284"/>
      <c r="AB360" s="284"/>
      <c r="AC360" s="284"/>
      <c r="AD360" s="284"/>
      <c r="AE360" s="284"/>
      <c r="AF360" s="447"/>
      <c r="AG360" s="447"/>
      <c r="AH360" s="447"/>
      <c r="AI360" s="382"/>
      <c r="AJ360" s="382"/>
      <c r="AK360" s="382"/>
      <c r="AL360" s="382"/>
      <c r="AM360" s="382"/>
      <c r="AN360" s="382"/>
      <c r="AO360" s="382"/>
      <c r="AP360" s="382"/>
      <c r="AQ360" s="382"/>
      <c r="AR360" s="382"/>
      <c r="AS360" s="382"/>
      <c r="AT360" s="382"/>
      <c r="AU360" s="382"/>
      <c r="AV360" s="382"/>
      <c r="AW360" s="382"/>
      <c r="AX360" s="382"/>
      <c r="AY360" s="382"/>
      <c r="AZ360" s="382"/>
      <c r="BA360" s="382"/>
      <c r="BB360" s="382"/>
      <c r="BC360" s="382"/>
      <c r="BD360" s="382"/>
      <c r="BE360" s="382"/>
      <c r="BF360" s="382"/>
      <c r="BG360" s="382"/>
      <c r="BH360" s="382"/>
      <c r="BI360" s="382"/>
      <c r="BJ360" s="382"/>
      <c r="BK360" s="382"/>
      <c r="BL360" s="382"/>
      <c r="BM360" s="382"/>
      <c r="BN360" s="382"/>
      <c r="BO360" s="382"/>
    </row>
    <row r="361" spans="1:67" s="706" customFormat="1" ht="10.55" customHeight="1" x14ac:dyDescent="0.2">
      <c r="A361" s="1137"/>
      <c r="B361" s="1156"/>
      <c r="C361" s="1156"/>
      <c r="D361" s="1157"/>
      <c r="E361" s="1419"/>
      <c r="F361" s="1420"/>
      <c r="G361" s="1313"/>
      <c r="H361" s="1087"/>
      <c r="I361" s="1437"/>
      <c r="J361" s="1413"/>
      <c r="K361" s="1314"/>
      <c r="L361" s="1315"/>
      <c r="M361" s="1431"/>
      <c r="N361" s="333"/>
      <c r="O361" s="702"/>
      <c r="P361" s="703"/>
      <c r="Q361" s="286"/>
      <c r="R361" s="287"/>
      <c r="S361" s="280"/>
      <c r="T361" s="280"/>
      <c r="U361" s="280"/>
      <c r="V361" s="280"/>
      <c r="W361" s="280"/>
      <c r="X361" s="280"/>
      <c r="Y361" s="280"/>
      <c r="Z361" s="280"/>
      <c r="AA361" s="280"/>
      <c r="AB361" s="280"/>
      <c r="AC361" s="280"/>
      <c r="AD361" s="280"/>
      <c r="AE361" s="280"/>
      <c r="AF361" s="704"/>
      <c r="AG361" s="704"/>
      <c r="AH361" s="704"/>
      <c r="AI361" s="705"/>
      <c r="AJ361" s="705"/>
      <c r="AK361" s="705"/>
      <c r="AL361" s="705"/>
      <c r="AM361" s="705"/>
      <c r="AN361" s="705"/>
      <c r="AO361" s="705"/>
      <c r="AP361" s="705"/>
      <c r="AQ361" s="705"/>
      <c r="AR361" s="705"/>
      <c r="AS361" s="705"/>
      <c r="AT361" s="705"/>
      <c r="AU361" s="705"/>
      <c r="AV361" s="705"/>
      <c r="AW361" s="705"/>
      <c r="AX361" s="705"/>
      <c r="AY361" s="705"/>
      <c r="AZ361" s="705"/>
      <c r="BA361" s="705"/>
      <c r="BB361" s="705"/>
      <c r="BC361" s="705"/>
      <c r="BD361" s="705"/>
      <c r="BE361" s="705"/>
      <c r="BF361" s="705"/>
      <c r="BG361" s="705"/>
      <c r="BH361" s="705"/>
      <c r="BI361" s="705"/>
      <c r="BJ361" s="705"/>
      <c r="BK361" s="705"/>
      <c r="BL361" s="705"/>
      <c r="BM361" s="705"/>
      <c r="BN361" s="705"/>
      <c r="BO361" s="705"/>
    </row>
    <row r="362" spans="1:67" s="706" customFormat="1" ht="10.55" customHeight="1" x14ac:dyDescent="0.2">
      <c r="A362" s="1138" t="s">
        <v>438</v>
      </c>
      <c r="B362" s="1158"/>
      <c r="C362" s="1158"/>
      <c r="D362" s="1159"/>
      <c r="E362" s="1073"/>
      <c r="F362" s="371"/>
      <c r="G362" s="371"/>
      <c r="H362" s="1075"/>
      <c r="I362" s="736"/>
      <c r="J362" s="737"/>
      <c r="K362" s="738"/>
      <c r="L362" s="739"/>
      <c r="M362" s="1035"/>
      <c r="N362" s="333"/>
      <c r="O362" s="702"/>
      <c r="P362" s="703"/>
      <c r="Q362" s="286"/>
      <c r="R362" s="287"/>
      <c r="S362" s="280"/>
      <c r="T362" s="280"/>
      <c r="U362" s="280"/>
      <c r="V362" s="280"/>
      <c r="W362" s="280"/>
      <c r="X362" s="280"/>
      <c r="Y362" s="280"/>
      <c r="Z362" s="280"/>
      <c r="AA362" s="280"/>
      <c r="AB362" s="280"/>
      <c r="AC362" s="280"/>
      <c r="AD362" s="280"/>
      <c r="AE362" s="280"/>
      <c r="AF362" s="704"/>
      <c r="AG362" s="704"/>
      <c r="AH362" s="704"/>
      <c r="AI362" s="705"/>
      <c r="AJ362" s="705"/>
      <c r="AK362" s="705"/>
      <c r="AL362" s="705"/>
      <c r="AM362" s="705"/>
      <c r="AN362" s="705"/>
      <c r="AO362" s="705"/>
      <c r="AP362" s="705"/>
      <c r="AQ362" s="705"/>
      <c r="AR362" s="705"/>
      <c r="AS362" s="705"/>
      <c r="AT362" s="705"/>
      <c r="AU362" s="705"/>
      <c r="AV362" s="705"/>
      <c r="AW362" s="705"/>
      <c r="AX362" s="705"/>
      <c r="AY362" s="705"/>
      <c r="AZ362" s="705"/>
      <c r="BA362" s="705"/>
      <c r="BB362" s="705"/>
      <c r="BC362" s="705"/>
      <c r="BD362" s="705"/>
      <c r="BE362" s="705"/>
      <c r="BF362" s="705"/>
      <c r="BG362" s="705"/>
      <c r="BH362" s="705"/>
      <c r="BI362" s="705"/>
      <c r="BJ362" s="705"/>
      <c r="BK362" s="705"/>
      <c r="BL362" s="705"/>
      <c r="BM362" s="705"/>
      <c r="BN362" s="705"/>
      <c r="BO362" s="705"/>
    </row>
    <row r="363" spans="1:67" s="706" customFormat="1" ht="10.55" customHeight="1" x14ac:dyDescent="0.2">
      <c r="A363" s="1139"/>
      <c r="B363" s="1160"/>
      <c r="C363" s="1160"/>
      <c r="D363" s="1161"/>
      <c r="E363" s="372"/>
      <c r="F363" s="720"/>
      <c r="G363" s="740"/>
      <c r="H363" s="741"/>
      <c r="I363" s="742"/>
      <c r="J363" s="743"/>
      <c r="K363" s="744"/>
      <c r="L363" s="745"/>
      <c r="M363" s="1036"/>
      <c r="N363" s="333"/>
      <c r="O363" s="702"/>
      <c r="P363" s="703"/>
      <c r="Q363" s="286"/>
      <c r="R363" s="287"/>
      <c r="S363" s="280"/>
      <c r="T363" s="280"/>
      <c r="U363" s="280"/>
      <c r="V363" s="280"/>
      <c r="W363" s="280"/>
      <c r="X363" s="280"/>
      <c r="Y363" s="280"/>
      <c r="Z363" s="280"/>
      <c r="AA363" s="280"/>
      <c r="AB363" s="280"/>
      <c r="AC363" s="280"/>
      <c r="AD363" s="280"/>
      <c r="AE363" s="280"/>
      <c r="AF363" s="704"/>
      <c r="AG363" s="704"/>
      <c r="AH363" s="704"/>
      <c r="AI363" s="705"/>
      <c r="AJ363" s="705"/>
      <c r="AK363" s="705"/>
      <c r="AL363" s="705"/>
      <c r="AM363" s="705"/>
      <c r="AN363" s="705"/>
      <c r="AO363" s="705"/>
      <c r="AP363" s="705"/>
      <c r="AQ363" s="705"/>
      <c r="AR363" s="705"/>
      <c r="AS363" s="705"/>
      <c r="AT363" s="705"/>
      <c r="AU363" s="705"/>
      <c r="AV363" s="705"/>
      <c r="AW363" s="705"/>
      <c r="AX363" s="705"/>
      <c r="AY363" s="705"/>
      <c r="AZ363" s="705"/>
      <c r="BA363" s="705"/>
      <c r="BB363" s="705"/>
      <c r="BC363" s="705"/>
      <c r="BD363" s="705"/>
      <c r="BE363" s="705"/>
      <c r="BF363" s="705"/>
      <c r="BG363" s="705"/>
      <c r="BH363" s="705"/>
      <c r="BI363" s="705"/>
      <c r="BJ363" s="705"/>
      <c r="BK363" s="705"/>
      <c r="BL363" s="705"/>
      <c r="BM363" s="705"/>
      <c r="BN363" s="705"/>
      <c r="BO363" s="705"/>
    </row>
    <row r="364" spans="1:67" s="706" customFormat="1" ht="10.55" customHeight="1" x14ac:dyDescent="0.2">
      <c r="A364" s="1140" t="s">
        <v>439</v>
      </c>
      <c r="B364" s="1162"/>
      <c r="C364" s="1162"/>
      <c r="D364" s="1163"/>
      <c r="E364" s="374"/>
      <c r="F364" s="720"/>
      <c r="G364" s="740"/>
      <c r="H364" s="741"/>
      <c r="I364" s="742"/>
      <c r="J364" s="743"/>
      <c r="K364" s="744"/>
      <c r="L364" s="745"/>
      <c r="M364" s="1036"/>
      <c r="N364" s="333"/>
      <c r="O364" s="702"/>
      <c r="P364" s="703"/>
      <c r="Q364" s="286"/>
      <c r="R364" s="287"/>
      <c r="S364" s="281"/>
      <c r="T364" s="280"/>
      <c r="U364" s="280"/>
      <c r="V364" s="280"/>
      <c r="W364" s="280"/>
      <c r="X364" s="280"/>
      <c r="Y364" s="280"/>
      <c r="Z364" s="280"/>
      <c r="AA364" s="280"/>
      <c r="AB364" s="280"/>
      <c r="AC364" s="280"/>
      <c r="AD364" s="280"/>
      <c r="AE364" s="280"/>
      <c r="AF364" s="704"/>
      <c r="AG364" s="704"/>
      <c r="AH364" s="704"/>
      <c r="AI364" s="705"/>
      <c r="AJ364" s="705"/>
      <c r="AK364" s="705"/>
      <c r="AL364" s="705"/>
      <c r="AM364" s="705"/>
      <c r="AN364" s="705"/>
      <c r="AO364" s="705"/>
      <c r="AP364" s="705"/>
      <c r="AQ364" s="705"/>
      <c r="AR364" s="705"/>
      <c r="AS364" s="705"/>
      <c r="AT364" s="705"/>
      <c r="AU364" s="705"/>
      <c r="AV364" s="705"/>
      <c r="AW364" s="705"/>
      <c r="AX364" s="705"/>
      <c r="AY364" s="705"/>
      <c r="AZ364" s="705"/>
      <c r="BA364" s="705"/>
      <c r="BB364" s="705"/>
      <c r="BC364" s="705"/>
      <c r="BD364" s="705"/>
      <c r="BE364" s="705"/>
      <c r="BF364" s="705"/>
      <c r="BG364" s="705"/>
      <c r="BH364" s="705"/>
      <c r="BI364" s="705"/>
      <c r="BJ364" s="705"/>
      <c r="BK364" s="705"/>
      <c r="BL364" s="705"/>
      <c r="BM364" s="705"/>
      <c r="BN364" s="705"/>
      <c r="BO364" s="705"/>
    </row>
    <row r="365" spans="1:67" s="706" customFormat="1" ht="10.55" customHeight="1" x14ac:dyDescent="0.2">
      <c r="A365" s="1141" t="s">
        <v>440</v>
      </c>
      <c r="B365" s="1160"/>
      <c r="C365" s="1160"/>
      <c r="D365" s="1164" t="s">
        <v>441</v>
      </c>
      <c r="E365" s="2821">
        <f>SUM(E59,E74,E89,E106,E121,E136,E151,E166,E181,E241,E256,E271,E301,E316)</f>
        <v>0</v>
      </c>
      <c r="F365" s="2822"/>
      <c r="G365" s="746"/>
      <c r="H365" s="747"/>
      <c r="I365" s="742"/>
      <c r="J365" s="743"/>
      <c r="K365" s="744"/>
      <c r="L365" s="745"/>
      <c r="M365" s="1036"/>
      <c r="N365" s="333"/>
      <c r="O365" s="702"/>
      <c r="P365" s="703"/>
      <c r="Q365" s="286"/>
      <c r="R365" s="287"/>
      <c r="S365" s="280"/>
      <c r="T365" s="280"/>
      <c r="U365" s="280"/>
      <c r="V365" s="280"/>
      <c r="W365" s="280"/>
      <c r="X365" s="280"/>
      <c r="Y365" s="280"/>
      <c r="Z365" s="280"/>
      <c r="AA365" s="280"/>
      <c r="AB365" s="280"/>
      <c r="AC365" s="280"/>
      <c r="AD365" s="280"/>
      <c r="AE365" s="280"/>
      <c r="AF365" s="704"/>
      <c r="AG365" s="704"/>
      <c r="AH365" s="704"/>
      <c r="AI365" s="705"/>
      <c r="AJ365" s="705"/>
      <c r="AK365" s="705"/>
      <c r="AL365" s="705"/>
      <c r="AM365" s="705"/>
      <c r="AN365" s="705"/>
      <c r="AO365" s="705"/>
      <c r="AP365" s="705"/>
      <c r="AQ365" s="705"/>
      <c r="AR365" s="705"/>
      <c r="AS365" s="705"/>
      <c r="AT365" s="705"/>
      <c r="AU365" s="705"/>
      <c r="AV365" s="705"/>
      <c r="AW365" s="705"/>
      <c r="AX365" s="705"/>
      <c r="AY365" s="705"/>
      <c r="AZ365" s="705"/>
      <c r="BA365" s="705"/>
      <c r="BB365" s="705"/>
      <c r="BC365" s="705"/>
      <c r="BD365" s="705"/>
      <c r="BE365" s="705"/>
      <c r="BF365" s="705"/>
      <c r="BG365" s="705"/>
      <c r="BH365" s="705"/>
      <c r="BI365" s="705"/>
      <c r="BJ365" s="705"/>
      <c r="BK365" s="705"/>
      <c r="BL365" s="705"/>
      <c r="BM365" s="705"/>
      <c r="BN365" s="705"/>
      <c r="BO365" s="705"/>
    </row>
    <row r="366" spans="1:67" s="706" customFormat="1" ht="10.55" customHeight="1" x14ac:dyDescent="0.2">
      <c r="A366" s="1141" t="s">
        <v>495</v>
      </c>
      <c r="B366" s="1160"/>
      <c r="C366" s="1160"/>
      <c r="D366" s="1164" t="s">
        <v>442</v>
      </c>
      <c r="E366" s="712">
        <f>IF(E365=0,0,E369+E370/(E365^(1/3)))</f>
        <v>0</v>
      </c>
      <c r="F366" s="721"/>
      <c r="G366" s="748"/>
      <c r="H366" s="741"/>
      <c r="I366" s="742"/>
      <c r="J366" s="743"/>
      <c r="K366" s="744"/>
      <c r="L366" s="745"/>
      <c r="M366" s="1036"/>
      <c r="N366" s="333"/>
      <c r="O366" s="702"/>
      <c r="P366" s="703"/>
      <c r="Q366" s="286"/>
      <c r="R366" s="287"/>
      <c r="S366" s="280"/>
      <c r="T366" s="280"/>
      <c r="U366" s="280"/>
      <c r="V366" s="280"/>
      <c r="W366" s="280"/>
      <c r="X366" s="280"/>
      <c r="Y366" s="280"/>
      <c r="Z366" s="280"/>
      <c r="AA366" s="280"/>
      <c r="AB366" s="280"/>
      <c r="AC366" s="280"/>
      <c r="AD366" s="280"/>
      <c r="AE366" s="280"/>
      <c r="AF366" s="704"/>
      <c r="AG366" s="704"/>
      <c r="AH366" s="704"/>
      <c r="AI366" s="705"/>
      <c r="AJ366" s="705"/>
      <c r="AK366" s="705"/>
      <c r="AL366" s="705"/>
      <c r="AM366" s="705"/>
      <c r="AN366" s="705"/>
      <c r="AO366" s="705"/>
      <c r="AP366" s="705"/>
      <c r="AQ366" s="705"/>
      <c r="AR366" s="705"/>
      <c r="AS366" s="705"/>
      <c r="AT366" s="705"/>
      <c r="AU366" s="705"/>
      <c r="AV366" s="705"/>
      <c r="AW366" s="705"/>
      <c r="AX366" s="705"/>
      <c r="AY366" s="705"/>
      <c r="AZ366" s="705"/>
      <c r="BA366" s="705"/>
      <c r="BB366" s="705"/>
      <c r="BC366" s="705"/>
      <c r="BD366" s="705"/>
      <c r="BE366" s="705"/>
      <c r="BF366" s="705"/>
      <c r="BG366" s="705"/>
      <c r="BH366" s="705"/>
      <c r="BI366" s="705"/>
      <c r="BJ366" s="705"/>
      <c r="BK366" s="705"/>
      <c r="BL366" s="705"/>
      <c r="BM366" s="705"/>
      <c r="BN366" s="705"/>
      <c r="BO366" s="705"/>
    </row>
    <row r="367" spans="1:67" s="706" customFormat="1" ht="10.55" customHeight="1" x14ac:dyDescent="0.2">
      <c r="A367" s="1141" t="s">
        <v>443</v>
      </c>
      <c r="B367" s="367"/>
      <c r="C367" s="367"/>
      <c r="D367" s="373" t="s">
        <v>444</v>
      </c>
      <c r="E367" s="726">
        <v>0.9</v>
      </c>
      <c r="F367" s="721"/>
      <c r="G367" s="748"/>
      <c r="H367" s="741"/>
      <c r="I367" s="742"/>
      <c r="J367" s="743"/>
      <c r="K367" s="744"/>
      <c r="L367" s="745"/>
      <c r="M367" s="1036"/>
      <c r="N367" s="333"/>
      <c r="O367" s="702"/>
      <c r="P367" s="703"/>
      <c r="Q367" s="286"/>
      <c r="R367" s="287"/>
      <c r="S367" s="280"/>
      <c r="T367" s="280"/>
      <c r="U367" s="280"/>
      <c r="V367" s="280"/>
      <c r="W367" s="280"/>
      <c r="X367" s="280"/>
      <c r="Y367" s="280"/>
      <c r="Z367" s="280"/>
      <c r="AA367" s="280"/>
      <c r="AB367" s="280"/>
      <c r="AC367" s="280"/>
      <c r="AD367" s="280"/>
      <c r="AE367" s="280"/>
      <c r="AF367" s="704"/>
      <c r="AG367" s="704"/>
      <c r="AH367" s="704"/>
      <c r="AI367" s="705"/>
      <c r="AJ367" s="705"/>
      <c r="AK367" s="705"/>
      <c r="AL367" s="705"/>
      <c r="AM367" s="705"/>
      <c r="AN367" s="705"/>
      <c r="AO367" s="705"/>
      <c r="AP367" s="705"/>
      <c r="AQ367" s="705"/>
      <c r="AR367" s="705"/>
      <c r="AS367" s="705"/>
      <c r="AT367" s="705"/>
      <c r="AU367" s="705"/>
      <c r="AV367" s="705"/>
      <c r="AW367" s="705"/>
      <c r="AX367" s="705"/>
      <c r="AY367" s="705"/>
      <c r="AZ367" s="705"/>
      <c r="BA367" s="705"/>
      <c r="BB367" s="705"/>
      <c r="BC367" s="705"/>
      <c r="BD367" s="705"/>
      <c r="BE367" s="705"/>
      <c r="BF367" s="705"/>
      <c r="BG367" s="705"/>
      <c r="BH367" s="705"/>
      <c r="BI367" s="705"/>
      <c r="BJ367" s="705"/>
      <c r="BK367" s="705"/>
      <c r="BL367" s="705"/>
      <c r="BM367" s="705"/>
      <c r="BN367" s="705"/>
      <c r="BO367" s="705"/>
    </row>
    <row r="368" spans="1:67" s="706" customFormat="1" ht="10.55" customHeight="1" x14ac:dyDescent="0.2">
      <c r="A368" s="1141" t="s">
        <v>500</v>
      </c>
      <c r="B368" s="367"/>
      <c r="C368" s="367"/>
      <c r="D368" s="373" t="s">
        <v>494</v>
      </c>
      <c r="E368" s="726">
        <v>1</v>
      </c>
      <c r="F368" s="721"/>
      <c r="G368" s="748"/>
      <c r="H368" s="741"/>
      <c r="I368" s="742"/>
      <c r="J368" s="743"/>
      <c r="K368" s="744"/>
      <c r="L368" s="745"/>
      <c r="M368" s="1036"/>
      <c r="N368" s="333"/>
      <c r="O368" s="702"/>
      <c r="P368" s="703"/>
      <c r="Q368" s="286"/>
      <c r="R368" s="287"/>
      <c r="S368" s="280"/>
      <c r="T368" s="280"/>
      <c r="U368" s="280"/>
      <c r="V368" s="280"/>
      <c r="W368" s="280"/>
      <c r="X368" s="280"/>
      <c r="Y368" s="280"/>
      <c r="Z368" s="280"/>
      <c r="AA368" s="280"/>
      <c r="AB368" s="280"/>
      <c r="AC368" s="280"/>
      <c r="AD368" s="280"/>
      <c r="AE368" s="280"/>
      <c r="AF368" s="704"/>
      <c r="AG368" s="704"/>
      <c r="AH368" s="704"/>
      <c r="AI368" s="705"/>
      <c r="AJ368" s="705"/>
      <c r="AK368" s="705"/>
      <c r="AL368" s="705"/>
      <c r="AM368" s="705"/>
      <c r="AN368" s="705"/>
      <c r="AO368" s="705"/>
      <c r="AP368" s="705"/>
      <c r="AQ368" s="705"/>
      <c r="AR368" s="705"/>
      <c r="AS368" s="705"/>
      <c r="AT368" s="705"/>
      <c r="AU368" s="705"/>
      <c r="AV368" s="705"/>
      <c r="AW368" s="705"/>
      <c r="AX368" s="705"/>
      <c r="AY368" s="705"/>
      <c r="AZ368" s="705"/>
      <c r="BA368" s="705"/>
      <c r="BB368" s="705"/>
      <c r="BC368" s="705"/>
      <c r="BD368" s="705"/>
      <c r="BE368" s="705"/>
      <c r="BF368" s="705"/>
      <c r="BG368" s="705"/>
      <c r="BH368" s="705"/>
      <c r="BI368" s="705"/>
      <c r="BJ368" s="705"/>
      <c r="BK368" s="705"/>
      <c r="BL368" s="705"/>
      <c r="BM368" s="705"/>
      <c r="BN368" s="705"/>
      <c r="BO368" s="705"/>
    </row>
    <row r="369" spans="1:67" s="706" customFormat="1" ht="10.55" customHeight="1" x14ac:dyDescent="0.2">
      <c r="A369" s="1141" t="s">
        <v>501</v>
      </c>
      <c r="B369" s="2823" t="s">
        <v>837</v>
      </c>
      <c r="C369" s="2823"/>
      <c r="D369" s="373" t="s">
        <v>492</v>
      </c>
      <c r="E369" s="727">
        <v>6.6000000000000003E-2</v>
      </c>
      <c r="F369" s="721"/>
      <c r="G369" s="2824"/>
      <c r="H369" s="2825"/>
      <c r="I369" s="742"/>
      <c r="J369" s="743"/>
      <c r="K369" s="744"/>
      <c r="L369" s="745"/>
      <c r="M369" s="1036"/>
      <c r="N369" s="333"/>
      <c r="O369" s="702"/>
      <c r="P369" s="703"/>
      <c r="Q369" s="286"/>
      <c r="R369" s="287"/>
      <c r="S369" s="280"/>
      <c r="T369" s="280"/>
      <c r="U369" s="280"/>
      <c r="V369" s="280"/>
      <c r="W369" s="280"/>
      <c r="X369" s="280"/>
      <c r="Y369" s="280"/>
      <c r="Z369" s="280"/>
      <c r="AA369" s="280"/>
      <c r="AB369" s="280"/>
      <c r="AC369" s="280"/>
      <c r="AD369" s="280"/>
      <c r="AE369" s="280"/>
      <c r="AF369" s="704"/>
      <c r="AG369" s="704"/>
      <c r="AH369" s="704"/>
      <c r="AI369" s="705"/>
      <c r="AJ369" s="705"/>
      <c r="AK369" s="705"/>
      <c r="AL369" s="705"/>
      <c r="AM369" s="705"/>
      <c r="AN369" s="705"/>
      <c r="AO369" s="705"/>
      <c r="AP369" s="705"/>
      <c r="AQ369" s="705"/>
      <c r="AR369" s="705"/>
      <c r="AS369" s="705"/>
      <c r="AT369" s="705"/>
      <c r="AU369" s="705"/>
      <c r="AV369" s="705"/>
      <c r="AW369" s="705"/>
      <c r="AX369" s="705"/>
      <c r="AY369" s="705"/>
      <c r="AZ369" s="705"/>
      <c r="BA369" s="705"/>
      <c r="BB369" s="705"/>
      <c r="BC369" s="705"/>
      <c r="BD369" s="705"/>
      <c r="BE369" s="705"/>
      <c r="BF369" s="705"/>
      <c r="BG369" s="705"/>
      <c r="BH369" s="705"/>
      <c r="BI369" s="705"/>
      <c r="BJ369" s="705"/>
      <c r="BK369" s="705"/>
      <c r="BL369" s="705"/>
      <c r="BM369" s="705"/>
      <c r="BN369" s="705"/>
      <c r="BO369" s="705"/>
    </row>
    <row r="370" spans="1:67" s="706" customFormat="1" ht="10.55" customHeight="1" x14ac:dyDescent="0.2">
      <c r="A370" s="1141" t="s">
        <v>502</v>
      </c>
      <c r="B370" s="2823" t="s">
        <v>837</v>
      </c>
      <c r="C370" s="2823"/>
      <c r="D370" s="373" t="s">
        <v>493</v>
      </c>
      <c r="E370" s="727">
        <v>11.28</v>
      </c>
      <c r="F370" s="721"/>
      <c r="G370" s="2824"/>
      <c r="H370" s="2825"/>
      <c r="I370" s="742"/>
      <c r="J370" s="743"/>
      <c r="K370" s="744"/>
      <c r="L370" s="745"/>
      <c r="M370" s="1036"/>
      <c r="N370" s="333"/>
      <c r="O370" s="702"/>
      <c r="P370" s="703"/>
      <c r="Q370" s="286"/>
      <c r="R370" s="287"/>
      <c r="S370" s="280"/>
      <c r="T370" s="280"/>
      <c r="U370" s="280"/>
      <c r="V370" s="280"/>
      <c r="W370" s="280"/>
      <c r="X370" s="280"/>
      <c r="Y370" s="280"/>
      <c r="Z370" s="280"/>
      <c r="AA370" s="280"/>
      <c r="AB370" s="280"/>
      <c r="AC370" s="280"/>
      <c r="AD370" s="280"/>
      <c r="AE370" s="280"/>
      <c r="AF370" s="704"/>
      <c r="AG370" s="704"/>
      <c r="AH370" s="704"/>
      <c r="AI370" s="705"/>
      <c r="AJ370" s="705"/>
      <c r="AK370" s="705"/>
      <c r="AL370" s="705"/>
      <c r="AM370" s="705"/>
      <c r="AN370" s="705"/>
      <c r="AO370" s="705"/>
      <c r="AP370" s="705"/>
      <c r="AQ370" s="705"/>
      <c r="AR370" s="705"/>
      <c r="AS370" s="705"/>
      <c r="AT370" s="705"/>
      <c r="AU370" s="705"/>
      <c r="AV370" s="705"/>
      <c r="AW370" s="705"/>
      <c r="AX370" s="705"/>
      <c r="AY370" s="705"/>
      <c r="AZ370" s="705"/>
      <c r="BA370" s="705"/>
      <c r="BB370" s="705"/>
      <c r="BC370" s="705"/>
      <c r="BD370" s="705"/>
      <c r="BE370" s="705"/>
      <c r="BF370" s="705"/>
      <c r="BG370" s="705"/>
      <c r="BH370" s="705"/>
      <c r="BI370" s="705"/>
      <c r="BJ370" s="705"/>
      <c r="BK370" s="705"/>
      <c r="BL370" s="705"/>
      <c r="BM370" s="705"/>
      <c r="BN370" s="705"/>
      <c r="BO370" s="705"/>
    </row>
    <row r="371" spans="1:67" s="706" customFormat="1" ht="10.55" customHeight="1" x14ac:dyDescent="0.2">
      <c r="A371" s="1141" t="s">
        <v>498</v>
      </c>
      <c r="B371" s="367"/>
      <c r="C371" s="367"/>
      <c r="D371" s="373" t="s">
        <v>499</v>
      </c>
      <c r="E371" s="727">
        <v>100</v>
      </c>
      <c r="F371" s="1037"/>
      <c r="G371" s="1038"/>
      <c r="H371" s="1039"/>
      <c r="I371" s="742"/>
      <c r="J371" s="743"/>
      <c r="K371" s="744"/>
      <c r="L371" s="745"/>
      <c r="M371" s="1036"/>
      <c r="N371" s="333"/>
      <c r="O371" s="702"/>
      <c r="P371" s="703"/>
      <c r="Q371" s="286"/>
      <c r="R371" s="287"/>
      <c r="S371" s="280"/>
      <c r="T371" s="280"/>
      <c r="U371" s="280"/>
      <c r="V371" s="280"/>
      <c r="W371" s="280"/>
      <c r="X371" s="280"/>
      <c r="Y371" s="280"/>
      <c r="Z371" s="280"/>
      <c r="AA371" s="280"/>
      <c r="AB371" s="280"/>
      <c r="AC371" s="280"/>
      <c r="AD371" s="280"/>
      <c r="AE371" s="280"/>
      <c r="AF371" s="704"/>
      <c r="AG371" s="704"/>
      <c r="AH371" s="704"/>
      <c r="AI371" s="705"/>
      <c r="AJ371" s="705"/>
      <c r="AK371" s="705"/>
      <c r="AL371" s="705"/>
      <c r="AM371" s="705"/>
      <c r="AN371" s="705"/>
      <c r="AO371" s="705"/>
      <c r="AP371" s="705"/>
      <c r="AQ371" s="705"/>
      <c r="AR371" s="705"/>
      <c r="AS371" s="705"/>
      <c r="AT371" s="705"/>
      <c r="AU371" s="705"/>
      <c r="AV371" s="705"/>
      <c r="AW371" s="705"/>
      <c r="AX371" s="705"/>
      <c r="AY371" s="705"/>
      <c r="AZ371" s="705"/>
      <c r="BA371" s="705"/>
      <c r="BB371" s="705"/>
      <c r="BC371" s="705"/>
      <c r="BD371" s="705"/>
      <c r="BE371" s="705"/>
      <c r="BF371" s="705"/>
      <c r="BG371" s="705"/>
      <c r="BH371" s="705"/>
      <c r="BI371" s="705"/>
      <c r="BJ371" s="705"/>
      <c r="BK371" s="705"/>
      <c r="BL371" s="705"/>
      <c r="BM371" s="705"/>
      <c r="BN371" s="705"/>
      <c r="BO371" s="705"/>
    </row>
    <row r="372" spans="1:67" s="706" customFormat="1" ht="10.55" customHeight="1" x14ac:dyDescent="0.2">
      <c r="A372" s="1141" t="s">
        <v>496</v>
      </c>
      <c r="B372" s="367"/>
      <c r="C372" s="367"/>
      <c r="D372" s="373" t="s">
        <v>497</v>
      </c>
      <c r="E372" s="726">
        <v>1</v>
      </c>
      <c r="F372" s="1040"/>
      <c r="G372" s="1038"/>
      <c r="H372" s="1039"/>
      <c r="I372" s="742"/>
      <c r="J372" s="743"/>
      <c r="K372" s="744"/>
      <c r="L372" s="745"/>
      <c r="M372" s="1036"/>
      <c r="N372" s="333"/>
      <c r="O372" s="702"/>
      <c r="P372" s="703"/>
      <c r="Q372" s="286"/>
      <c r="R372" s="287"/>
      <c r="S372" s="280"/>
      <c r="T372" s="280"/>
      <c r="U372" s="280"/>
      <c r="V372" s="280"/>
      <c r="W372" s="280"/>
      <c r="X372" s="280"/>
      <c r="Y372" s="280"/>
      <c r="Z372" s="280"/>
      <c r="AA372" s="280"/>
      <c r="AB372" s="280"/>
      <c r="AC372" s="280"/>
      <c r="AD372" s="280"/>
      <c r="AE372" s="280"/>
      <c r="AF372" s="704"/>
      <c r="AG372" s="704"/>
      <c r="AH372" s="704"/>
      <c r="AI372" s="705"/>
      <c r="AJ372" s="705"/>
      <c r="AK372" s="705"/>
      <c r="AL372" s="705"/>
      <c r="AM372" s="705"/>
      <c r="AN372" s="705"/>
      <c r="AO372" s="705"/>
      <c r="AP372" s="705"/>
      <c r="AQ372" s="705"/>
      <c r="AR372" s="705"/>
      <c r="AS372" s="705"/>
      <c r="AT372" s="705"/>
      <c r="AU372" s="705"/>
      <c r="AV372" s="705"/>
      <c r="AW372" s="705"/>
      <c r="AX372" s="705"/>
      <c r="AY372" s="705"/>
      <c r="AZ372" s="705"/>
      <c r="BA372" s="705"/>
      <c r="BB372" s="705"/>
      <c r="BC372" s="705"/>
      <c r="BD372" s="705"/>
      <c r="BE372" s="705"/>
      <c r="BF372" s="705"/>
      <c r="BG372" s="705"/>
      <c r="BH372" s="705"/>
      <c r="BI372" s="705"/>
      <c r="BJ372" s="705"/>
      <c r="BK372" s="705"/>
      <c r="BL372" s="705"/>
      <c r="BM372" s="705"/>
      <c r="BN372" s="705"/>
      <c r="BO372" s="705"/>
    </row>
    <row r="373" spans="1:67" s="706" customFormat="1" ht="10.55" customHeight="1" x14ac:dyDescent="0.2">
      <c r="A373" s="1141" t="s">
        <v>503</v>
      </c>
      <c r="B373" s="367"/>
      <c r="C373" s="367"/>
      <c r="D373" s="373" t="s">
        <v>505</v>
      </c>
      <c r="E373" s="726">
        <v>1</v>
      </c>
      <c r="F373" s="1040"/>
      <c r="G373" s="1038"/>
      <c r="H373" s="1039"/>
      <c r="I373" s="742"/>
      <c r="J373" s="743"/>
      <c r="K373" s="744"/>
      <c r="L373" s="745"/>
      <c r="M373" s="1036"/>
      <c r="N373" s="333"/>
      <c r="O373" s="702"/>
      <c r="P373" s="703"/>
      <c r="Q373" s="286"/>
      <c r="R373" s="287"/>
      <c r="S373" s="280"/>
      <c r="T373" s="280"/>
      <c r="U373" s="280"/>
      <c r="V373" s="280"/>
      <c r="W373" s="280"/>
      <c r="X373" s="280"/>
      <c r="Y373" s="280"/>
      <c r="Z373" s="280"/>
      <c r="AA373" s="280"/>
      <c r="AB373" s="280"/>
      <c r="AC373" s="280"/>
      <c r="AD373" s="280"/>
      <c r="AE373" s="280"/>
      <c r="AF373" s="704"/>
      <c r="AG373" s="704"/>
      <c r="AH373" s="704"/>
      <c r="AI373" s="705"/>
      <c r="AJ373" s="705"/>
      <c r="AK373" s="705"/>
      <c r="AL373" s="705"/>
      <c r="AM373" s="705"/>
      <c r="AN373" s="705"/>
      <c r="AO373" s="705"/>
      <c r="AP373" s="705"/>
      <c r="AQ373" s="705"/>
      <c r="AR373" s="705"/>
      <c r="AS373" s="705"/>
      <c r="AT373" s="705"/>
      <c r="AU373" s="705"/>
      <c r="AV373" s="705"/>
      <c r="AW373" s="705"/>
      <c r="AX373" s="705"/>
      <c r="AY373" s="705"/>
      <c r="AZ373" s="705"/>
      <c r="BA373" s="705"/>
      <c r="BB373" s="705"/>
      <c r="BC373" s="705"/>
      <c r="BD373" s="705"/>
      <c r="BE373" s="705"/>
      <c r="BF373" s="705"/>
      <c r="BG373" s="705"/>
      <c r="BH373" s="705"/>
      <c r="BI373" s="705"/>
      <c r="BJ373" s="705"/>
      <c r="BK373" s="705"/>
      <c r="BL373" s="705"/>
      <c r="BM373" s="705"/>
      <c r="BN373" s="705"/>
      <c r="BO373" s="705"/>
    </row>
    <row r="374" spans="1:67" s="706" customFormat="1" ht="10.55" customHeight="1" x14ac:dyDescent="0.2">
      <c r="A374" s="1141" t="s">
        <v>504</v>
      </c>
      <c r="B374" s="367"/>
      <c r="C374" s="367"/>
      <c r="D374" s="373" t="s">
        <v>506</v>
      </c>
      <c r="E374" s="728">
        <v>150</v>
      </c>
      <c r="F374" s="1040"/>
      <c r="G374" s="1038"/>
      <c r="H374" s="1039"/>
      <c r="I374" s="742"/>
      <c r="J374" s="743"/>
      <c r="K374" s="744"/>
      <c r="L374" s="745"/>
      <c r="M374" s="1036"/>
      <c r="N374" s="333"/>
      <c r="O374" s="702"/>
      <c r="P374" s="703"/>
      <c r="Q374" s="286"/>
      <c r="R374" s="287"/>
      <c r="S374" s="280"/>
      <c r="T374" s="280"/>
      <c r="U374" s="280"/>
      <c r="V374" s="280"/>
      <c r="W374" s="280"/>
      <c r="X374" s="280"/>
      <c r="Y374" s="280"/>
      <c r="Z374" s="280"/>
      <c r="AA374" s="280"/>
      <c r="AB374" s="280"/>
      <c r="AC374" s="280"/>
      <c r="AD374" s="280"/>
      <c r="AE374" s="280"/>
      <c r="AF374" s="704"/>
      <c r="AG374" s="704"/>
      <c r="AH374" s="704"/>
      <c r="AI374" s="705"/>
      <c r="AJ374" s="705"/>
      <c r="AK374" s="705"/>
      <c r="AL374" s="705"/>
      <c r="AM374" s="705"/>
      <c r="AN374" s="705"/>
      <c r="AO374" s="705"/>
      <c r="AP374" s="705"/>
      <c r="AQ374" s="705"/>
      <c r="AR374" s="705"/>
      <c r="AS374" s="705"/>
      <c r="AT374" s="705"/>
      <c r="AU374" s="705"/>
      <c r="AV374" s="705"/>
      <c r="AW374" s="705"/>
      <c r="AX374" s="705"/>
      <c r="AY374" s="705"/>
      <c r="AZ374" s="705"/>
      <c r="BA374" s="705"/>
      <c r="BB374" s="705"/>
      <c r="BC374" s="705"/>
      <c r="BD374" s="705"/>
      <c r="BE374" s="705"/>
      <c r="BF374" s="705"/>
      <c r="BG374" s="705"/>
      <c r="BH374" s="705"/>
      <c r="BI374" s="705"/>
      <c r="BJ374" s="705"/>
      <c r="BK374" s="705"/>
      <c r="BL374" s="705"/>
      <c r="BM374" s="705"/>
      <c r="BN374" s="705"/>
      <c r="BO374" s="705"/>
    </row>
    <row r="375" spans="1:67" s="706" customFormat="1" ht="10.55" customHeight="1" x14ac:dyDescent="0.2">
      <c r="A375" s="1142" t="s">
        <v>507</v>
      </c>
      <c r="B375" s="1158"/>
      <c r="C375" s="1158"/>
      <c r="D375" s="1165"/>
      <c r="E375" s="2810">
        <f>E365*E366/100*E367*E371/100*E368*E372*E373*E374</f>
        <v>0</v>
      </c>
      <c r="F375" s="2811"/>
      <c r="G375" s="1041"/>
      <c r="H375" s="1042"/>
      <c r="I375" s="736"/>
      <c r="J375" s="737"/>
      <c r="K375" s="738"/>
      <c r="L375" s="739"/>
      <c r="M375" s="1035"/>
      <c r="N375" s="333"/>
      <c r="O375" s="702"/>
      <c r="P375" s="703"/>
      <c r="Q375" s="286"/>
      <c r="R375" s="287"/>
      <c r="S375" s="280"/>
      <c r="T375" s="280"/>
      <c r="U375" s="280"/>
      <c r="V375" s="280"/>
      <c r="W375" s="280"/>
      <c r="X375" s="280"/>
      <c r="Y375" s="280"/>
      <c r="Z375" s="280"/>
      <c r="AA375" s="280"/>
      <c r="AB375" s="280"/>
      <c r="AC375" s="280"/>
      <c r="AD375" s="280"/>
      <c r="AE375" s="280"/>
      <c r="AF375" s="704"/>
      <c r="AG375" s="704"/>
      <c r="AH375" s="704"/>
      <c r="AI375" s="705"/>
      <c r="AJ375" s="705"/>
      <c r="AK375" s="705"/>
      <c r="AL375" s="705"/>
      <c r="AM375" s="705"/>
      <c r="AN375" s="705"/>
      <c r="AO375" s="705"/>
      <c r="AP375" s="705"/>
      <c r="AQ375" s="705"/>
      <c r="AR375" s="705"/>
      <c r="AS375" s="705"/>
      <c r="AT375" s="705"/>
      <c r="AU375" s="705"/>
      <c r="AV375" s="705"/>
      <c r="AW375" s="705"/>
      <c r="AX375" s="705"/>
      <c r="AY375" s="705"/>
      <c r="AZ375" s="705"/>
      <c r="BA375" s="705"/>
      <c r="BB375" s="705"/>
      <c r="BC375" s="705"/>
      <c r="BD375" s="705"/>
      <c r="BE375" s="705"/>
      <c r="BF375" s="705"/>
      <c r="BG375" s="705"/>
      <c r="BH375" s="705"/>
      <c r="BI375" s="705"/>
      <c r="BJ375" s="705"/>
      <c r="BK375" s="705"/>
      <c r="BL375" s="705"/>
      <c r="BM375" s="705"/>
      <c r="BN375" s="705"/>
      <c r="BO375" s="705"/>
    </row>
    <row r="376" spans="1:67" s="706" customFormat="1" ht="10.55" customHeight="1" x14ac:dyDescent="0.2">
      <c r="A376" s="1141"/>
      <c r="B376" s="1160"/>
      <c r="C376" s="1160"/>
      <c r="D376" s="1163"/>
      <c r="E376" s="716"/>
      <c r="F376" s="722"/>
      <c r="G376" s="740"/>
      <c r="H376" s="741"/>
      <c r="I376" s="742"/>
      <c r="J376" s="743"/>
      <c r="K376" s="744"/>
      <c r="L376" s="745"/>
      <c r="M376" s="1036"/>
      <c r="N376" s="333"/>
      <c r="O376" s="702"/>
      <c r="P376" s="703"/>
      <c r="Q376" s="286"/>
      <c r="R376" s="287"/>
      <c r="S376" s="280"/>
      <c r="T376" s="280"/>
      <c r="U376" s="280"/>
      <c r="V376" s="280"/>
      <c r="W376" s="280"/>
      <c r="X376" s="280"/>
      <c r="Y376" s="280"/>
      <c r="Z376" s="280"/>
      <c r="AA376" s="280"/>
      <c r="AB376" s="280"/>
      <c r="AC376" s="280"/>
      <c r="AD376" s="280"/>
      <c r="AE376" s="280"/>
      <c r="AF376" s="704"/>
      <c r="AG376" s="704"/>
      <c r="AH376" s="704"/>
      <c r="AI376" s="705"/>
      <c r="AJ376" s="705"/>
      <c r="AK376" s="705"/>
      <c r="AL376" s="705"/>
      <c r="AM376" s="705"/>
      <c r="AN376" s="705"/>
      <c r="AO376" s="705"/>
      <c r="AP376" s="705"/>
      <c r="AQ376" s="705"/>
      <c r="AR376" s="705"/>
      <c r="AS376" s="705"/>
      <c r="AT376" s="705"/>
      <c r="AU376" s="705"/>
      <c r="AV376" s="705"/>
      <c r="AW376" s="705"/>
      <c r="AX376" s="705"/>
      <c r="AY376" s="705"/>
      <c r="AZ376" s="705"/>
      <c r="BA376" s="705"/>
      <c r="BB376" s="705"/>
      <c r="BC376" s="705"/>
      <c r="BD376" s="705"/>
      <c r="BE376" s="705"/>
      <c r="BF376" s="705"/>
      <c r="BG376" s="705"/>
      <c r="BH376" s="705"/>
      <c r="BI376" s="705"/>
      <c r="BJ376" s="705"/>
      <c r="BK376" s="705"/>
      <c r="BL376" s="705"/>
      <c r="BM376" s="705"/>
      <c r="BN376" s="705"/>
      <c r="BO376" s="705"/>
    </row>
    <row r="377" spans="1:67" s="706" customFormat="1" ht="10.55" customHeight="1" x14ac:dyDescent="0.2">
      <c r="A377" s="1140" t="s">
        <v>445</v>
      </c>
      <c r="B377" s="1162"/>
      <c r="C377" s="1162"/>
      <c r="D377" s="1163"/>
      <c r="E377" s="372"/>
      <c r="F377" s="720"/>
      <c r="G377" s="740"/>
      <c r="H377" s="741"/>
      <c r="I377" s="742"/>
      <c r="J377" s="743"/>
      <c r="K377" s="744"/>
      <c r="L377" s="745"/>
      <c r="M377" s="1036"/>
      <c r="N377" s="333"/>
      <c r="O377" s="702"/>
      <c r="P377" s="703"/>
      <c r="Q377" s="286"/>
      <c r="R377" s="287"/>
      <c r="S377" s="280"/>
      <c r="T377" s="280"/>
      <c r="U377" s="280"/>
      <c r="V377" s="280"/>
      <c r="W377" s="280"/>
      <c r="X377" s="280"/>
      <c r="Y377" s="280"/>
      <c r="Z377" s="280"/>
      <c r="AA377" s="280"/>
      <c r="AB377" s="280"/>
      <c r="AC377" s="280"/>
      <c r="AD377" s="280"/>
      <c r="AE377" s="280"/>
      <c r="AF377" s="704"/>
      <c r="AG377" s="704"/>
      <c r="AH377" s="704"/>
      <c r="AI377" s="705"/>
      <c r="AJ377" s="705"/>
      <c r="AK377" s="705"/>
      <c r="AL377" s="705"/>
      <c r="AM377" s="705"/>
      <c r="AN377" s="705"/>
      <c r="AO377" s="705"/>
      <c r="AP377" s="705"/>
      <c r="AQ377" s="705"/>
      <c r="AR377" s="705"/>
      <c r="AS377" s="705"/>
      <c r="AT377" s="705"/>
      <c r="AU377" s="705"/>
      <c r="AV377" s="705"/>
      <c r="AW377" s="705"/>
      <c r="AX377" s="705"/>
      <c r="AY377" s="705"/>
      <c r="AZ377" s="705"/>
      <c r="BA377" s="705"/>
      <c r="BB377" s="705"/>
      <c r="BC377" s="705"/>
      <c r="BD377" s="705"/>
      <c r="BE377" s="705"/>
      <c r="BF377" s="705"/>
      <c r="BG377" s="705"/>
      <c r="BH377" s="705"/>
      <c r="BI377" s="705"/>
      <c r="BJ377" s="705"/>
      <c r="BK377" s="705"/>
      <c r="BL377" s="705"/>
      <c r="BM377" s="705"/>
      <c r="BN377" s="705"/>
      <c r="BO377" s="705"/>
    </row>
    <row r="378" spans="1:67" s="706" customFormat="1" ht="10.55" customHeight="1" x14ac:dyDescent="0.2">
      <c r="A378" s="1141" t="s">
        <v>440</v>
      </c>
      <c r="B378" s="1160"/>
      <c r="C378" s="1160"/>
      <c r="D378" s="1164" t="s">
        <v>441</v>
      </c>
      <c r="E378" s="2821">
        <f>SUM(E44,E196,E211,E226,E286)</f>
        <v>0</v>
      </c>
      <c r="F378" s="2822"/>
      <c r="G378" s="746"/>
      <c r="H378" s="747"/>
      <c r="I378" s="742"/>
      <c r="J378" s="743"/>
      <c r="K378" s="744"/>
      <c r="L378" s="745"/>
      <c r="M378" s="1036"/>
      <c r="N378" s="333"/>
      <c r="O378" s="702"/>
      <c r="P378" s="703"/>
      <c r="Q378" s="286"/>
      <c r="R378" s="287"/>
      <c r="S378" s="280"/>
      <c r="T378" s="280"/>
      <c r="U378" s="280"/>
      <c r="V378" s="280"/>
      <c r="W378" s="280"/>
      <c r="X378" s="280"/>
      <c r="Y378" s="280"/>
      <c r="Z378" s="280"/>
      <c r="AA378" s="280"/>
      <c r="AB378" s="280"/>
      <c r="AC378" s="280"/>
      <c r="AD378" s="280"/>
      <c r="AE378" s="280"/>
      <c r="AF378" s="704"/>
      <c r="AG378" s="704"/>
      <c r="AH378" s="704"/>
      <c r="AI378" s="705"/>
      <c r="AJ378" s="705"/>
      <c r="AK378" s="705"/>
      <c r="AL378" s="705"/>
      <c r="AM378" s="705"/>
      <c r="AN378" s="705"/>
      <c r="AO378" s="705"/>
      <c r="AP378" s="705"/>
      <c r="AQ378" s="705"/>
      <c r="AR378" s="705"/>
      <c r="AS378" s="705"/>
      <c r="AT378" s="705"/>
      <c r="AU378" s="705"/>
      <c r="AV378" s="705"/>
      <c r="AW378" s="705"/>
      <c r="AX378" s="705"/>
      <c r="AY378" s="705"/>
      <c r="AZ378" s="705"/>
      <c r="BA378" s="705"/>
      <c r="BB378" s="705"/>
      <c r="BC378" s="705"/>
      <c r="BD378" s="705"/>
      <c r="BE378" s="705"/>
      <c r="BF378" s="705"/>
      <c r="BG378" s="705"/>
      <c r="BH378" s="705"/>
      <c r="BI378" s="705"/>
      <c r="BJ378" s="705"/>
      <c r="BK378" s="705"/>
      <c r="BL378" s="705"/>
      <c r="BM378" s="705"/>
      <c r="BN378" s="705"/>
      <c r="BO378" s="705"/>
    </row>
    <row r="379" spans="1:67" s="706" customFormat="1" ht="10.55" customHeight="1" x14ac:dyDescent="0.2">
      <c r="A379" s="1141" t="s">
        <v>495</v>
      </c>
      <c r="B379" s="1160"/>
      <c r="C379" s="1160"/>
      <c r="D379" s="1164" t="s">
        <v>442</v>
      </c>
      <c r="E379" s="712">
        <f>IF(E378=0,0,E382+E383/(E378^(1/3)))</f>
        <v>0</v>
      </c>
      <c r="F379" s="721"/>
      <c r="G379" s="748"/>
      <c r="H379" s="741"/>
      <c r="I379" s="742"/>
      <c r="J379" s="743"/>
      <c r="K379" s="744"/>
      <c r="L379" s="745"/>
      <c r="M379" s="1036"/>
      <c r="N379" s="333"/>
      <c r="O379" s="702"/>
      <c r="P379" s="703"/>
      <c r="Q379" s="286"/>
      <c r="R379" s="287"/>
      <c r="S379" s="280"/>
      <c r="T379" s="280"/>
      <c r="U379" s="280"/>
      <c r="V379" s="280"/>
      <c r="W379" s="280"/>
      <c r="X379" s="280"/>
      <c r="Y379" s="280"/>
      <c r="Z379" s="280"/>
      <c r="AA379" s="280"/>
      <c r="AB379" s="280"/>
      <c r="AC379" s="280"/>
      <c r="AD379" s="280"/>
      <c r="AE379" s="280"/>
      <c r="AF379" s="704"/>
      <c r="AG379" s="704"/>
      <c r="AH379" s="704"/>
      <c r="AI379" s="705"/>
      <c r="AJ379" s="705"/>
      <c r="AK379" s="705"/>
      <c r="AL379" s="705"/>
      <c r="AM379" s="705"/>
      <c r="AN379" s="705"/>
      <c r="AO379" s="705"/>
      <c r="AP379" s="705"/>
      <c r="AQ379" s="705"/>
      <c r="AR379" s="705"/>
      <c r="AS379" s="705"/>
      <c r="AT379" s="705"/>
      <c r="AU379" s="705"/>
      <c r="AV379" s="705"/>
      <c r="AW379" s="705"/>
      <c r="AX379" s="705"/>
      <c r="AY379" s="705"/>
      <c r="AZ379" s="705"/>
      <c r="BA379" s="705"/>
      <c r="BB379" s="705"/>
      <c r="BC379" s="705"/>
      <c r="BD379" s="705"/>
      <c r="BE379" s="705"/>
      <c r="BF379" s="705"/>
      <c r="BG379" s="705"/>
      <c r="BH379" s="705"/>
      <c r="BI379" s="705"/>
      <c r="BJ379" s="705"/>
      <c r="BK379" s="705"/>
      <c r="BL379" s="705"/>
      <c r="BM379" s="705"/>
      <c r="BN379" s="705"/>
      <c r="BO379" s="705"/>
    </row>
    <row r="380" spans="1:67" s="706" customFormat="1" ht="10.55" customHeight="1" x14ac:dyDescent="0.2">
      <c r="A380" s="1141" t="s">
        <v>443</v>
      </c>
      <c r="B380" s="367"/>
      <c r="C380" s="367"/>
      <c r="D380" s="373" t="s">
        <v>444</v>
      </c>
      <c r="E380" s="375">
        <v>0.9</v>
      </c>
      <c r="F380" s="721"/>
      <c r="G380" s="748"/>
      <c r="H380" s="741"/>
      <c r="I380" s="742"/>
      <c r="J380" s="743"/>
      <c r="K380" s="744"/>
      <c r="L380" s="745"/>
      <c r="M380" s="1036"/>
      <c r="N380" s="333"/>
      <c r="O380" s="702"/>
      <c r="P380" s="703"/>
      <c r="Q380" s="286"/>
      <c r="R380" s="287"/>
      <c r="S380" s="280"/>
      <c r="T380" s="280"/>
      <c r="U380" s="280"/>
      <c r="V380" s="280"/>
      <c r="W380" s="280"/>
      <c r="X380" s="280"/>
      <c r="Y380" s="280"/>
      <c r="Z380" s="280"/>
      <c r="AA380" s="280"/>
      <c r="AB380" s="280"/>
      <c r="AC380" s="280"/>
      <c r="AD380" s="280"/>
      <c r="AE380" s="280"/>
      <c r="AF380" s="704"/>
      <c r="AG380" s="704"/>
      <c r="AH380" s="704"/>
      <c r="AI380" s="705"/>
      <c r="AJ380" s="705"/>
      <c r="AK380" s="705"/>
      <c r="AL380" s="705"/>
      <c r="AM380" s="705"/>
      <c r="AN380" s="705"/>
      <c r="AO380" s="705"/>
      <c r="AP380" s="705"/>
      <c r="AQ380" s="705"/>
      <c r="AR380" s="705"/>
      <c r="AS380" s="705"/>
      <c r="AT380" s="705"/>
      <c r="AU380" s="705"/>
      <c r="AV380" s="705"/>
      <c r="AW380" s="705"/>
      <c r="AX380" s="705"/>
      <c r="AY380" s="705"/>
      <c r="AZ380" s="705"/>
      <c r="BA380" s="705"/>
      <c r="BB380" s="705"/>
      <c r="BC380" s="705"/>
      <c r="BD380" s="705"/>
      <c r="BE380" s="705"/>
      <c r="BF380" s="705"/>
      <c r="BG380" s="705"/>
      <c r="BH380" s="705"/>
      <c r="BI380" s="705"/>
      <c r="BJ380" s="705"/>
      <c r="BK380" s="705"/>
      <c r="BL380" s="705"/>
      <c r="BM380" s="705"/>
      <c r="BN380" s="705"/>
      <c r="BO380" s="705"/>
    </row>
    <row r="381" spans="1:67" s="706" customFormat="1" ht="10.55" customHeight="1" x14ac:dyDescent="0.2">
      <c r="A381" s="1141" t="s">
        <v>500</v>
      </c>
      <c r="B381" s="367"/>
      <c r="C381" s="367"/>
      <c r="D381" s="373" t="s">
        <v>494</v>
      </c>
      <c r="E381" s="375">
        <v>1</v>
      </c>
      <c r="F381" s="721"/>
      <c r="G381" s="748"/>
      <c r="H381" s="741"/>
      <c r="I381" s="742"/>
      <c r="J381" s="743"/>
      <c r="K381" s="744"/>
      <c r="L381" s="745"/>
      <c r="M381" s="1036"/>
      <c r="N381" s="333"/>
      <c r="O381" s="702"/>
      <c r="P381" s="703"/>
      <c r="Q381" s="286"/>
      <c r="R381" s="287"/>
      <c r="S381" s="280"/>
      <c r="T381" s="280"/>
      <c r="U381" s="280"/>
      <c r="V381" s="280"/>
      <c r="W381" s="280"/>
      <c r="X381" s="280"/>
      <c r="Y381" s="280"/>
      <c r="Z381" s="280"/>
      <c r="AA381" s="280"/>
      <c r="AB381" s="280"/>
      <c r="AC381" s="280"/>
      <c r="AD381" s="280"/>
      <c r="AE381" s="280"/>
      <c r="AF381" s="704"/>
      <c r="AG381" s="704"/>
      <c r="AH381" s="704"/>
      <c r="AI381" s="705"/>
      <c r="AJ381" s="705"/>
      <c r="AK381" s="705"/>
      <c r="AL381" s="705"/>
      <c r="AM381" s="705"/>
      <c r="AN381" s="705"/>
      <c r="AO381" s="705"/>
      <c r="AP381" s="705"/>
      <c r="AQ381" s="705"/>
      <c r="AR381" s="705"/>
      <c r="AS381" s="705"/>
      <c r="AT381" s="705"/>
      <c r="AU381" s="705"/>
      <c r="AV381" s="705"/>
      <c r="AW381" s="705"/>
      <c r="AX381" s="705"/>
      <c r="AY381" s="705"/>
      <c r="AZ381" s="705"/>
      <c r="BA381" s="705"/>
      <c r="BB381" s="705"/>
      <c r="BC381" s="705"/>
      <c r="BD381" s="705"/>
      <c r="BE381" s="705"/>
      <c r="BF381" s="705"/>
      <c r="BG381" s="705"/>
      <c r="BH381" s="705"/>
      <c r="BI381" s="705"/>
      <c r="BJ381" s="705"/>
      <c r="BK381" s="705"/>
      <c r="BL381" s="705"/>
      <c r="BM381" s="705"/>
      <c r="BN381" s="705"/>
      <c r="BO381" s="705"/>
    </row>
    <row r="382" spans="1:67" s="706" customFormat="1" ht="10.55" customHeight="1" x14ac:dyDescent="0.2">
      <c r="A382" s="1141" t="s">
        <v>501</v>
      </c>
      <c r="B382" s="2823" t="s">
        <v>837</v>
      </c>
      <c r="C382" s="2823"/>
      <c r="D382" s="373" t="s">
        <v>492</v>
      </c>
      <c r="E382" s="376">
        <v>6.2E-2</v>
      </c>
      <c r="F382" s="721"/>
      <c r="G382" s="2824"/>
      <c r="H382" s="2825"/>
      <c r="I382" s="742"/>
      <c r="J382" s="743"/>
      <c r="K382" s="744"/>
      <c r="L382" s="745"/>
      <c r="M382" s="1036"/>
      <c r="N382" s="333"/>
      <c r="O382" s="702"/>
      <c r="P382" s="703"/>
      <c r="Q382" s="286"/>
      <c r="R382" s="287"/>
      <c r="S382" s="280"/>
      <c r="T382" s="280"/>
      <c r="U382" s="280"/>
      <c r="V382" s="280"/>
      <c r="W382" s="280"/>
      <c r="X382" s="280"/>
      <c r="Y382" s="280"/>
      <c r="Z382" s="280"/>
      <c r="AA382" s="280"/>
      <c r="AB382" s="280"/>
      <c r="AC382" s="280"/>
      <c r="AD382" s="280"/>
      <c r="AE382" s="280"/>
      <c r="AF382" s="704"/>
      <c r="AG382" s="704"/>
      <c r="AH382" s="704"/>
      <c r="AI382" s="705"/>
      <c r="AJ382" s="705"/>
      <c r="AK382" s="705"/>
      <c r="AL382" s="705"/>
      <c r="AM382" s="705"/>
      <c r="AN382" s="705"/>
      <c r="AO382" s="705"/>
      <c r="AP382" s="705"/>
      <c r="AQ382" s="705"/>
      <c r="AR382" s="705"/>
      <c r="AS382" s="705"/>
      <c r="AT382" s="705"/>
      <c r="AU382" s="705"/>
      <c r="AV382" s="705"/>
      <c r="AW382" s="705"/>
      <c r="AX382" s="705"/>
      <c r="AY382" s="705"/>
      <c r="AZ382" s="705"/>
      <c r="BA382" s="705"/>
      <c r="BB382" s="705"/>
      <c r="BC382" s="705"/>
      <c r="BD382" s="705"/>
      <c r="BE382" s="705"/>
      <c r="BF382" s="705"/>
      <c r="BG382" s="705"/>
      <c r="BH382" s="705"/>
      <c r="BI382" s="705"/>
      <c r="BJ382" s="705"/>
      <c r="BK382" s="705"/>
      <c r="BL382" s="705"/>
      <c r="BM382" s="705"/>
      <c r="BN382" s="705"/>
      <c r="BO382" s="705"/>
    </row>
    <row r="383" spans="1:67" s="706" customFormat="1" ht="10.55" customHeight="1" x14ac:dyDescent="0.2">
      <c r="A383" s="1141" t="s">
        <v>502</v>
      </c>
      <c r="B383" s="2823" t="s">
        <v>837</v>
      </c>
      <c r="C383" s="2823"/>
      <c r="D383" s="373" t="s">
        <v>493</v>
      </c>
      <c r="E383" s="376">
        <v>10.58</v>
      </c>
      <c r="F383" s="721"/>
      <c r="G383" s="2824"/>
      <c r="H383" s="2825"/>
      <c r="I383" s="742"/>
      <c r="J383" s="743"/>
      <c r="K383" s="744"/>
      <c r="L383" s="745"/>
      <c r="M383" s="1036"/>
      <c r="N383" s="333"/>
      <c r="O383" s="702"/>
      <c r="P383" s="703"/>
      <c r="Q383" s="286"/>
      <c r="R383" s="287"/>
      <c r="S383" s="280"/>
      <c r="T383" s="280"/>
      <c r="U383" s="280"/>
      <c r="V383" s="280"/>
      <c r="W383" s="280"/>
      <c r="X383" s="280"/>
      <c r="Y383" s="280"/>
      <c r="Z383" s="280"/>
      <c r="AA383" s="280"/>
      <c r="AB383" s="280"/>
      <c r="AC383" s="280"/>
      <c r="AD383" s="280"/>
      <c r="AE383" s="280"/>
      <c r="AF383" s="704"/>
      <c r="AG383" s="704"/>
      <c r="AH383" s="704"/>
      <c r="AI383" s="705"/>
      <c r="AJ383" s="705"/>
      <c r="AK383" s="705"/>
      <c r="AL383" s="705"/>
      <c r="AM383" s="705"/>
      <c r="AN383" s="705"/>
      <c r="AO383" s="705"/>
      <c r="AP383" s="705"/>
      <c r="AQ383" s="705"/>
      <c r="AR383" s="705"/>
      <c r="AS383" s="705"/>
      <c r="AT383" s="705"/>
      <c r="AU383" s="705"/>
      <c r="AV383" s="705"/>
      <c r="AW383" s="705"/>
      <c r="AX383" s="705"/>
      <c r="AY383" s="705"/>
      <c r="AZ383" s="705"/>
      <c r="BA383" s="705"/>
      <c r="BB383" s="705"/>
      <c r="BC383" s="705"/>
      <c r="BD383" s="705"/>
      <c r="BE383" s="705"/>
      <c r="BF383" s="705"/>
      <c r="BG383" s="705"/>
      <c r="BH383" s="705"/>
      <c r="BI383" s="705"/>
      <c r="BJ383" s="705"/>
      <c r="BK383" s="705"/>
      <c r="BL383" s="705"/>
      <c r="BM383" s="705"/>
      <c r="BN383" s="705"/>
      <c r="BO383" s="705"/>
    </row>
    <row r="384" spans="1:67" s="706" customFormat="1" ht="10.55" customHeight="1" x14ac:dyDescent="0.2">
      <c r="A384" s="1141" t="s">
        <v>498</v>
      </c>
      <c r="B384" s="367"/>
      <c r="C384" s="367"/>
      <c r="D384" s="373" t="s">
        <v>499</v>
      </c>
      <c r="E384" s="376">
        <v>100</v>
      </c>
      <c r="F384" s="1037"/>
      <c r="G384" s="1038"/>
      <c r="H384" s="1039"/>
      <c r="I384" s="742"/>
      <c r="J384" s="743"/>
      <c r="K384" s="744"/>
      <c r="L384" s="745"/>
      <c r="M384" s="1036"/>
      <c r="N384" s="333"/>
      <c r="O384" s="702"/>
      <c r="P384" s="703"/>
      <c r="Q384" s="286"/>
      <c r="R384" s="287"/>
      <c r="S384" s="280"/>
      <c r="T384" s="280"/>
      <c r="U384" s="280"/>
      <c r="V384" s="280"/>
      <c r="W384" s="280"/>
      <c r="X384" s="280"/>
      <c r="Y384" s="280"/>
      <c r="Z384" s="280"/>
      <c r="AA384" s="280"/>
      <c r="AB384" s="280"/>
      <c r="AC384" s="280"/>
      <c r="AD384" s="280"/>
      <c r="AE384" s="280"/>
      <c r="AF384" s="704"/>
      <c r="AG384" s="704"/>
      <c r="AH384" s="704"/>
      <c r="AI384" s="705"/>
      <c r="AJ384" s="705"/>
      <c r="AK384" s="705"/>
      <c r="AL384" s="705"/>
      <c r="AM384" s="705"/>
      <c r="AN384" s="705"/>
      <c r="AO384" s="705"/>
      <c r="AP384" s="705"/>
      <c r="AQ384" s="705"/>
      <c r="AR384" s="705"/>
      <c r="AS384" s="705"/>
      <c r="AT384" s="705"/>
      <c r="AU384" s="705"/>
      <c r="AV384" s="705"/>
      <c r="AW384" s="705"/>
      <c r="AX384" s="705"/>
      <c r="AY384" s="705"/>
      <c r="AZ384" s="705"/>
      <c r="BA384" s="705"/>
      <c r="BB384" s="705"/>
      <c r="BC384" s="705"/>
      <c r="BD384" s="705"/>
      <c r="BE384" s="705"/>
      <c r="BF384" s="705"/>
      <c r="BG384" s="705"/>
      <c r="BH384" s="705"/>
      <c r="BI384" s="705"/>
      <c r="BJ384" s="705"/>
      <c r="BK384" s="705"/>
      <c r="BL384" s="705"/>
      <c r="BM384" s="705"/>
      <c r="BN384" s="705"/>
      <c r="BO384" s="705"/>
    </row>
    <row r="385" spans="1:67" s="706" customFormat="1" ht="10.55" customHeight="1" x14ac:dyDescent="0.2">
      <c r="A385" s="1141" t="s">
        <v>496</v>
      </c>
      <c r="B385" s="367"/>
      <c r="C385" s="367"/>
      <c r="D385" s="373" t="s">
        <v>497</v>
      </c>
      <c r="E385" s="375">
        <v>1</v>
      </c>
      <c r="F385" s="1040"/>
      <c r="G385" s="1038"/>
      <c r="H385" s="1039"/>
      <c r="I385" s="742"/>
      <c r="J385" s="743"/>
      <c r="K385" s="744"/>
      <c r="L385" s="745"/>
      <c r="M385" s="1036"/>
      <c r="N385" s="333"/>
      <c r="O385" s="702"/>
      <c r="P385" s="703"/>
      <c r="Q385" s="286"/>
      <c r="R385" s="287"/>
      <c r="S385" s="280"/>
      <c r="T385" s="280"/>
      <c r="U385" s="280"/>
      <c r="V385" s="280"/>
      <c r="W385" s="280"/>
      <c r="X385" s="280"/>
      <c r="Y385" s="280"/>
      <c r="Z385" s="280"/>
      <c r="AA385" s="280"/>
      <c r="AB385" s="280"/>
      <c r="AC385" s="280"/>
      <c r="AD385" s="280"/>
      <c r="AE385" s="280"/>
      <c r="AF385" s="704"/>
      <c r="AG385" s="704"/>
      <c r="AH385" s="704"/>
      <c r="AI385" s="705"/>
      <c r="AJ385" s="705"/>
      <c r="AK385" s="705"/>
      <c r="AL385" s="705"/>
      <c r="AM385" s="705"/>
      <c r="AN385" s="705"/>
      <c r="AO385" s="705"/>
      <c r="AP385" s="705"/>
      <c r="AQ385" s="705"/>
      <c r="AR385" s="705"/>
      <c r="AS385" s="705"/>
      <c r="AT385" s="705"/>
      <c r="AU385" s="705"/>
      <c r="AV385" s="705"/>
      <c r="AW385" s="705"/>
      <c r="AX385" s="705"/>
      <c r="AY385" s="705"/>
      <c r="AZ385" s="705"/>
      <c r="BA385" s="705"/>
      <c r="BB385" s="705"/>
      <c r="BC385" s="705"/>
      <c r="BD385" s="705"/>
      <c r="BE385" s="705"/>
      <c r="BF385" s="705"/>
      <c r="BG385" s="705"/>
      <c r="BH385" s="705"/>
      <c r="BI385" s="705"/>
      <c r="BJ385" s="705"/>
      <c r="BK385" s="705"/>
      <c r="BL385" s="705"/>
      <c r="BM385" s="705"/>
      <c r="BN385" s="705"/>
      <c r="BO385" s="705"/>
    </row>
    <row r="386" spans="1:67" s="706" customFormat="1" ht="10.55" customHeight="1" x14ac:dyDescent="0.2">
      <c r="A386" s="1141" t="s">
        <v>503</v>
      </c>
      <c r="B386" s="367"/>
      <c r="C386" s="367"/>
      <c r="D386" s="373" t="s">
        <v>505</v>
      </c>
      <c r="E386" s="375">
        <v>1</v>
      </c>
      <c r="F386" s="1040"/>
      <c r="G386" s="1038"/>
      <c r="H386" s="1039"/>
      <c r="I386" s="742"/>
      <c r="J386" s="743"/>
      <c r="K386" s="744"/>
      <c r="L386" s="745"/>
      <c r="M386" s="1036"/>
      <c r="N386" s="333"/>
      <c r="O386" s="702"/>
      <c r="P386" s="703"/>
      <c r="Q386" s="286"/>
      <c r="R386" s="287"/>
      <c r="S386" s="280"/>
      <c r="T386" s="280"/>
      <c r="U386" s="280"/>
      <c r="V386" s="280"/>
      <c r="W386" s="280"/>
      <c r="X386" s="280"/>
      <c r="Y386" s="280"/>
      <c r="Z386" s="280"/>
      <c r="AA386" s="280"/>
      <c r="AB386" s="280"/>
      <c r="AC386" s="280"/>
      <c r="AD386" s="280"/>
      <c r="AE386" s="280"/>
      <c r="AF386" s="704"/>
      <c r="AG386" s="704"/>
      <c r="AH386" s="704"/>
      <c r="AI386" s="705"/>
      <c r="AJ386" s="705"/>
      <c r="AK386" s="705"/>
      <c r="AL386" s="705"/>
      <c r="AM386" s="705"/>
      <c r="AN386" s="705"/>
      <c r="AO386" s="705"/>
      <c r="AP386" s="705"/>
      <c r="AQ386" s="705"/>
      <c r="AR386" s="705"/>
      <c r="AS386" s="705"/>
      <c r="AT386" s="705"/>
      <c r="AU386" s="705"/>
      <c r="AV386" s="705"/>
      <c r="AW386" s="705"/>
      <c r="AX386" s="705"/>
      <c r="AY386" s="705"/>
      <c r="AZ386" s="705"/>
      <c r="BA386" s="705"/>
      <c r="BB386" s="705"/>
      <c r="BC386" s="705"/>
      <c r="BD386" s="705"/>
      <c r="BE386" s="705"/>
      <c r="BF386" s="705"/>
      <c r="BG386" s="705"/>
      <c r="BH386" s="705"/>
      <c r="BI386" s="705"/>
      <c r="BJ386" s="705"/>
      <c r="BK386" s="705"/>
      <c r="BL386" s="705"/>
      <c r="BM386" s="705"/>
      <c r="BN386" s="705"/>
      <c r="BO386" s="705"/>
    </row>
    <row r="387" spans="1:67" s="706" customFormat="1" ht="10.55" customHeight="1" x14ac:dyDescent="0.2">
      <c r="A387" s="1141" t="s">
        <v>504</v>
      </c>
      <c r="B387" s="367"/>
      <c r="C387" s="367"/>
      <c r="D387" s="373" t="s">
        <v>506</v>
      </c>
      <c r="E387" s="711">
        <v>150</v>
      </c>
      <c r="F387" s="1040"/>
      <c r="G387" s="1038"/>
      <c r="H387" s="1039"/>
      <c r="I387" s="742"/>
      <c r="J387" s="743"/>
      <c r="K387" s="744"/>
      <c r="L387" s="745"/>
      <c r="M387" s="1036"/>
      <c r="N387" s="333"/>
      <c r="O387" s="702"/>
      <c r="P387" s="703"/>
      <c r="Q387" s="286"/>
      <c r="R387" s="287"/>
      <c r="S387" s="280"/>
      <c r="T387" s="280"/>
      <c r="U387" s="280"/>
      <c r="V387" s="280"/>
      <c r="W387" s="280"/>
      <c r="X387" s="280"/>
      <c r="Y387" s="280"/>
      <c r="Z387" s="280"/>
      <c r="AA387" s="280"/>
      <c r="AB387" s="280"/>
      <c r="AC387" s="280"/>
      <c r="AD387" s="280"/>
      <c r="AE387" s="280"/>
      <c r="AF387" s="704"/>
      <c r="AG387" s="704"/>
      <c r="AH387" s="704"/>
      <c r="AI387" s="705"/>
      <c r="AJ387" s="705"/>
      <c r="AK387" s="705"/>
      <c r="AL387" s="705"/>
      <c r="AM387" s="705"/>
      <c r="AN387" s="705"/>
      <c r="AO387" s="705"/>
      <c r="AP387" s="705"/>
      <c r="AQ387" s="705"/>
      <c r="AR387" s="705"/>
      <c r="AS387" s="705"/>
      <c r="AT387" s="705"/>
      <c r="AU387" s="705"/>
      <c r="AV387" s="705"/>
      <c r="AW387" s="705"/>
      <c r="AX387" s="705"/>
      <c r="AY387" s="705"/>
      <c r="AZ387" s="705"/>
      <c r="BA387" s="705"/>
      <c r="BB387" s="705"/>
      <c r="BC387" s="705"/>
      <c r="BD387" s="705"/>
      <c r="BE387" s="705"/>
      <c r="BF387" s="705"/>
      <c r="BG387" s="705"/>
      <c r="BH387" s="705"/>
      <c r="BI387" s="705"/>
      <c r="BJ387" s="705"/>
      <c r="BK387" s="705"/>
      <c r="BL387" s="705"/>
      <c r="BM387" s="705"/>
      <c r="BN387" s="705"/>
      <c r="BO387" s="705"/>
    </row>
    <row r="388" spans="1:67" s="706" customFormat="1" ht="10.55" customHeight="1" x14ac:dyDescent="0.2">
      <c r="A388" s="1142" t="s">
        <v>507</v>
      </c>
      <c r="B388" s="1158"/>
      <c r="C388" s="1158"/>
      <c r="D388" s="1165"/>
      <c r="E388" s="2810">
        <f>E378*E379/100*E380*E384/100*E381*E385*E386*E387</f>
        <v>0</v>
      </c>
      <c r="F388" s="2811"/>
      <c r="G388" s="1041"/>
      <c r="H388" s="1042"/>
      <c r="I388" s="736"/>
      <c r="J388" s="737"/>
      <c r="K388" s="738"/>
      <c r="L388" s="739"/>
      <c r="M388" s="1035"/>
      <c r="N388" s="333"/>
      <c r="O388" s="702"/>
      <c r="P388" s="703"/>
      <c r="Q388" s="286"/>
      <c r="R388" s="287"/>
      <c r="S388" s="280"/>
      <c r="T388" s="280"/>
      <c r="U388" s="280"/>
      <c r="V388" s="280"/>
      <c r="W388" s="280"/>
      <c r="X388" s="280"/>
      <c r="Y388" s="280"/>
      <c r="Z388" s="280"/>
      <c r="AA388" s="280"/>
      <c r="AB388" s="280"/>
      <c r="AC388" s="280"/>
      <c r="AD388" s="280"/>
      <c r="AE388" s="280"/>
      <c r="AF388" s="704"/>
      <c r="AG388" s="704"/>
      <c r="AH388" s="704"/>
      <c r="AI388" s="705"/>
      <c r="AJ388" s="705"/>
      <c r="AK388" s="705"/>
      <c r="AL388" s="705"/>
      <c r="AM388" s="705"/>
      <c r="AN388" s="705"/>
      <c r="AO388" s="705"/>
      <c r="AP388" s="705"/>
      <c r="AQ388" s="705"/>
      <c r="AR388" s="705"/>
      <c r="AS388" s="705"/>
      <c r="AT388" s="705"/>
      <c r="AU388" s="705"/>
      <c r="AV388" s="705"/>
      <c r="AW388" s="705"/>
      <c r="AX388" s="705"/>
      <c r="AY388" s="705"/>
      <c r="AZ388" s="705"/>
      <c r="BA388" s="705"/>
      <c r="BB388" s="705"/>
      <c r="BC388" s="705"/>
      <c r="BD388" s="705"/>
      <c r="BE388" s="705"/>
      <c r="BF388" s="705"/>
      <c r="BG388" s="705"/>
      <c r="BH388" s="705"/>
      <c r="BI388" s="705"/>
      <c r="BJ388" s="705"/>
      <c r="BK388" s="705"/>
      <c r="BL388" s="705"/>
      <c r="BM388" s="705"/>
      <c r="BN388" s="705"/>
      <c r="BO388" s="705"/>
    </row>
    <row r="389" spans="1:67" s="706" customFormat="1" ht="10.55" customHeight="1" x14ac:dyDescent="0.2">
      <c r="A389" s="1143"/>
      <c r="B389" s="1162"/>
      <c r="C389" s="1162"/>
      <c r="D389" s="1161"/>
      <c r="E389" s="1044"/>
      <c r="F389" s="1045"/>
      <c r="G389" s="1046"/>
      <c r="H389" s="1047"/>
      <c r="I389" s="700"/>
      <c r="J389" s="701"/>
      <c r="K389" s="717"/>
      <c r="L389" s="718"/>
      <c r="M389" s="1034"/>
      <c r="N389" s="333"/>
      <c r="O389" s="702"/>
      <c r="P389" s="703"/>
      <c r="Q389" s="286"/>
      <c r="R389" s="287"/>
      <c r="S389" s="280"/>
      <c r="T389" s="280"/>
      <c r="U389" s="280"/>
      <c r="V389" s="280"/>
      <c r="W389" s="280"/>
      <c r="X389" s="280"/>
      <c r="Y389" s="280"/>
      <c r="Z389" s="280"/>
      <c r="AA389" s="280"/>
      <c r="AB389" s="280"/>
      <c r="AC389" s="280"/>
      <c r="AD389" s="280"/>
      <c r="AE389" s="280"/>
      <c r="AF389" s="704"/>
      <c r="AG389" s="704"/>
      <c r="AH389" s="704"/>
      <c r="AI389" s="705"/>
      <c r="AJ389" s="705"/>
      <c r="AK389" s="705"/>
      <c r="AL389" s="705"/>
      <c r="AM389" s="705"/>
      <c r="AN389" s="705"/>
      <c r="AO389" s="705"/>
      <c r="AP389" s="705"/>
      <c r="AQ389" s="705"/>
      <c r="AR389" s="705"/>
      <c r="AS389" s="705"/>
      <c r="AT389" s="705"/>
      <c r="AU389" s="705"/>
      <c r="AV389" s="705"/>
      <c r="AW389" s="705"/>
      <c r="AX389" s="705"/>
      <c r="AY389" s="705"/>
      <c r="AZ389" s="705"/>
      <c r="BA389" s="705"/>
      <c r="BB389" s="705"/>
      <c r="BC389" s="705"/>
      <c r="BD389" s="705"/>
      <c r="BE389" s="705"/>
      <c r="BF389" s="705"/>
      <c r="BG389" s="705"/>
      <c r="BH389" s="705"/>
      <c r="BI389" s="705"/>
      <c r="BJ389" s="705"/>
      <c r="BK389" s="705"/>
      <c r="BL389" s="705"/>
      <c r="BM389" s="705"/>
      <c r="BN389" s="705"/>
      <c r="BO389" s="705"/>
    </row>
    <row r="390" spans="1:67" s="706" customFormat="1" ht="10.55" customHeight="1" x14ac:dyDescent="0.2">
      <c r="A390" s="1138" t="s">
        <v>446</v>
      </c>
      <c r="B390" s="1158"/>
      <c r="C390" s="1158"/>
      <c r="D390" s="1166"/>
      <c r="E390" s="1073"/>
      <c r="F390" s="725"/>
      <c r="G390" s="371"/>
      <c r="H390" s="1075"/>
      <c r="I390" s="736"/>
      <c r="J390" s="737"/>
      <c r="K390" s="738"/>
      <c r="L390" s="739"/>
      <c r="M390" s="1035"/>
      <c r="N390" s="333"/>
      <c r="O390" s="702"/>
      <c r="P390" s="703"/>
      <c r="Q390" s="286"/>
      <c r="R390" s="287"/>
      <c r="S390" s="280"/>
      <c r="T390" s="280"/>
      <c r="U390" s="280"/>
      <c r="V390" s="280"/>
      <c r="W390" s="280"/>
      <c r="X390" s="280"/>
      <c r="Y390" s="280"/>
      <c r="Z390" s="280"/>
      <c r="AA390" s="280"/>
      <c r="AB390" s="280"/>
      <c r="AC390" s="280"/>
      <c r="AD390" s="280"/>
      <c r="AE390" s="280"/>
      <c r="AF390" s="704"/>
      <c r="AG390" s="704"/>
      <c r="AH390" s="704"/>
      <c r="AI390" s="705"/>
      <c r="AJ390" s="705"/>
      <c r="AK390" s="705"/>
      <c r="AL390" s="705"/>
      <c r="AM390" s="705"/>
      <c r="AN390" s="705"/>
      <c r="AO390" s="705"/>
      <c r="AP390" s="705"/>
      <c r="AQ390" s="705"/>
      <c r="AR390" s="705"/>
      <c r="AS390" s="705"/>
      <c r="AT390" s="705"/>
      <c r="AU390" s="705"/>
      <c r="AV390" s="705"/>
      <c r="AW390" s="705"/>
      <c r="AX390" s="705"/>
      <c r="AY390" s="705"/>
      <c r="AZ390" s="705"/>
      <c r="BA390" s="705"/>
      <c r="BB390" s="705"/>
      <c r="BC390" s="705"/>
      <c r="BD390" s="705"/>
      <c r="BE390" s="705"/>
      <c r="BF390" s="705"/>
      <c r="BG390" s="705"/>
      <c r="BH390" s="705"/>
      <c r="BI390" s="705"/>
      <c r="BJ390" s="705"/>
      <c r="BK390" s="705"/>
      <c r="BL390" s="705"/>
      <c r="BM390" s="705"/>
      <c r="BN390" s="705"/>
      <c r="BO390" s="705"/>
    </row>
    <row r="391" spans="1:67" s="706" customFormat="1" ht="10.55" customHeight="1" x14ac:dyDescent="0.2">
      <c r="A391" s="1139"/>
      <c r="B391" s="1160"/>
      <c r="C391" s="1160"/>
      <c r="D391" s="1163"/>
      <c r="E391" s="716"/>
      <c r="F391" s="719"/>
      <c r="G391" s="740"/>
      <c r="H391" s="741"/>
      <c r="I391" s="742"/>
      <c r="J391" s="743"/>
      <c r="K391" s="744"/>
      <c r="L391" s="745"/>
      <c r="M391" s="1036"/>
      <c r="N391" s="333"/>
      <c r="O391" s="702"/>
      <c r="P391" s="703"/>
      <c r="Q391" s="286"/>
      <c r="R391" s="287"/>
      <c r="S391" s="280"/>
      <c r="T391" s="280"/>
      <c r="U391" s="280"/>
      <c r="V391" s="280"/>
      <c r="W391" s="280"/>
      <c r="X391" s="280"/>
      <c r="Y391" s="280"/>
      <c r="Z391" s="280"/>
      <c r="AA391" s="280"/>
      <c r="AB391" s="280"/>
      <c r="AC391" s="280"/>
      <c r="AD391" s="280"/>
      <c r="AE391" s="280"/>
      <c r="AF391" s="704"/>
      <c r="AG391" s="704"/>
      <c r="AH391" s="704"/>
      <c r="AI391" s="705"/>
      <c r="AJ391" s="705"/>
      <c r="AK391" s="705"/>
      <c r="AL391" s="705"/>
      <c r="AM391" s="705"/>
      <c r="AN391" s="705"/>
      <c r="AO391" s="705"/>
      <c r="AP391" s="705"/>
      <c r="AQ391" s="705"/>
      <c r="AR391" s="705"/>
      <c r="AS391" s="705"/>
      <c r="AT391" s="705"/>
      <c r="AU391" s="705"/>
      <c r="AV391" s="705"/>
      <c r="AW391" s="705"/>
      <c r="AX391" s="705"/>
      <c r="AY391" s="705"/>
      <c r="AZ391" s="705"/>
      <c r="BA391" s="705"/>
      <c r="BB391" s="705"/>
      <c r="BC391" s="705"/>
      <c r="BD391" s="705"/>
      <c r="BE391" s="705"/>
      <c r="BF391" s="705"/>
      <c r="BG391" s="705"/>
      <c r="BH391" s="705"/>
      <c r="BI391" s="705"/>
      <c r="BJ391" s="705"/>
      <c r="BK391" s="705"/>
      <c r="BL391" s="705"/>
      <c r="BM391" s="705"/>
      <c r="BN391" s="705"/>
      <c r="BO391" s="705"/>
    </row>
    <row r="392" spans="1:67" s="706" customFormat="1" ht="10.55" customHeight="1" x14ac:dyDescent="0.2">
      <c r="A392" s="1140" t="s">
        <v>447</v>
      </c>
      <c r="B392" s="1162"/>
      <c r="C392" s="1162"/>
      <c r="D392" s="1163"/>
      <c r="E392" s="372"/>
      <c r="F392" s="720"/>
      <c r="G392" s="740"/>
      <c r="H392" s="741"/>
      <c r="I392" s="742"/>
      <c r="J392" s="743"/>
      <c r="K392" s="744"/>
      <c r="L392" s="745"/>
      <c r="M392" s="1036"/>
      <c r="N392" s="333"/>
      <c r="O392" s="702"/>
      <c r="P392" s="703"/>
      <c r="Q392" s="286"/>
      <c r="R392" s="287"/>
      <c r="S392" s="280"/>
      <c r="T392" s="280"/>
      <c r="U392" s="280"/>
      <c r="V392" s="280"/>
      <c r="W392" s="280"/>
      <c r="X392" s="280"/>
      <c r="Y392" s="280"/>
      <c r="Z392" s="280"/>
      <c r="AA392" s="280"/>
      <c r="AB392" s="280"/>
      <c r="AC392" s="280"/>
      <c r="AD392" s="280"/>
      <c r="AE392" s="280"/>
      <c r="AF392" s="704"/>
      <c r="AG392" s="704"/>
      <c r="AH392" s="704"/>
      <c r="AI392" s="705"/>
      <c r="AJ392" s="705"/>
      <c r="AK392" s="705"/>
      <c r="AL392" s="705"/>
      <c r="AM392" s="705"/>
      <c r="AN392" s="705"/>
      <c r="AO392" s="705"/>
      <c r="AP392" s="705"/>
      <c r="AQ392" s="705"/>
      <c r="AR392" s="705"/>
      <c r="AS392" s="705"/>
      <c r="AT392" s="705"/>
      <c r="AU392" s="705"/>
      <c r="AV392" s="705"/>
      <c r="AW392" s="705"/>
      <c r="AX392" s="705"/>
      <c r="AY392" s="705"/>
      <c r="AZ392" s="705"/>
      <c r="BA392" s="705"/>
      <c r="BB392" s="705"/>
      <c r="BC392" s="705"/>
      <c r="BD392" s="705"/>
      <c r="BE392" s="705"/>
      <c r="BF392" s="705"/>
      <c r="BG392" s="705"/>
      <c r="BH392" s="705"/>
      <c r="BI392" s="705"/>
      <c r="BJ392" s="705"/>
      <c r="BK392" s="705"/>
      <c r="BL392" s="705"/>
      <c r="BM392" s="705"/>
      <c r="BN392" s="705"/>
      <c r="BO392" s="705"/>
    </row>
    <row r="393" spans="1:67" s="706" customFormat="1" ht="10.55" customHeight="1" x14ac:dyDescent="0.2">
      <c r="A393" s="1006"/>
      <c r="B393" s="2878"/>
      <c r="C393" s="2879"/>
      <c r="D393" s="2880"/>
      <c r="E393" s="2829"/>
      <c r="F393" s="2830"/>
      <c r="G393" s="746"/>
      <c r="H393" s="747"/>
      <c r="I393" s="742"/>
      <c r="J393" s="743"/>
      <c r="K393" s="744"/>
      <c r="L393" s="745"/>
      <c r="M393" s="1036"/>
      <c r="N393" s="333"/>
      <c r="O393" s="702"/>
      <c r="P393" s="703"/>
      <c r="Q393" s="286"/>
      <c r="R393" s="287"/>
      <c r="S393" s="280"/>
      <c r="T393" s="280"/>
      <c r="U393" s="280"/>
      <c r="V393" s="280"/>
      <c r="W393" s="280"/>
      <c r="X393" s="280"/>
      <c r="Y393" s="280"/>
      <c r="Z393" s="280"/>
      <c r="AA393" s="280"/>
      <c r="AB393" s="280"/>
      <c r="AC393" s="280"/>
      <c r="AD393" s="280"/>
      <c r="AE393" s="280"/>
      <c r="AF393" s="704"/>
      <c r="AG393" s="704"/>
      <c r="AH393" s="704"/>
      <c r="AI393" s="705"/>
      <c r="AJ393" s="705"/>
      <c r="AK393" s="705"/>
      <c r="AL393" s="705"/>
      <c r="AM393" s="705"/>
      <c r="AN393" s="705"/>
      <c r="AO393" s="705"/>
      <c r="AP393" s="705"/>
      <c r="AQ393" s="705"/>
      <c r="AR393" s="705"/>
      <c r="AS393" s="705"/>
      <c r="AT393" s="705"/>
      <c r="AU393" s="705"/>
      <c r="AV393" s="705"/>
      <c r="AW393" s="705"/>
      <c r="AX393" s="705"/>
      <c r="AY393" s="705"/>
      <c r="AZ393" s="705"/>
      <c r="BA393" s="705"/>
      <c r="BB393" s="705"/>
      <c r="BC393" s="705"/>
      <c r="BD393" s="705"/>
      <c r="BE393" s="705"/>
      <c r="BF393" s="705"/>
      <c r="BG393" s="705"/>
      <c r="BH393" s="705"/>
      <c r="BI393" s="705"/>
      <c r="BJ393" s="705"/>
      <c r="BK393" s="705"/>
      <c r="BL393" s="705"/>
      <c r="BM393" s="705"/>
      <c r="BN393" s="705"/>
      <c r="BO393" s="705"/>
    </row>
    <row r="394" spans="1:67" s="706" customFormat="1" ht="10.55" customHeight="1" x14ac:dyDescent="0.2">
      <c r="A394" s="1006"/>
      <c r="B394" s="2878"/>
      <c r="C394" s="2879"/>
      <c r="D394" s="2880"/>
      <c r="E394" s="2829"/>
      <c r="F394" s="2830"/>
      <c r="G394" s="748"/>
      <c r="H394" s="741"/>
      <c r="I394" s="742"/>
      <c r="J394" s="743"/>
      <c r="K394" s="744"/>
      <c r="L394" s="745"/>
      <c r="M394" s="1036"/>
      <c r="N394" s="333"/>
      <c r="O394" s="702"/>
      <c r="P394" s="703"/>
      <c r="Q394" s="286"/>
      <c r="R394" s="287"/>
      <c r="S394" s="280"/>
      <c r="T394" s="280"/>
      <c r="U394" s="280"/>
      <c r="V394" s="280"/>
      <c r="W394" s="280"/>
      <c r="X394" s="280"/>
      <c r="Y394" s="280"/>
      <c r="Z394" s="280"/>
      <c r="AA394" s="280"/>
      <c r="AB394" s="280"/>
      <c r="AC394" s="280"/>
      <c r="AD394" s="280"/>
      <c r="AE394" s="280"/>
      <c r="AF394" s="704"/>
      <c r="AG394" s="704"/>
      <c r="AH394" s="704"/>
      <c r="AI394" s="705"/>
      <c r="AJ394" s="705"/>
      <c r="AK394" s="705"/>
      <c r="AL394" s="705"/>
      <c r="AM394" s="705"/>
      <c r="AN394" s="705"/>
      <c r="AO394" s="705"/>
      <c r="AP394" s="705"/>
      <c r="AQ394" s="705"/>
      <c r="AR394" s="705"/>
      <c r="AS394" s="705"/>
      <c r="AT394" s="705"/>
      <c r="AU394" s="705"/>
      <c r="AV394" s="705"/>
      <c r="AW394" s="705"/>
      <c r="AX394" s="705"/>
      <c r="AY394" s="705"/>
      <c r="AZ394" s="705"/>
      <c r="BA394" s="705"/>
      <c r="BB394" s="705"/>
      <c r="BC394" s="705"/>
      <c r="BD394" s="705"/>
      <c r="BE394" s="705"/>
      <c r="BF394" s="705"/>
      <c r="BG394" s="705"/>
      <c r="BH394" s="705"/>
      <c r="BI394" s="705"/>
      <c r="BJ394" s="705"/>
      <c r="BK394" s="705"/>
      <c r="BL394" s="705"/>
      <c r="BM394" s="705"/>
      <c r="BN394" s="705"/>
      <c r="BO394" s="705"/>
    </row>
    <row r="395" spans="1:67" s="706" customFormat="1" ht="10.55" customHeight="1" x14ac:dyDescent="0.2">
      <c r="A395" s="1006"/>
      <c r="B395" s="2878"/>
      <c r="C395" s="2879"/>
      <c r="D395" s="2880"/>
      <c r="E395" s="2829"/>
      <c r="F395" s="2830"/>
      <c r="G395" s="748"/>
      <c r="H395" s="741"/>
      <c r="I395" s="742"/>
      <c r="J395" s="743"/>
      <c r="K395" s="744"/>
      <c r="L395" s="745"/>
      <c r="M395" s="1036"/>
      <c r="N395" s="333"/>
      <c r="O395" s="702"/>
      <c r="P395" s="703"/>
      <c r="Q395" s="286"/>
      <c r="R395" s="287"/>
      <c r="S395" s="280"/>
      <c r="T395" s="280"/>
      <c r="U395" s="280"/>
      <c r="V395" s="280"/>
      <c r="W395" s="280"/>
      <c r="X395" s="280"/>
      <c r="Y395" s="280"/>
      <c r="Z395" s="280"/>
      <c r="AA395" s="280"/>
      <c r="AB395" s="280"/>
      <c r="AC395" s="280"/>
      <c r="AD395" s="280"/>
      <c r="AE395" s="280"/>
      <c r="AF395" s="704"/>
      <c r="AG395" s="704"/>
      <c r="AH395" s="704"/>
      <c r="AI395" s="705"/>
      <c r="AJ395" s="705"/>
      <c r="AK395" s="705"/>
      <c r="AL395" s="705"/>
      <c r="AM395" s="705"/>
      <c r="AN395" s="705"/>
      <c r="AO395" s="705"/>
      <c r="AP395" s="705"/>
      <c r="AQ395" s="705"/>
      <c r="AR395" s="705"/>
      <c r="AS395" s="705"/>
      <c r="AT395" s="705"/>
      <c r="AU395" s="705"/>
      <c r="AV395" s="705"/>
      <c r="AW395" s="705"/>
      <c r="AX395" s="705"/>
      <c r="AY395" s="705"/>
      <c r="AZ395" s="705"/>
      <c r="BA395" s="705"/>
      <c r="BB395" s="705"/>
      <c r="BC395" s="705"/>
      <c r="BD395" s="705"/>
      <c r="BE395" s="705"/>
      <c r="BF395" s="705"/>
      <c r="BG395" s="705"/>
      <c r="BH395" s="705"/>
      <c r="BI395" s="705"/>
      <c r="BJ395" s="705"/>
      <c r="BK395" s="705"/>
      <c r="BL395" s="705"/>
      <c r="BM395" s="705"/>
      <c r="BN395" s="705"/>
      <c r="BO395" s="705"/>
    </row>
    <row r="396" spans="1:67" s="706" customFormat="1" ht="10.55" customHeight="1" x14ac:dyDescent="0.2">
      <c r="A396" s="1006"/>
      <c r="B396" s="2878"/>
      <c r="C396" s="2879"/>
      <c r="D396" s="2880"/>
      <c r="E396" s="2829"/>
      <c r="F396" s="2830"/>
      <c r="G396" s="748"/>
      <c r="H396" s="741"/>
      <c r="I396" s="742"/>
      <c r="J396" s="743"/>
      <c r="K396" s="744"/>
      <c r="L396" s="745"/>
      <c r="M396" s="1036"/>
      <c r="N396" s="333"/>
      <c r="O396" s="702"/>
      <c r="P396" s="703"/>
      <c r="Q396" s="286"/>
      <c r="R396" s="287"/>
      <c r="S396" s="280"/>
      <c r="T396" s="280"/>
      <c r="U396" s="280"/>
      <c r="V396" s="280"/>
      <c r="W396" s="280"/>
      <c r="X396" s="280"/>
      <c r="Y396" s="280"/>
      <c r="Z396" s="280"/>
      <c r="AA396" s="280"/>
      <c r="AB396" s="280"/>
      <c r="AC396" s="280"/>
      <c r="AD396" s="280"/>
      <c r="AE396" s="280"/>
      <c r="AF396" s="704"/>
      <c r="AG396" s="704"/>
      <c r="AH396" s="704"/>
      <c r="AI396" s="705"/>
      <c r="AJ396" s="705"/>
      <c r="AK396" s="705"/>
      <c r="AL396" s="705"/>
      <c r="AM396" s="705"/>
      <c r="AN396" s="705"/>
      <c r="AO396" s="705"/>
      <c r="AP396" s="705"/>
      <c r="AQ396" s="705"/>
      <c r="AR396" s="705"/>
      <c r="AS396" s="705"/>
      <c r="AT396" s="705"/>
      <c r="AU396" s="705"/>
      <c r="AV396" s="705"/>
      <c r="AW396" s="705"/>
      <c r="AX396" s="705"/>
      <c r="AY396" s="705"/>
      <c r="AZ396" s="705"/>
      <c r="BA396" s="705"/>
      <c r="BB396" s="705"/>
      <c r="BC396" s="705"/>
      <c r="BD396" s="705"/>
      <c r="BE396" s="705"/>
      <c r="BF396" s="705"/>
      <c r="BG396" s="705"/>
      <c r="BH396" s="705"/>
      <c r="BI396" s="705"/>
      <c r="BJ396" s="705"/>
      <c r="BK396" s="705"/>
      <c r="BL396" s="705"/>
      <c r="BM396" s="705"/>
      <c r="BN396" s="705"/>
      <c r="BO396" s="705"/>
    </row>
    <row r="397" spans="1:67" s="706" customFormat="1" ht="10.55" customHeight="1" x14ac:dyDescent="0.2">
      <c r="A397" s="1006"/>
      <c r="B397" s="2878"/>
      <c r="C397" s="2879"/>
      <c r="D397" s="2880"/>
      <c r="E397" s="2829"/>
      <c r="F397" s="2830"/>
      <c r="G397" s="749"/>
      <c r="H397" s="750"/>
      <c r="I397" s="742"/>
      <c r="J397" s="743"/>
      <c r="K397" s="744"/>
      <c r="L397" s="745"/>
      <c r="M397" s="1036"/>
      <c r="N397" s="333"/>
      <c r="O397" s="702"/>
      <c r="P397" s="703"/>
      <c r="Q397" s="286"/>
      <c r="R397" s="287"/>
      <c r="S397" s="280"/>
      <c r="T397" s="280"/>
      <c r="U397" s="280"/>
      <c r="V397" s="280"/>
      <c r="W397" s="280"/>
      <c r="X397" s="280"/>
      <c r="Y397" s="280"/>
      <c r="Z397" s="280"/>
      <c r="AA397" s="280"/>
      <c r="AB397" s="280"/>
      <c r="AC397" s="280"/>
      <c r="AD397" s="280"/>
      <c r="AE397" s="280"/>
      <c r="AF397" s="704"/>
      <c r="AG397" s="704"/>
      <c r="AH397" s="704"/>
      <c r="AI397" s="705"/>
      <c r="AJ397" s="705"/>
      <c r="AK397" s="705"/>
      <c r="AL397" s="705"/>
      <c r="AM397" s="705"/>
      <c r="AN397" s="705"/>
      <c r="AO397" s="705"/>
      <c r="AP397" s="705"/>
      <c r="AQ397" s="705"/>
      <c r="AR397" s="705"/>
      <c r="AS397" s="705"/>
      <c r="AT397" s="705"/>
      <c r="AU397" s="705"/>
      <c r="AV397" s="705"/>
      <c r="AW397" s="705"/>
      <c r="AX397" s="705"/>
      <c r="AY397" s="705"/>
      <c r="AZ397" s="705"/>
      <c r="BA397" s="705"/>
      <c r="BB397" s="705"/>
      <c r="BC397" s="705"/>
      <c r="BD397" s="705"/>
      <c r="BE397" s="705"/>
      <c r="BF397" s="705"/>
      <c r="BG397" s="705"/>
      <c r="BH397" s="705"/>
      <c r="BI397" s="705"/>
      <c r="BJ397" s="705"/>
      <c r="BK397" s="705"/>
      <c r="BL397" s="705"/>
      <c r="BM397" s="705"/>
      <c r="BN397" s="705"/>
      <c r="BO397" s="705"/>
    </row>
    <row r="398" spans="1:67" s="706" customFormat="1" ht="10.55" customHeight="1" x14ac:dyDescent="0.2">
      <c r="A398" s="1167" t="s">
        <v>14</v>
      </c>
      <c r="B398" s="1168"/>
      <c r="C398" s="1168"/>
      <c r="D398" s="1165"/>
      <c r="E398" s="2838">
        <f>SUM(E393:E397)</f>
        <v>0</v>
      </c>
      <c r="F398" s="2839"/>
      <c r="G398" s="723"/>
      <c r="H398" s="724"/>
      <c r="I398" s="736"/>
      <c r="J398" s="737"/>
      <c r="K398" s="738"/>
      <c r="L398" s="739"/>
      <c r="M398" s="1035"/>
      <c r="N398" s="333"/>
      <c r="O398" s="702"/>
      <c r="P398" s="703"/>
      <c r="Q398" s="286"/>
      <c r="R398" s="287"/>
      <c r="S398" s="280"/>
      <c r="T398" s="280"/>
      <c r="U398" s="280"/>
      <c r="V398" s="280"/>
      <c r="W398" s="280"/>
      <c r="X398" s="280"/>
      <c r="Y398" s="280"/>
      <c r="Z398" s="280"/>
      <c r="AA398" s="280"/>
      <c r="AB398" s="280"/>
      <c r="AC398" s="280"/>
      <c r="AD398" s="280"/>
      <c r="AE398" s="280"/>
      <c r="AF398" s="704"/>
      <c r="AG398" s="704"/>
      <c r="AH398" s="704"/>
      <c r="AI398" s="705"/>
      <c r="AJ398" s="705"/>
      <c r="AK398" s="705"/>
      <c r="AL398" s="705"/>
      <c r="AM398" s="705"/>
      <c r="AN398" s="705"/>
      <c r="AO398" s="705"/>
      <c r="AP398" s="705"/>
      <c r="AQ398" s="705"/>
      <c r="AR398" s="705"/>
      <c r="AS398" s="705"/>
      <c r="AT398" s="705"/>
      <c r="AU398" s="705"/>
      <c r="AV398" s="705"/>
      <c r="AW398" s="705"/>
      <c r="AX398" s="705"/>
      <c r="AY398" s="705"/>
      <c r="AZ398" s="705"/>
      <c r="BA398" s="705"/>
      <c r="BB398" s="705"/>
      <c r="BC398" s="705"/>
      <c r="BD398" s="705"/>
      <c r="BE398" s="705"/>
      <c r="BF398" s="705"/>
      <c r="BG398" s="705"/>
      <c r="BH398" s="705"/>
      <c r="BI398" s="705"/>
      <c r="BJ398" s="705"/>
      <c r="BK398" s="705"/>
      <c r="BL398" s="705"/>
      <c r="BM398" s="705"/>
      <c r="BN398" s="705"/>
      <c r="BO398" s="705"/>
    </row>
    <row r="399" spans="1:67" s="706" customFormat="1" ht="10.55" customHeight="1" x14ac:dyDescent="0.2">
      <c r="A399" s="1141"/>
      <c r="B399" s="1160"/>
      <c r="C399" s="1160"/>
      <c r="D399" s="1163"/>
      <c r="E399" s="716"/>
      <c r="F399" s="719"/>
      <c r="G399" s="740"/>
      <c r="H399" s="741"/>
      <c r="I399" s="742"/>
      <c r="J399" s="743"/>
      <c r="K399" s="744"/>
      <c r="L399" s="745"/>
      <c r="M399" s="1036"/>
      <c r="N399" s="333"/>
      <c r="O399" s="702"/>
      <c r="P399" s="703"/>
      <c r="Q399" s="286"/>
      <c r="R399" s="287"/>
      <c r="S399" s="280"/>
      <c r="T399" s="280"/>
      <c r="U399" s="280"/>
      <c r="V399" s="280"/>
      <c r="W399" s="280"/>
      <c r="X399" s="280"/>
      <c r="Y399" s="280"/>
      <c r="Z399" s="280"/>
      <c r="AA399" s="280"/>
      <c r="AB399" s="280"/>
      <c r="AC399" s="280"/>
      <c r="AD399" s="280"/>
      <c r="AE399" s="280"/>
      <c r="AF399" s="704"/>
      <c r="AG399" s="704"/>
      <c r="AH399" s="704"/>
      <c r="AI399" s="705"/>
      <c r="AJ399" s="705"/>
      <c r="AK399" s="705"/>
      <c r="AL399" s="705"/>
      <c r="AM399" s="705"/>
      <c r="AN399" s="705"/>
      <c r="AO399" s="705"/>
      <c r="AP399" s="705"/>
      <c r="AQ399" s="705"/>
      <c r="AR399" s="705"/>
      <c r="AS399" s="705"/>
      <c r="AT399" s="705"/>
      <c r="AU399" s="705"/>
      <c r="AV399" s="705"/>
      <c r="AW399" s="705"/>
      <c r="AX399" s="705"/>
      <c r="AY399" s="705"/>
      <c r="AZ399" s="705"/>
      <c r="BA399" s="705"/>
      <c r="BB399" s="705"/>
      <c r="BC399" s="705"/>
      <c r="BD399" s="705"/>
      <c r="BE399" s="705"/>
      <c r="BF399" s="705"/>
      <c r="BG399" s="705"/>
      <c r="BH399" s="705"/>
      <c r="BI399" s="705"/>
      <c r="BJ399" s="705"/>
      <c r="BK399" s="705"/>
      <c r="BL399" s="705"/>
      <c r="BM399" s="705"/>
      <c r="BN399" s="705"/>
      <c r="BO399" s="705"/>
    </row>
    <row r="400" spans="1:67" s="706" customFormat="1" ht="10.55" customHeight="1" x14ac:dyDescent="0.2">
      <c r="A400" s="1140" t="s">
        <v>450</v>
      </c>
      <c r="B400" s="1162"/>
      <c r="C400" s="1162"/>
      <c r="D400" s="1163"/>
      <c r="E400" s="372"/>
      <c r="F400" s="720"/>
      <c r="G400" s="740"/>
      <c r="H400" s="741"/>
      <c r="I400" s="742"/>
      <c r="J400" s="743"/>
      <c r="K400" s="744"/>
      <c r="L400" s="745"/>
      <c r="M400" s="1036"/>
      <c r="N400" s="333"/>
      <c r="O400" s="702"/>
      <c r="P400" s="703"/>
      <c r="Q400" s="286"/>
      <c r="R400" s="287"/>
      <c r="S400" s="280"/>
      <c r="T400" s="280"/>
      <c r="U400" s="280"/>
      <c r="V400" s="280"/>
      <c r="W400" s="280"/>
      <c r="X400" s="280"/>
      <c r="Y400" s="280"/>
      <c r="Z400" s="280"/>
      <c r="AA400" s="280"/>
      <c r="AB400" s="280"/>
      <c r="AC400" s="280"/>
      <c r="AD400" s="280"/>
      <c r="AE400" s="280"/>
      <c r="AF400" s="704"/>
      <c r="AG400" s="704"/>
      <c r="AH400" s="704"/>
      <c r="AI400" s="705"/>
      <c r="AJ400" s="705"/>
      <c r="AK400" s="705"/>
      <c r="AL400" s="705"/>
      <c r="AM400" s="705"/>
      <c r="AN400" s="705"/>
      <c r="AO400" s="705"/>
      <c r="AP400" s="705"/>
      <c r="AQ400" s="705"/>
      <c r="AR400" s="705"/>
      <c r="AS400" s="705"/>
      <c r="AT400" s="705"/>
      <c r="AU400" s="705"/>
      <c r="AV400" s="705"/>
      <c r="AW400" s="705"/>
      <c r="AX400" s="705"/>
      <c r="AY400" s="705"/>
      <c r="AZ400" s="705"/>
      <c r="BA400" s="705"/>
      <c r="BB400" s="705"/>
      <c r="BC400" s="705"/>
      <c r="BD400" s="705"/>
      <c r="BE400" s="705"/>
      <c r="BF400" s="705"/>
      <c r="BG400" s="705"/>
      <c r="BH400" s="705"/>
      <c r="BI400" s="705"/>
      <c r="BJ400" s="705"/>
      <c r="BK400" s="705"/>
      <c r="BL400" s="705"/>
      <c r="BM400" s="705"/>
      <c r="BN400" s="705"/>
      <c r="BO400" s="705"/>
    </row>
    <row r="401" spans="1:67" s="706" customFormat="1" ht="10.55" customHeight="1" x14ac:dyDescent="0.2">
      <c r="A401" s="1007"/>
      <c r="B401" s="2875"/>
      <c r="C401" s="2876"/>
      <c r="D401" s="2877"/>
      <c r="E401" s="2836"/>
      <c r="F401" s="2837"/>
      <c r="G401" s="746"/>
      <c r="H401" s="747"/>
      <c r="I401" s="742"/>
      <c r="J401" s="743"/>
      <c r="K401" s="744"/>
      <c r="L401" s="745"/>
      <c r="M401" s="1036"/>
      <c r="N401" s="333"/>
      <c r="O401" s="702"/>
      <c r="P401" s="703"/>
      <c r="Q401" s="286"/>
      <c r="R401" s="287"/>
      <c r="S401" s="280"/>
      <c r="T401" s="280"/>
      <c r="U401" s="280"/>
      <c r="V401" s="280"/>
      <c r="W401" s="280"/>
      <c r="X401" s="280"/>
      <c r="Y401" s="280"/>
      <c r="Z401" s="280"/>
      <c r="AA401" s="280"/>
      <c r="AB401" s="280"/>
      <c r="AC401" s="280"/>
      <c r="AD401" s="280"/>
      <c r="AE401" s="280"/>
      <c r="AF401" s="704"/>
      <c r="AG401" s="704"/>
      <c r="AH401" s="704"/>
      <c r="AI401" s="705"/>
      <c r="AJ401" s="705"/>
      <c r="AK401" s="705"/>
      <c r="AL401" s="705"/>
      <c r="AM401" s="705"/>
      <c r="AN401" s="705"/>
      <c r="AO401" s="705"/>
      <c r="AP401" s="705"/>
      <c r="AQ401" s="705"/>
      <c r="AR401" s="705"/>
      <c r="AS401" s="705"/>
      <c r="AT401" s="705"/>
      <c r="AU401" s="705"/>
      <c r="AV401" s="705"/>
      <c r="AW401" s="705"/>
      <c r="AX401" s="705"/>
      <c r="AY401" s="705"/>
      <c r="AZ401" s="705"/>
      <c r="BA401" s="705"/>
      <c r="BB401" s="705"/>
      <c r="BC401" s="705"/>
      <c r="BD401" s="705"/>
      <c r="BE401" s="705"/>
      <c r="BF401" s="705"/>
      <c r="BG401" s="705"/>
      <c r="BH401" s="705"/>
      <c r="BI401" s="705"/>
      <c r="BJ401" s="705"/>
      <c r="BK401" s="705"/>
      <c r="BL401" s="705"/>
      <c r="BM401" s="705"/>
      <c r="BN401" s="705"/>
      <c r="BO401" s="705"/>
    </row>
    <row r="402" spans="1:67" s="706" customFormat="1" ht="10.55" customHeight="1" x14ac:dyDescent="0.2">
      <c r="A402" s="1007"/>
      <c r="B402" s="2875"/>
      <c r="C402" s="2876"/>
      <c r="D402" s="2877"/>
      <c r="E402" s="2836"/>
      <c r="F402" s="2837"/>
      <c r="G402" s="748"/>
      <c r="H402" s="741"/>
      <c r="I402" s="742"/>
      <c r="J402" s="743"/>
      <c r="K402" s="744"/>
      <c r="L402" s="745"/>
      <c r="M402" s="1036"/>
      <c r="N402" s="333"/>
      <c r="O402" s="702"/>
      <c r="P402" s="703"/>
      <c r="Q402" s="286"/>
      <c r="R402" s="287"/>
      <c r="S402" s="280"/>
      <c r="T402" s="280"/>
      <c r="U402" s="280"/>
      <c r="V402" s="280"/>
      <c r="W402" s="280"/>
      <c r="X402" s="280"/>
      <c r="Y402" s="280"/>
      <c r="Z402" s="280"/>
      <c r="AA402" s="280"/>
      <c r="AB402" s="280"/>
      <c r="AC402" s="280"/>
      <c r="AD402" s="280"/>
      <c r="AE402" s="280"/>
      <c r="AF402" s="704"/>
      <c r="AG402" s="704"/>
      <c r="AH402" s="704"/>
      <c r="AI402" s="705"/>
      <c r="AJ402" s="705"/>
      <c r="AK402" s="705"/>
      <c r="AL402" s="705"/>
      <c r="AM402" s="705"/>
      <c r="AN402" s="705"/>
      <c r="AO402" s="705"/>
      <c r="AP402" s="705"/>
      <c r="AQ402" s="705"/>
      <c r="AR402" s="705"/>
      <c r="AS402" s="705"/>
      <c r="AT402" s="705"/>
      <c r="AU402" s="705"/>
      <c r="AV402" s="705"/>
      <c r="AW402" s="705"/>
      <c r="AX402" s="705"/>
      <c r="AY402" s="705"/>
      <c r="AZ402" s="705"/>
      <c r="BA402" s="705"/>
      <c r="BB402" s="705"/>
      <c r="BC402" s="705"/>
      <c r="BD402" s="705"/>
      <c r="BE402" s="705"/>
      <c r="BF402" s="705"/>
      <c r="BG402" s="705"/>
      <c r="BH402" s="705"/>
      <c r="BI402" s="705"/>
      <c r="BJ402" s="705"/>
      <c r="BK402" s="705"/>
      <c r="BL402" s="705"/>
      <c r="BM402" s="705"/>
      <c r="BN402" s="705"/>
      <c r="BO402" s="705"/>
    </row>
    <row r="403" spans="1:67" s="706" customFormat="1" ht="10.55" customHeight="1" x14ac:dyDescent="0.2">
      <c r="A403" s="1007"/>
      <c r="B403" s="2875"/>
      <c r="C403" s="2876"/>
      <c r="D403" s="2877"/>
      <c r="E403" s="2836"/>
      <c r="F403" s="2837"/>
      <c r="G403" s="748"/>
      <c r="H403" s="741"/>
      <c r="I403" s="742"/>
      <c r="J403" s="743"/>
      <c r="K403" s="744"/>
      <c r="L403" s="745"/>
      <c r="M403" s="1036"/>
      <c r="N403" s="333"/>
      <c r="O403" s="702"/>
      <c r="P403" s="703"/>
      <c r="Q403" s="286"/>
      <c r="R403" s="287"/>
      <c r="S403" s="280"/>
      <c r="T403" s="280"/>
      <c r="U403" s="280"/>
      <c r="V403" s="280"/>
      <c r="W403" s="280"/>
      <c r="X403" s="280"/>
      <c r="Y403" s="280"/>
      <c r="Z403" s="280"/>
      <c r="AA403" s="280"/>
      <c r="AB403" s="280"/>
      <c r="AC403" s="280"/>
      <c r="AD403" s="280"/>
      <c r="AE403" s="280"/>
      <c r="AF403" s="704"/>
      <c r="AG403" s="704"/>
      <c r="AH403" s="704"/>
      <c r="AI403" s="705"/>
      <c r="AJ403" s="705"/>
      <c r="AK403" s="705"/>
      <c r="AL403" s="705"/>
      <c r="AM403" s="705"/>
      <c r="AN403" s="705"/>
      <c r="AO403" s="705"/>
      <c r="AP403" s="705"/>
      <c r="AQ403" s="705"/>
      <c r="AR403" s="705"/>
      <c r="AS403" s="705"/>
      <c r="AT403" s="705"/>
      <c r="AU403" s="705"/>
      <c r="AV403" s="705"/>
      <c r="AW403" s="705"/>
      <c r="AX403" s="705"/>
      <c r="AY403" s="705"/>
      <c r="AZ403" s="705"/>
      <c r="BA403" s="705"/>
      <c r="BB403" s="705"/>
      <c r="BC403" s="705"/>
      <c r="BD403" s="705"/>
      <c r="BE403" s="705"/>
      <c r="BF403" s="705"/>
      <c r="BG403" s="705"/>
      <c r="BH403" s="705"/>
      <c r="BI403" s="705"/>
      <c r="BJ403" s="705"/>
      <c r="BK403" s="705"/>
      <c r="BL403" s="705"/>
      <c r="BM403" s="705"/>
      <c r="BN403" s="705"/>
      <c r="BO403" s="705"/>
    </row>
    <row r="404" spans="1:67" s="706" customFormat="1" ht="10.55" customHeight="1" x14ac:dyDescent="0.2">
      <c r="A404" s="1007"/>
      <c r="B404" s="2875"/>
      <c r="C404" s="2876"/>
      <c r="D404" s="2877"/>
      <c r="E404" s="2836"/>
      <c r="F404" s="2837"/>
      <c r="G404" s="748"/>
      <c r="H404" s="741"/>
      <c r="I404" s="742"/>
      <c r="J404" s="743"/>
      <c r="K404" s="744"/>
      <c r="L404" s="745"/>
      <c r="M404" s="1036"/>
      <c r="N404" s="333"/>
      <c r="O404" s="702"/>
      <c r="P404" s="703"/>
      <c r="Q404" s="286"/>
      <c r="R404" s="287"/>
      <c r="S404" s="280"/>
      <c r="T404" s="280"/>
      <c r="U404" s="280"/>
      <c r="V404" s="280"/>
      <c r="W404" s="280"/>
      <c r="X404" s="280"/>
      <c r="Y404" s="280"/>
      <c r="Z404" s="280"/>
      <c r="AA404" s="280"/>
      <c r="AB404" s="280"/>
      <c r="AC404" s="280"/>
      <c r="AD404" s="280"/>
      <c r="AE404" s="280"/>
      <c r="AF404" s="704"/>
      <c r="AG404" s="704"/>
      <c r="AH404" s="704"/>
      <c r="AI404" s="705"/>
      <c r="AJ404" s="705"/>
      <c r="AK404" s="705"/>
      <c r="AL404" s="705"/>
      <c r="AM404" s="705"/>
      <c r="AN404" s="705"/>
      <c r="AO404" s="705"/>
      <c r="AP404" s="705"/>
      <c r="AQ404" s="705"/>
      <c r="AR404" s="705"/>
      <c r="AS404" s="705"/>
      <c r="AT404" s="705"/>
      <c r="AU404" s="705"/>
      <c r="AV404" s="705"/>
      <c r="AW404" s="705"/>
      <c r="AX404" s="705"/>
      <c r="AY404" s="705"/>
      <c r="AZ404" s="705"/>
      <c r="BA404" s="705"/>
      <c r="BB404" s="705"/>
      <c r="BC404" s="705"/>
      <c r="BD404" s="705"/>
      <c r="BE404" s="705"/>
      <c r="BF404" s="705"/>
      <c r="BG404" s="705"/>
      <c r="BH404" s="705"/>
      <c r="BI404" s="705"/>
      <c r="BJ404" s="705"/>
      <c r="BK404" s="705"/>
      <c r="BL404" s="705"/>
      <c r="BM404" s="705"/>
      <c r="BN404" s="705"/>
      <c r="BO404" s="705"/>
    </row>
    <row r="405" spans="1:67" s="706" customFormat="1" ht="10.55" customHeight="1" x14ac:dyDescent="0.2">
      <c r="A405" s="1007"/>
      <c r="B405" s="2875"/>
      <c r="C405" s="2876"/>
      <c r="D405" s="2877"/>
      <c r="E405" s="2836"/>
      <c r="F405" s="2837"/>
      <c r="G405" s="749"/>
      <c r="H405" s="750"/>
      <c r="I405" s="742"/>
      <c r="J405" s="743"/>
      <c r="K405" s="744"/>
      <c r="L405" s="745"/>
      <c r="M405" s="1036"/>
      <c r="N405" s="333"/>
      <c r="O405" s="702"/>
      <c r="P405" s="703"/>
      <c r="Q405" s="286"/>
      <c r="R405" s="287"/>
      <c r="S405" s="280"/>
      <c r="T405" s="280"/>
      <c r="U405" s="280"/>
      <c r="V405" s="280"/>
      <c r="W405" s="280"/>
      <c r="X405" s="280"/>
      <c r="Y405" s="280"/>
      <c r="Z405" s="280"/>
      <c r="AA405" s="280"/>
      <c r="AB405" s="280"/>
      <c r="AC405" s="280"/>
      <c r="AD405" s="280"/>
      <c r="AE405" s="280"/>
      <c r="AF405" s="704"/>
      <c r="AG405" s="704"/>
      <c r="AH405" s="704"/>
      <c r="AI405" s="705"/>
      <c r="AJ405" s="705"/>
      <c r="AK405" s="705"/>
      <c r="AL405" s="705"/>
      <c r="AM405" s="705"/>
      <c r="AN405" s="705"/>
      <c r="AO405" s="705"/>
      <c r="AP405" s="705"/>
      <c r="AQ405" s="705"/>
      <c r="AR405" s="705"/>
      <c r="AS405" s="705"/>
      <c r="AT405" s="705"/>
      <c r="AU405" s="705"/>
      <c r="AV405" s="705"/>
      <c r="AW405" s="705"/>
      <c r="AX405" s="705"/>
      <c r="AY405" s="705"/>
      <c r="AZ405" s="705"/>
      <c r="BA405" s="705"/>
      <c r="BB405" s="705"/>
      <c r="BC405" s="705"/>
      <c r="BD405" s="705"/>
      <c r="BE405" s="705"/>
      <c r="BF405" s="705"/>
      <c r="BG405" s="705"/>
      <c r="BH405" s="705"/>
      <c r="BI405" s="705"/>
      <c r="BJ405" s="705"/>
      <c r="BK405" s="705"/>
      <c r="BL405" s="705"/>
      <c r="BM405" s="705"/>
      <c r="BN405" s="705"/>
      <c r="BO405" s="705"/>
    </row>
    <row r="406" spans="1:67" s="706" customFormat="1" ht="10.55" customHeight="1" x14ac:dyDescent="0.2">
      <c r="A406" s="1167" t="s">
        <v>14</v>
      </c>
      <c r="B406" s="1168"/>
      <c r="C406" s="1168"/>
      <c r="D406" s="1165"/>
      <c r="E406" s="2838">
        <f>SUM(E399:E405)</f>
        <v>0</v>
      </c>
      <c r="F406" s="2839"/>
      <c r="G406" s="723"/>
      <c r="H406" s="724"/>
      <c r="I406" s="736"/>
      <c r="J406" s="737"/>
      <c r="K406" s="738"/>
      <c r="L406" s="739"/>
      <c r="M406" s="1035"/>
      <c r="N406" s="333"/>
      <c r="O406" s="702"/>
      <c r="P406" s="703"/>
      <c r="Q406" s="286"/>
      <c r="R406" s="287"/>
      <c r="S406" s="280"/>
      <c r="T406" s="280"/>
      <c r="U406" s="280"/>
      <c r="V406" s="280"/>
      <c r="W406" s="280"/>
      <c r="X406" s="280"/>
      <c r="Y406" s="280"/>
      <c r="Z406" s="280"/>
      <c r="AA406" s="280"/>
      <c r="AB406" s="280"/>
      <c r="AC406" s="280"/>
      <c r="AD406" s="280"/>
      <c r="AE406" s="280"/>
      <c r="AF406" s="704"/>
      <c r="AG406" s="704"/>
      <c r="AH406" s="704"/>
      <c r="AI406" s="705"/>
      <c r="AJ406" s="705"/>
      <c r="AK406" s="705"/>
      <c r="AL406" s="705"/>
      <c r="AM406" s="705"/>
      <c r="AN406" s="705"/>
      <c r="AO406" s="705"/>
      <c r="AP406" s="705"/>
      <c r="AQ406" s="705"/>
      <c r="AR406" s="705"/>
      <c r="AS406" s="705"/>
      <c r="AT406" s="705"/>
      <c r="AU406" s="705"/>
      <c r="AV406" s="705"/>
      <c r="AW406" s="705"/>
      <c r="AX406" s="705"/>
      <c r="AY406" s="705"/>
      <c r="AZ406" s="705"/>
      <c r="BA406" s="705"/>
      <c r="BB406" s="705"/>
      <c r="BC406" s="705"/>
      <c r="BD406" s="705"/>
      <c r="BE406" s="705"/>
      <c r="BF406" s="705"/>
      <c r="BG406" s="705"/>
      <c r="BH406" s="705"/>
      <c r="BI406" s="705"/>
      <c r="BJ406" s="705"/>
      <c r="BK406" s="705"/>
      <c r="BL406" s="705"/>
      <c r="BM406" s="705"/>
      <c r="BN406" s="705"/>
      <c r="BO406" s="705"/>
    </row>
    <row r="407" spans="1:67" s="88" customFormat="1" ht="10.55" customHeight="1" x14ac:dyDescent="0.2">
      <c r="A407" s="1169"/>
      <c r="B407" s="1170"/>
      <c r="C407" s="1170"/>
      <c r="D407" s="1136"/>
      <c r="E407" s="2793"/>
      <c r="F407" s="2794"/>
      <c r="G407" s="1018"/>
      <c r="H407" s="1019"/>
      <c r="I407" s="676">
        <f>IF($O407&gt;0,-PMT(($I$9),$O407,1),0)</f>
        <v>0</v>
      </c>
      <c r="J407" s="677"/>
      <c r="K407" s="680"/>
      <c r="L407" s="1020"/>
      <c r="M407" s="1021">
        <f>ROUND(E407/100*IF(ISBLANK(L407),K407,L407),-1)</f>
        <v>0</v>
      </c>
      <c r="N407" s="1110"/>
      <c r="O407" s="674">
        <f>IF(ISBLANK(H407),G407,H407)</f>
        <v>0</v>
      </c>
      <c r="P407" s="682"/>
      <c r="Q407" s="286"/>
      <c r="R407" s="287"/>
      <c r="S407" s="280"/>
      <c r="T407" s="280"/>
      <c r="U407" s="280"/>
      <c r="V407" s="280"/>
      <c r="W407" s="280"/>
      <c r="X407" s="280"/>
      <c r="Y407" s="280"/>
      <c r="Z407" s="284"/>
      <c r="AA407" s="284"/>
      <c r="AB407" s="284"/>
      <c r="AC407" s="284"/>
      <c r="AD407" s="284"/>
      <c r="AE407" s="284"/>
      <c r="AF407" s="447"/>
      <c r="AG407" s="447"/>
      <c r="AH407" s="447"/>
      <c r="AI407" s="382"/>
      <c r="AJ407" s="382"/>
      <c r="AK407" s="382"/>
      <c r="AL407" s="382"/>
      <c r="AM407" s="382"/>
      <c r="AN407" s="382"/>
      <c r="AO407" s="382"/>
      <c r="AP407" s="382"/>
      <c r="AQ407" s="382"/>
      <c r="AR407" s="382"/>
      <c r="AS407" s="382"/>
      <c r="AT407" s="382"/>
      <c r="AU407" s="382"/>
      <c r="AV407" s="382"/>
      <c r="AW407" s="382"/>
      <c r="AX407" s="382"/>
      <c r="AY407" s="382"/>
      <c r="AZ407" s="382"/>
      <c r="BA407" s="382"/>
      <c r="BB407" s="382"/>
      <c r="BC407" s="382"/>
      <c r="BD407" s="382"/>
      <c r="BE407" s="382"/>
      <c r="BF407" s="382"/>
      <c r="BG407" s="382"/>
      <c r="BH407" s="382"/>
      <c r="BI407" s="382"/>
      <c r="BJ407" s="382"/>
      <c r="BK407" s="382"/>
      <c r="BL407" s="382"/>
      <c r="BM407" s="382"/>
      <c r="BN407" s="382"/>
      <c r="BO407" s="382"/>
    </row>
    <row r="408" spans="1:67" s="88" customFormat="1" ht="10.55" customHeight="1" x14ac:dyDescent="0.2">
      <c r="A408" s="1145" t="s">
        <v>549</v>
      </c>
      <c r="B408" s="2844"/>
      <c r="C408" s="2845"/>
      <c r="D408" s="2846"/>
      <c r="E408" s="2810"/>
      <c r="F408" s="2811"/>
      <c r="G408" s="2747"/>
      <c r="H408" s="2748"/>
      <c r="I408" s="688"/>
      <c r="J408" s="1012"/>
      <c r="K408" s="2749"/>
      <c r="L408" s="2750"/>
      <c r="M408" s="1430">
        <f>SUM(M409:M412)</f>
        <v>0</v>
      </c>
      <c r="N408" s="1110"/>
      <c r="O408" s="387">
        <f>IF(H408="",G408,H408)</f>
        <v>0</v>
      </c>
      <c r="P408" s="682"/>
      <c r="Q408" s="286"/>
      <c r="R408" s="287"/>
      <c r="S408" s="280"/>
      <c r="T408" s="280"/>
      <c r="U408" s="280"/>
      <c r="V408" s="280"/>
      <c r="W408" s="280"/>
      <c r="X408" s="280"/>
      <c r="Y408" s="280"/>
      <c r="Z408" s="284"/>
      <c r="AA408" s="284"/>
      <c r="AB408" s="284"/>
      <c r="AC408" s="284"/>
      <c r="AD408" s="284"/>
      <c r="AE408" s="284"/>
      <c r="AF408" s="447"/>
      <c r="AG408" s="447"/>
      <c r="AH408" s="447"/>
      <c r="AI408" s="382"/>
      <c r="AJ408" s="382"/>
      <c r="AK408" s="382"/>
      <c r="AL408" s="382"/>
      <c r="AM408" s="382"/>
      <c r="AN408" s="382"/>
      <c r="AO408" s="382"/>
      <c r="AP408" s="382"/>
      <c r="AQ408" s="382"/>
      <c r="AR408" s="382"/>
      <c r="AS408" s="382"/>
      <c r="AT408" s="382"/>
      <c r="AU408" s="382"/>
      <c r="AV408" s="382"/>
      <c r="AW408" s="382"/>
      <c r="AX408" s="382"/>
      <c r="AY408" s="382"/>
      <c r="AZ408" s="382"/>
      <c r="BA408" s="382"/>
      <c r="BB408" s="382"/>
      <c r="BC408" s="382"/>
      <c r="BD408" s="382"/>
      <c r="BE408" s="382"/>
      <c r="BF408" s="382"/>
      <c r="BG408" s="382"/>
      <c r="BH408" s="382"/>
      <c r="BI408" s="382"/>
      <c r="BJ408" s="382"/>
      <c r="BK408" s="382"/>
      <c r="BL408" s="382"/>
      <c r="BM408" s="382"/>
      <c r="BN408" s="382"/>
      <c r="BO408" s="382"/>
    </row>
    <row r="409" spans="1:67" s="88" customFormat="1" ht="10.55" customHeight="1" x14ac:dyDescent="0.2">
      <c r="A409" s="1171" t="s">
        <v>550</v>
      </c>
      <c r="B409" s="1172"/>
      <c r="C409" s="1172"/>
      <c r="D409" s="1008"/>
      <c r="E409" s="2812"/>
      <c r="F409" s="2813"/>
      <c r="G409" s="1049"/>
      <c r="H409" s="1050"/>
      <c r="I409" s="1448"/>
      <c r="J409" s="1414"/>
      <c r="K409" s="733"/>
      <c r="L409" s="734"/>
      <c r="M409" s="1428">
        <f>(E414-E347)*D409</f>
        <v>0</v>
      </c>
      <c r="N409" s="1110"/>
      <c r="O409" s="674">
        <f>IF(ISBLANK(H409),G409,H409)</f>
        <v>0</v>
      </c>
      <c r="P409" s="682"/>
      <c r="Q409" s="286"/>
      <c r="R409" s="287"/>
      <c r="S409" s="280"/>
      <c r="T409" s="280"/>
      <c r="U409" s="280"/>
      <c r="V409" s="280"/>
      <c r="W409" s="280"/>
      <c r="X409" s="280"/>
      <c r="Y409" s="280"/>
      <c r="Z409" s="284"/>
      <c r="AA409" s="284"/>
      <c r="AB409" s="284"/>
      <c r="AC409" s="284"/>
      <c r="AD409" s="284"/>
      <c r="AE409" s="284"/>
      <c r="AF409" s="447"/>
      <c r="AG409" s="447"/>
      <c r="AH409" s="447"/>
      <c r="AI409" s="382"/>
      <c r="AJ409" s="382"/>
      <c r="AK409" s="382"/>
      <c r="AL409" s="382"/>
      <c r="AM409" s="382"/>
      <c r="AN409" s="382"/>
      <c r="AO409" s="382"/>
      <c r="AP409" s="382"/>
      <c r="AQ409" s="382"/>
      <c r="AR409" s="382"/>
      <c r="AS409" s="382"/>
      <c r="AT409" s="382"/>
      <c r="AU409" s="382"/>
      <c r="AV409" s="382"/>
      <c r="AW409" s="382"/>
      <c r="AX409" s="382"/>
      <c r="AY409" s="382"/>
      <c r="AZ409" s="382"/>
      <c r="BA409" s="382"/>
      <c r="BB409" s="382"/>
      <c r="BC409" s="382"/>
      <c r="BD409" s="382"/>
      <c r="BE409" s="382"/>
      <c r="BF409" s="382"/>
      <c r="BG409" s="382"/>
      <c r="BH409" s="382"/>
      <c r="BI409" s="382"/>
      <c r="BJ409" s="382"/>
      <c r="BK409" s="382"/>
      <c r="BL409" s="382"/>
      <c r="BM409" s="382"/>
      <c r="BN409" s="382"/>
      <c r="BO409" s="382"/>
    </row>
    <row r="410" spans="1:67" s="88" customFormat="1" ht="10.55" customHeight="1" x14ac:dyDescent="0.2">
      <c r="A410" s="512" t="s">
        <v>551</v>
      </c>
      <c r="B410" s="2873"/>
      <c r="C410" s="2873"/>
      <c r="D410" s="2874"/>
      <c r="E410" s="2751"/>
      <c r="F410" s="2752"/>
      <c r="G410" s="1051"/>
      <c r="H410" s="1052"/>
      <c r="I410" s="1448">
        <f>IF($O410&gt;0,-PMT(($I$9),$O410,1),0)</f>
        <v>0</v>
      </c>
      <c r="J410" s="1414">
        <f>ROUND(E410*I410,-1)</f>
        <v>0</v>
      </c>
      <c r="K410" s="684"/>
      <c r="L410" s="685"/>
      <c r="M410" s="1442"/>
      <c r="N410" s="1110"/>
      <c r="O410" s="674">
        <f>IF(ISBLANK(H410),G410,H410)</f>
        <v>0</v>
      </c>
      <c r="P410" s="682"/>
      <c r="Q410" s="286"/>
      <c r="R410" s="287"/>
      <c r="S410" s="280"/>
      <c r="T410" s="280"/>
      <c r="U410" s="280"/>
      <c r="V410" s="280"/>
      <c r="W410" s="280"/>
      <c r="X410" s="280"/>
      <c r="Y410" s="280"/>
      <c r="Z410" s="284"/>
      <c r="AA410" s="284"/>
      <c r="AB410" s="284"/>
      <c r="AC410" s="284"/>
      <c r="AD410" s="284"/>
      <c r="AE410" s="284"/>
      <c r="AF410" s="447"/>
      <c r="AG410" s="447"/>
      <c r="AH410" s="447"/>
      <c r="AI410" s="382"/>
      <c r="AJ410" s="382"/>
      <c r="AK410" s="382"/>
      <c r="AL410" s="382"/>
      <c r="AM410" s="382"/>
      <c r="AN410" s="382"/>
      <c r="AO410" s="382"/>
      <c r="AP410" s="382"/>
      <c r="AQ410" s="382"/>
      <c r="AR410" s="382"/>
      <c r="AS410" s="382"/>
      <c r="AT410" s="382"/>
      <c r="AU410" s="382"/>
      <c r="AV410" s="382"/>
      <c r="AW410" s="382"/>
      <c r="AX410" s="382"/>
      <c r="AY410" s="382"/>
      <c r="AZ410" s="382"/>
      <c r="BA410" s="382"/>
      <c r="BB410" s="382"/>
      <c r="BC410" s="382"/>
      <c r="BD410" s="382"/>
      <c r="BE410" s="382"/>
      <c r="BF410" s="382"/>
      <c r="BG410" s="382"/>
      <c r="BH410" s="382"/>
      <c r="BI410" s="382"/>
      <c r="BJ410" s="382"/>
      <c r="BK410" s="382"/>
      <c r="BL410" s="382"/>
      <c r="BM410" s="382"/>
      <c r="BN410" s="382"/>
      <c r="BO410" s="382"/>
    </row>
    <row r="411" spans="1:67" s="88" customFormat="1" ht="10.55" customHeight="1" x14ac:dyDescent="0.2">
      <c r="A411" s="512" t="s">
        <v>552</v>
      </c>
      <c r="B411" s="2873"/>
      <c r="C411" s="2873"/>
      <c r="D411" s="2874"/>
      <c r="E411" s="2751"/>
      <c r="F411" s="2752"/>
      <c r="G411" s="1051"/>
      <c r="H411" s="1052"/>
      <c r="I411" s="1448">
        <f>IF($O411&gt;0,-PMT(($I$9),$O411,1),0)</f>
        <v>0</v>
      </c>
      <c r="J411" s="1414">
        <f>ROUND(E411*I411,-1)</f>
        <v>0</v>
      </c>
      <c r="K411" s="684"/>
      <c r="L411" s="685"/>
      <c r="M411" s="1442"/>
      <c r="N411" s="1110"/>
      <c r="O411" s="674">
        <f>IF(ISBLANK(H411),G411,H411)</f>
        <v>0</v>
      </c>
      <c r="P411" s="682"/>
      <c r="Q411" s="286"/>
      <c r="R411" s="287"/>
      <c r="S411" s="280"/>
      <c r="T411" s="280"/>
      <c r="U411" s="280"/>
      <c r="V411" s="280"/>
      <c r="W411" s="280"/>
      <c r="X411" s="280"/>
      <c r="Y411" s="280"/>
      <c r="Z411" s="284"/>
      <c r="AA411" s="284"/>
      <c r="AB411" s="284"/>
      <c r="AC411" s="284"/>
      <c r="AD411" s="284"/>
      <c r="AE411" s="284"/>
      <c r="AF411" s="447"/>
      <c r="AG411" s="447"/>
      <c r="AH411" s="447"/>
      <c r="AI411" s="382"/>
      <c r="AJ411" s="382"/>
      <c r="AK411" s="382"/>
      <c r="AL411" s="382"/>
      <c r="AM411" s="382"/>
      <c r="AN411" s="382"/>
      <c r="AO411" s="382"/>
      <c r="AP411" s="382"/>
      <c r="AQ411" s="382"/>
      <c r="AR411" s="382"/>
      <c r="AS411" s="382"/>
      <c r="AT411" s="382"/>
      <c r="AU411" s="382"/>
      <c r="AV411" s="382"/>
      <c r="AW411" s="382"/>
      <c r="AX411" s="382"/>
      <c r="AY411" s="382"/>
      <c r="AZ411" s="382"/>
      <c r="BA411" s="382"/>
      <c r="BB411" s="382"/>
      <c r="BC411" s="382"/>
      <c r="BD411" s="382"/>
      <c r="BE411" s="382"/>
      <c r="BF411" s="382"/>
      <c r="BG411" s="382"/>
      <c r="BH411" s="382"/>
      <c r="BI411" s="382"/>
      <c r="BJ411" s="382"/>
      <c r="BK411" s="382"/>
      <c r="BL411" s="382"/>
      <c r="BM411" s="382"/>
      <c r="BN411" s="382"/>
      <c r="BO411" s="382"/>
    </row>
    <row r="412" spans="1:67" s="88" customFormat="1" ht="10.55" customHeight="1" x14ac:dyDescent="0.2">
      <c r="A412" s="512" t="s">
        <v>553</v>
      </c>
      <c r="B412" s="2841"/>
      <c r="C412" s="2841"/>
      <c r="D412" s="2842"/>
      <c r="E412" s="2751"/>
      <c r="F412" s="2752"/>
      <c r="G412" s="1051"/>
      <c r="H412" s="1052"/>
      <c r="I412" s="1448">
        <f>IF($O412&gt;0,-PMT(($I$9),$O412,1),0)</f>
        <v>0</v>
      </c>
      <c r="J412" s="1414">
        <f>ROUND(E412*I412,-1)</f>
        <v>0</v>
      </c>
      <c r="K412" s="684"/>
      <c r="L412" s="685"/>
      <c r="M412" s="1442"/>
      <c r="N412" s="1110"/>
      <c r="O412" s="674">
        <f>IF(ISBLANK(H412),G412,H412)</f>
        <v>0</v>
      </c>
      <c r="P412" s="682"/>
      <c r="Q412" s="286"/>
      <c r="R412" s="287"/>
      <c r="S412" s="280"/>
      <c r="T412" s="280"/>
      <c r="U412" s="280"/>
      <c r="V412" s="280"/>
      <c r="W412" s="280"/>
      <c r="X412" s="280"/>
      <c r="Y412" s="280"/>
      <c r="Z412" s="284"/>
      <c r="AA412" s="284"/>
      <c r="AB412" s="284"/>
      <c r="AC412" s="284"/>
      <c r="AD412" s="284"/>
      <c r="AE412" s="284"/>
      <c r="AF412" s="447"/>
      <c r="AG412" s="447"/>
      <c r="AH412" s="447"/>
      <c r="AI412" s="382"/>
      <c r="AJ412" s="382"/>
      <c r="AK412" s="382"/>
      <c r="AL412" s="382"/>
      <c r="AM412" s="382"/>
      <c r="AN412" s="382"/>
      <c r="AO412" s="382"/>
      <c r="AP412" s="382"/>
      <c r="AQ412" s="382"/>
      <c r="AR412" s="382"/>
      <c r="AS412" s="382"/>
      <c r="AT412" s="382"/>
      <c r="AU412" s="382"/>
      <c r="AV412" s="382"/>
      <c r="AW412" s="382"/>
      <c r="AX412" s="382"/>
      <c r="AY412" s="382"/>
      <c r="AZ412" s="382"/>
      <c r="BA412" s="382"/>
      <c r="BB412" s="382"/>
      <c r="BC412" s="382"/>
      <c r="BD412" s="382"/>
      <c r="BE412" s="382"/>
      <c r="BF412" s="382"/>
      <c r="BG412" s="382"/>
      <c r="BH412" s="382"/>
      <c r="BI412" s="382"/>
      <c r="BJ412" s="382"/>
      <c r="BK412" s="382"/>
      <c r="BL412" s="382"/>
      <c r="BM412" s="382"/>
      <c r="BN412" s="382"/>
      <c r="BO412" s="382"/>
    </row>
    <row r="413" spans="1:67" s="88" customFormat="1" ht="10.55" customHeight="1" x14ac:dyDescent="0.2">
      <c r="A413" s="511"/>
      <c r="B413" s="1154"/>
      <c r="C413" s="1154"/>
      <c r="D413" s="1155"/>
      <c r="E413" s="2814"/>
      <c r="F413" s="2815"/>
      <c r="G413" s="1018"/>
      <c r="H413" s="1019"/>
      <c r="I413" s="1449">
        <f>IF($O413&gt;0,-PMT(($I$9),$O413,1),0)</f>
        <v>0</v>
      </c>
      <c r="J413" s="1447"/>
      <c r="K413" s="1444"/>
      <c r="L413" s="1445"/>
      <c r="M413" s="1443">
        <f>ROUND(E413/100*IF(ISBLANK(L413),K413,L413),-1)</f>
        <v>0</v>
      </c>
      <c r="N413" s="1110"/>
      <c r="O413" s="674">
        <f>IF(ISBLANK(H413),G413,H413)</f>
        <v>0</v>
      </c>
      <c r="P413" s="682"/>
      <c r="Q413" s="286"/>
      <c r="R413" s="287"/>
      <c r="S413" s="280"/>
      <c r="T413" s="280"/>
      <c r="U413" s="280"/>
      <c r="V413" s="280"/>
      <c r="W413" s="280"/>
      <c r="X413" s="280"/>
      <c r="Y413" s="280"/>
      <c r="Z413" s="284"/>
      <c r="AA413" s="284"/>
      <c r="AB413" s="284"/>
      <c r="AC413" s="284"/>
      <c r="AD413" s="284"/>
      <c r="AE413" s="284"/>
      <c r="AF413" s="447"/>
      <c r="AG413" s="447"/>
      <c r="AH413" s="447"/>
      <c r="AI413" s="382"/>
      <c r="AJ413" s="382"/>
      <c r="AK413" s="382"/>
      <c r="AL413" s="382"/>
      <c r="AM413" s="382"/>
      <c r="AN413" s="382"/>
      <c r="AO413" s="382"/>
      <c r="AP413" s="382"/>
      <c r="AQ413" s="382"/>
      <c r="AR413" s="382"/>
      <c r="AS413" s="382"/>
      <c r="AT413" s="382"/>
      <c r="AU413" s="382"/>
      <c r="AV413" s="382"/>
      <c r="AW413" s="382"/>
      <c r="AX413" s="382"/>
      <c r="AY413" s="382"/>
      <c r="AZ413" s="382"/>
      <c r="BA413" s="382"/>
      <c r="BB413" s="382"/>
      <c r="BC413" s="382"/>
      <c r="BD413" s="382"/>
      <c r="BE413" s="382"/>
      <c r="BF413" s="382"/>
      <c r="BG413" s="382"/>
      <c r="BH413" s="382"/>
      <c r="BI413" s="382"/>
      <c r="BJ413" s="382"/>
      <c r="BK413" s="382"/>
      <c r="BL413" s="382"/>
      <c r="BM413" s="382"/>
      <c r="BN413" s="382"/>
      <c r="BO413" s="382"/>
    </row>
    <row r="414" spans="1:67" s="88" customFormat="1" ht="14.1" customHeight="1" thickBot="1" x14ac:dyDescent="0.25">
      <c r="A414" s="391" t="s">
        <v>14</v>
      </c>
      <c r="B414" s="90"/>
      <c r="C414" s="90"/>
      <c r="D414" s="686"/>
      <c r="E414" s="2843">
        <f>ROUND(SUM(E44:E361)/2,-2)</f>
        <v>0</v>
      </c>
      <c r="F414" s="2843"/>
      <c r="G414" s="2840">
        <f>IF($E$414&gt;0,SUMPRODUCT($E$44:$E$360,$O$44:$O$360)/$E$414,0)</f>
        <v>0</v>
      </c>
      <c r="H414" s="2840"/>
      <c r="I414" s="1410">
        <f>IF(E414=0,0,J414/E414)</f>
        <v>0</v>
      </c>
      <c r="J414" s="1407">
        <f>ROUND(SUM(J44:J361)/2,-1)</f>
        <v>0</v>
      </c>
      <c r="K414" s="2764"/>
      <c r="L414" s="2765"/>
      <c r="M414" s="1446">
        <f>ROUND(SUM(M44:M413)/2,-1)</f>
        <v>0</v>
      </c>
      <c r="N414" s="1110"/>
      <c r="O414" s="320"/>
      <c r="P414" s="288"/>
      <c r="Q414" s="280"/>
      <c r="R414" s="287"/>
      <c r="S414" s="289"/>
      <c r="T414" s="271"/>
      <c r="U414" s="271"/>
      <c r="V414" s="271"/>
      <c r="W414" s="271"/>
      <c r="X414" s="271"/>
      <c r="Y414" s="271"/>
      <c r="Z414" s="270"/>
      <c r="AA414" s="270"/>
      <c r="AB414" s="270"/>
      <c r="AC414" s="270"/>
      <c r="AD414" s="270"/>
      <c r="AE414" s="270"/>
      <c r="AF414" s="380"/>
      <c r="AG414" s="380"/>
      <c r="AH414" s="380"/>
      <c r="AI414" s="381"/>
      <c r="AJ414" s="381"/>
      <c r="AK414" s="382"/>
      <c r="AL414" s="382"/>
      <c r="AM414" s="382"/>
      <c r="AN414" s="382"/>
      <c r="AO414" s="382"/>
      <c r="AP414" s="382"/>
      <c r="AQ414" s="382"/>
      <c r="AR414" s="382"/>
      <c r="AS414" s="382"/>
      <c r="AT414" s="382"/>
      <c r="AU414" s="382"/>
      <c r="AV414" s="382"/>
      <c r="AW414" s="382"/>
      <c r="AX414" s="382"/>
      <c r="AY414" s="382"/>
      <c r="AZ414" s="382"/>
      <c r="BA414" s="382"/>
      <c r="BB414" s="382"/>
      <c r="BC414" s="382"/>
      <c r="BD414" s="382"/>
      <c r="BE414" s="382"/>
      <c r="BF414" s="382"/>
      <c r="BG414" s="382"/>
      <c r="BH414" s="382"/>
      <c r="BI414" s="382"/>
      <c r="BJ414" s="382"/>
      <c r="BK414" s="382"/>
      <c r="BL414" s="382"/>
      <c r="BM414" s="382"/>
      <c r="BN414" s="382"/>
      <c r="BO414" s="382"/>
    </row>
    <row r="415" spans="1:67" x14ac:dyDescent="0.2">
      <c r="O415" s="1110"/>
      <c r="P415" s="1110"/>
      <c r="Q415" s="1110"/>
      <c r="R415" s="1110"/>
      <c r="S415" s="1110"/>
      <c r="T415" s="1110"/>
      <c r="U415" s="1110"/>
      <c r="V415" s="1110"/>
      <c r="W415" s="83"/>
      <c r="X415" s="83"/>
      <c r="Y415" s="1110"/>
      <c r="Z415" s="1110"/>
      <c r="AA415" s="1110"/>
    </row>
    <row r="416" spans="1:67" x14ac:dyDescent="0.2">
      <c r="O416" s="1110"/>
      <c r="P416" s="1110"/>
      <c r="Q416" s="1110"/>
      <c r="R416" s="1110"/>
      <c r="S416" s="1110"/>
      <c r="T416" s="1110"/>
      <c r="U416" s="1110"/>
      <c r="V416" s="1110"/>
      <c r="W416" s="83"/>
      <c r="X416" s="83"/>
      <c r="Y416" s="1110"/>
      <c r="Z416" s="1110"/>
      <c r="AA416" s="1110"/>
    </row>
    <row r="417" spans="1:79" x14ac:dyDescent="0.2">
      <c r="O417" s="1110"/>
      <c r="P417" s="1110"/>
      <c r="Q417" s="1110"/>
      <c r="R417" s="1110"/>
      <c r="S417" s="1110"/>
      <c r="T417" s="1110"/>
      <c r="U417" s="1110"/>
      <c r="V417" s="1110"/>
      <c r="W417" s="83"/>
      <c r="X417" s="83"/>
      <c r="Y417" s="1110"/>
      <c r="Z417" s="1110"/>
      <c r="AA417" s="1110"/>
    </row>
    <row r="418" spans="1:79" x14ac:dyDescent="0.2">
      <c r="O418" s="1110"/>
      <c r="P418" s="1110"/>
      <c r="Q418" s="1110"/>
      <c r="R418" s="1110"/>
      <c r="S418" s="1110"/>
      <c r="T418" s="1110"/>
      <c r="U418" s="1110"/>
      <c r="V418" s="1110"/>
      <c r="W418" s="83"/>
      <c r="X418" s="83"/>
      <c r="Y418" s="1110"/>
      <c r="Z418" s="1110"/>
      <c r="AA418" s="1110"/>
    </row>
    <row r="419" spans="1:79" x14ac:dyDescent="0.2">
      <c r="O419" s="1110"/>
      <c r="P419" s="1110"/>
      <c r="Q419" s="1110"/>
      <c r="R419" s="1110"/>
      <c r="S419" s="1110"/>
      <c r="T419" s="1110"/>
      <c r="U419" s="1110"/>
      <c r="V419" s="1110"/>
      <c r="W419" s="83"/>
      <c r="X419" s="83"/>
      <c r="Y419" s="1110"/>
      <c r="Z419" s="1110"/>
      <c r="AA419" s="1110"/>
    </row>
    <row r="420" spans="1:79" x14ac:dyDescent="0.2">
      <c r="O420" s="1110"/>
      <c r="P420" s="1110"/>
      <c r="Q420" s="1110"/>
      <c r="R420" s="1110"/>
      <c r="S420" s="1110"/>
      <c r="T420" s="1110"/>
      <c r="U420" s="1110"/>
      <c r="V420" s="1110"/>
      <c r="W420" s="1110"/>
      <c r="X420" s="1110"/>
      <c r="Y420" s="1110"/>
      <c r="Z420" s="1110"/>
      <c r="AA420" s="1110"/>
    </row>
    <row r="421" spans="1:79" x14ac:dyDescent="0.2">
      <c r="O421" s="1110"/>
      <c r="P421" s="1110"/>
      <c r="Q421" s="1110"/>
      <c r="R421" s="1110"/>
      <c r="S421" s="1110"/>
      <c r="T421" s="1110"/>
      <c r="U421" s="1110"/>
      <c r="V421" s="1110"/>
      <c r="W421" s="1110"/>
      <c r="X421" s="1110"/>
      <c r="Y421" s="1110"/>
      <c r="Z421" s="1110"/>
      <c r="AA421" s="1110"/>
    </row>
    <row r="422" spans="1:79" x14ac:dyDescent="0.2">
      <c r="O422" s="1110"/>
      <c r="P422" s="1110"/>
      <c r="Q422" s="1110"/>
      <c r="R422" s="1110"/>
      <c r="S422" s="1110"/>
      <c r="T422" s="1110"/>
      <c r="U422" s="1110"/>
      <c r="V422" s="1110"/>
      <c r="W422" s="1110"/>
      <c r="X422" s="1110"/>
      <c r="Y422" s="1110"/>
      <c r="Z422" s="1110"/>
      <c r="AA422" s="1110"/>
    </row>
    <row r="423" spans="1:79" x14ac:dyDescent="0.2">
      <c r="O423" s="1110"/>
      <c r="P423" s="1110"/>
      <c r="Q423" s="1110"/>
      <c r="R423" s="1110"/>
      <c r="S423" s="1110"/>
      <c r="T423" s="1110"/>
      <c r="U423" s="1110"/>
      <c r="V423" s="1110"/>
      <c r="W423" s="1110"/>
      <c r="X423" s="1110"/>
      <c r="Y423" s="1110"/>
      <c r="Z423" s="1110"/>
      <c r="AA423" s="1110"/>
    </row>
    <row r="424" spans="1:79" x14ac:dyDescent="0.2">
      <c r="O424" s="1110"/>
      <c r="P424" s="1110"/>
      <c r="Q424" s="1110"/>
      <c r="R424" s="1110"/>
      <c r="S424" s="1110"/>
      <c r="T424" s="1110"/>
      <c r="U424" s="1110"/>
      <c r="V424" s="1110"/>
      <c r="W424" s="1110"/>
      <c r="X424" s="1110"/>
      <c r="Y424" s="1110"/>
      <c r="Z424" s="1110"/>
      <c r="AA424" s="1110"/>
    </row>
    <row r="425" spans="1:79" s="270" customFormat="1" x14ac:dyDescent="0.2">
      <c r="A425" s="86"/>
      <c r="B425" s="84"/>
      <c r="C425" s="84"/>
      <c r="D425" s="84"/>
      <c r="E425" s="84"/>
      <c r="F425" s="84"/>
      <c r="G425" s="83"/>
      <c r="H425" s="83"/>
      <c r="I425" s="83"/>
      <c r="J425" s="86"/>
      <c r="K425" s="86"/>
      <c r="L425" s="86"/>
      <c r="M425" s="86"/>
      <c r="N425" s="86"/>
      <c r="O425" s="1110"/>
      <c r="P425" s="1110"/>
      <c r="Q425" s="1110"/>
      <c r="R425" s="1110"/>
      <c r="S425" s="1110"/>
      <c r="T425" s="1110"/>
      <c r="U425" s="1110"/>
      <c r="V425" s="1110"/>
      <c r="W425" s="1110"/>
      <c r="X425" s="1110"/>
      <c r="Y425" s="1110"/>
      <c r="Z425" s="1110"/>
      <c r="AA425" s="1110"/>
      <c r="AG425" s="380"/>
      <c r="AH425" s="380"/>
      <c r="AI425" s="380"/>
      <c r="AJ425" s="381"/>
      <c r="AK425" s="381"/>
      <c r="AL425" s="381"/>
      <c r="AM425" s="381"/>
      <c r="AN425" s="381"/>
      <c r="AO425" s="381"/>
      <c r="AP425" s="381"/>
      <c r="AQ425" s="381"/>
      <c r="AR425" s="381"/>
      <c r="AS425" s="381"/>
      <c r="AT425" s="381"/>
      <c r="AU425" s="381"/>
      <c r="AV425" s="381"/>
      <c r="AW425" s="381"/>
      <c r="AX425" s="381"/>
      <c r="AY425" s="381"/>
      <c r="AZ425" s="381"/>
      <c r="BA425" s="381"/>
      <c r="BB425" s="381"/>
      <c r="BC425" s="381"/>
      <c r="BD425" s="381"/>
      <c r="BE425" s="381"/>
      <c r="BF425" s="381"/>
      <c r="BG425" s="381"/>
      <c r="BH425" s="381"/>
      <c r="BI425" s="381"/>
      <c r="BJ425" s="381"/>
      <c r="BK425" s="381"/>
      <c r="BL425" s="381"/>
      <c r="BM425" s="381"/>
      <c r="BN425" s="381"/>
      <c r="BO425" s="381"/>
      <c r="BP425" s="381"/>
      <c r="BQ425" s="83"/>
      <c r="BR425" s="83"/>
      <c r="BS425" s="83"/>
      <c r="BT425" s="83"/>
      <c r="BU425" s="83"/>
      <c r="BV425" s="83"/>
      <c r="BW425" s="83"/>
      <c r="BX425" s="83"/>
      <c r="BY425" s="83"/>
      <c r="BZ425" s="83"/>
      <c r="CA425" s="83"/>
    </row>
    <row r="426" spans="1:79" s="270" customFormat="1" x14ac:dyDescent="0.2">
      <c r="A426" s="86"/>
      <c r="B426" s="84"/>
      <c r="C426" s="84"/>
      <c r="D426" s="84"/>
      <c r="E426" s="84"/>
      <c r="F426" s="84"/>
      <c r="G426" s="83"/>
      <c r="H426" s="83"/>
      <c r="I426" s="83"/>
      <c r="J426" s="86"/>
      <c r="K426" s="86"/>
      <c r="L426" s="86"/>
      <c r="M426" s="86"/>
      <c r="N426" s="86"/>
      <c r="O426" s="1110"/>
      <c r="P426" s="1110"/>
      <c r="Q426" s="1110"/>
      <c r="R426" s="1110"/>
      <c r="S426" s="1110"/>
      <c r="T426" s="1110"/>
      <c r="U426" s="1110"/>
      <c r="V426" s="1110"/>
      <c r="W426" s="1110"/>
      <c r="X426" s="1110"/>
      <c r="Y426" s="1110"/>
      <c r="Z426" s="1110"/>
      <c r="AA426" s="1110"/>
      <c r="AG426" s="380"/>
      <c r="AH426" s="380"/>
      <c r="AI426" s="380"/>
      <c r="AJ426" s="381"/>
      <c r="AK426" s="381"/>
      <c r="AL426" s="381"/>
      <c r="AM426" s="381"/>
      <c r="AN426" s="381"/>
      <c r="AO426" s="381"/>
      <c r="AP426" s="381"/>
      <c r="AQ426" s="381"/>
      <c r="AR426" s="381"/>
      <c r="AS426" s="381"/>
      <c r="AT426" s="381"/>
      <c r="AU426" s="381"/>
      <c r="AV426" s="381"/>
      <c r="AW426" s="381"/>
      <c r="AX426" s="381"/>
      <c r="AY426" s="381"/>
      <c r="AZ426" s="381"/>
      <c r="BA426" s="381"/>
      <c r="BB426" s="381"/>
      <c r="BC426" s="381"/>
      <c r="BD426" s="381"/>
      <c r="BE426" s="381"/>
      <c r="BF426" s="381"/>
      <c r="BG426" s="381"/>
      <c r="BH426" s="381"/>
      <c r="BI426" s="381"/>
      <c r="BJ426" s="381"/>
      <c r="BK426" s="381"/>
      <c r="BL426" s="381"/>
      <c r="BM426" s="381"/>
      <c r="BN426" s="381"/>
      <c r="BO426" s="381"/>
      <c r="BP426" s="381"/>
      <c r="BQ426" s="83"/>
      <c r="BR426" s="83"/>
      <c r="BS426" s="83"/>
      <c r="BT426" s="83"/>
      <c r="BU426" s="83"/>
      <c r="BV426" s="83"/>
      <c r="BW426" s="83"/>
      <c r="BX426" s="83"/>
      <c r="BY426" s="83"/>
      <c r="BZ426" s="83"/>
      <c r="CA426" s="83"/>
    </row>
    <row r="427" spans="1:79" s="270" customFormat="1" x14ac:dyDescent="0.2">
      <c r="A427" s="86"/>
      <c r="B427" s="84"/>
      <c r="C427" s="84"/>
      <c r="D427" s="84"/>
      <c r="E427" s="84"/>
      <c r="F427" s="84"/>
      <c r="G427" s="83"/>
      <c r="H427" s="83"/>
      <c r="I427" s="83"/>
      <c r="J427" s="86"/>
      <c r="K427" s="86"/>
      <c r="L427" s="86"/>
      <c r="M427" s="86"/>
      <c r="N427" s="86"/>
      <c r="O427" s="1110"/>
      <c r="P427" s="1110"/>
      <c r="Q427" s="1110"/>
      <c r="R427" s="1110"/>
      <c r="S427" s="1110"/>
      <c r="T427" s="1110"/>
      <c r="U427" s="1110"/>
      <c r="V427" s="1110"/>
      <c r="W427" s="1110"/>
      <c r="X427" s="1110"/>
      <c r="Y427" s="1110"/>
      <c r="Z427" s="1110"/>
      <c r="AA427" s="1110"/>
      <c r="AG427" s="380"/>
      <c r="AH427" s="380"/>
      <c r="AI427" s="380"/>
      <c r="AJ427" s="381"/>
      <c r="AK427" s="381"/>
      <c r="AL427" s="381"/>
      <c r="AM427" s="381"/>
      <c r="AN427" s="381"/>
      <c r="AO427" s="381"/>
      <c r="AP427" s="381"/>
      <c r="AQ427" s="381"/>
      <c r="AR427" s="381"/>
      <c r="AS427" s="381"/>
      <c r="AT427" s="381"/>
      <c r="AU427" s="381"/>
      <c r="AV427" s="381"/>
      <c r="AW427" s="381"/>
      <c r="AX427" s="381"/>
      <c r="AY427" s="381"/>
      <c r="AZ427" s="381"/>
      <c r="BA427" s="381"/>
      <c r="BB427" s="381"/>
      <c r="BC427" s="381"/>
      <c r="BD427" s="381"/>
      <c r="BE427" s="381"/>
      <c r="BF427" s="381"/>
      <c r="BG427" s="381"/>
      <c r="BH427" s="381"/>
      <c r="BI427" s="381"/>
      <c r="BJ427" s="381"/>
      <c r="BK427" s="381"/>
      <c r="BL427" s="381"/>
      <c r="BM427" s="381"/>
      <c r="BN427" s="381"/>
      <c r="BO427" s="381"/>
      <c r="BP427" s="381"/>
      <c r="BQ427" s="83"/>
      <c r="BR427" s="83"/>
      <c r="BS427" s="83"/>
      <c r="BT427" s="83"/>
      <c r="BU427" s="83"/>
      <c r="BV427" s="83"/>
      <c r="BW427" s="83"/>
      <c r="BX427" s="83"/>
      <c r="BY427" s="83"/>
      <c r="BZ427" s="83"/>
      <c r="CA427" s="83"/>
    </row>
    <row r="428" spans="1:79" s="270" customFormat="1" x14ac:dyDescent="0.2">
      <c r="A428" s="86"/>
      <c r="B428" s="84"/>
      <c r="C428" s="84"/>
      <c r="D428" s="84"/>
      <c r="E428" s="84"/>
      <c r="F428" s="84"/>
      <c r="G428" s="83"/>
      <c r="H428" s="83"/>
      <c r="I428" s="83"/>
      <c r="J428" s="86"/>
      <c r="K428" s="86"/>
      <c r="L428" s="86"/>
      <c r="M428" s="86"/>
      <c r="N428" s="86"/>
      <c r="O428" s="1110"/>
      <c r="P428" s="1110"/>
      <c r="Q428" s="1110"/>
      <c r="R428" s="1110"/>
      <c r="S428" s="1110"/>
      <c r="T428" s="1110"/>
      <c r="U428" s="1110"/>
      <c r="V428" s="1110"/>
      <c r="AG428" s="380"/>
      <c r="AH428" s="380"/>
      <c r="AI428" s="380"/>
      <c r="AJ428" s="381"/>
      <c r="AK428" s="381"/>
      <c r="AL428" s="381"/>
      <c r="AM428" s="381"/>
      <c r="AN428" s="381"/>
      <c r="AO428" s="381"/>
      <c r="AP428" s="381"/>
      <c r="AQ428" s="381"/>
      <c r="AR428" s="381"/>
      <c r="AS428" s="381"/>
      <c r="AT428" s="381"/>
      <c r="AU428" s="381"/>
      <c r="AV428" s="381"/>
      <c r="AW428" s="381"/>
      <c r="AX428" s="381"/>
      <c r="AY428" s="381"/>
      <c r="AZ428" s="381"/>
      <c r="BA428" s="381"/>
      <c r="BB428" s="381"/>
      <c r="BC428" s="381"/>
      <c r="BD428" s="381"/>
      <c r="BE428" s="381"/>
      <c r="BF428" s="381"/>
      <c r="BG428" s="381"/>
      <c r="BH428" s="381"/>
      <c r="BI428" s="381"/>
      <c r="BJ428" s="381"/>
      <c r="BK428" s="381"/>
      <c r="BL428" s="381"/>
      <c r="BM428" s="381"/>
      <c r="BN428" s="381"/>
      <c r="BO428" s="381"/>
      <c r="BP428" s="381"/>
      <c r="BQ428" s="83"/>
      <c r="BR428" s="83"/>
      <c r="BS428" s="83"/>
      <c r="BT428" s="83"/>
      <c r="BU428" s="83"/>
      <c r="BV428" s="83"/>
      <c r="BW428" s="83"/>
      <c r="BX428" s="83"/>
      <c r="BY428" s="83"/>
      <c r="BZ428" s="83"/>
      <c r="CA428" s="83"/>
    </row>
    <row r="429" spans="1:79" s="270" customFormat="1" x14ac:dyDescent="0.2">
      <c r="A429" s="86"/>
      <c r="B429" s="84"/>
      <c r="C429" s="84"/>
      <c r="D429" s="84"/>
      <c r="E429" s="84"/>
      <c r="F429" s="84"/>
      <c r="G429" s="83"/>
      <c r="H429" s="83"/>
      <c r="I429" s="83"/>
      <c r="J429" s="86"/>
      <c r="K429" s="86"/>
      <c r="L429" s="86"/>
      <c r="M429" s="86"/>
      <c r="N429" s="86"/>
      <c r="O429" s="1110"/>
      <c r="P429" s="1110"/>
      <c r="Q429" s="1110"/>
      <c r="R429" s="1110"/>
      <c r="S429" s="1110"/>
      <c r="T429" s="1110"/>
      <c r="U429" s="1110"/>
      <c r="V429" s="1110"/>
      <c r="AG429" s="380"/>
      <c r="AH429" s="380"/>
      <c r="AI429" s="380"/>
      <c r="AJ429" s="381"/>
      <c r="AK429" s="381"/>
      <c r="AL429" s="381"/>
      <c r="AM429" s="381"/>
      <c r="AN429" s="381"/>
      <c r="AO429" s="381"/>
      <c r="AP429" s="381"/>
      <c r="AQ429" s="381"/>
      <c r="AR429" s="381"/>
      <c r="AS429" s="381"/>
      <c r="AT429" s="381"/>
      <c r="AU429" s="381"/>
      <c r="AV429" s="381"/>
      <c r="AW429" s="381"/>
      <c r="AX429" s="381"/>
      <c r="AY429" s="381"/>
      <c r="AZ429" s="381"/>
      <c r="BA429" s="381"/>
      <c r="BB429" s="381"/>
      <c r="BC429" s="381"/>
      <c r="BD429" s="381"/>
      <c r="BE429" s="381"/>
      <c r="BF429" s="381"/>
      <c r="BG429" s="381"/>
      <c r="BH429" s="381"/>
      <c r="BI429" s="381"/>
      <c r="BJ429" s="381"/>
      <c r="BK429" s="381"/>
      <c r="BL429" s="381"/>
      <c r="BM429" s="381"/>
      <c r="BN429" s="381"/>
      <c r="BO429" s="381"/>
      <c r="BP429" s="381"/>
      <c r="BQ429" s="83"/>
      <c r="BR429" s="83"/>
      <c r="BS429" s="83"/>
      <c r="BT429" s="83"/>
      <c r="BU429" s="83"/>
      <c r="BV429" s="83"/>
      <c r="BW429" s="83"/>
      <c r="BX429" s="83"/>
      <c r="BY429" s="83"/>
      <c r="BZ429" s="83"/>
      <c r="CA429" s="83"/>
    </row>
    <row r="430" spans="1:79" s="270" customFormat="1" x14ac:dyDescent="0.2">
      <c r="A430" s="86"/>
      <c r="B430" s="84"/>
      <c r="C430" s="84"/>
      <c r="D430" s="84"/>
      <c r="E430" s="84"/>
      <c r="F430" s="84"/>
      <c r="G430" s="83"/>
      <c r="H430" s="83"/>
      <c r="I430" s="83"/>
      <c r="J430" s="86"/>
      <c r="K430" s="86"/>
      <c r="L430" s="86"/>
      <c r="M430" s="86"/>
      <c r="N430" s="86"/>
      <c r="O430" s="1110"/>
      <c r="P430" s="1110"/>
      <c r="Q430" s="1110"/>
      <c r="R430" s="1110"/>
      <c r="S430" s="1110"/>
      <c r="T430" s="1110"/>
      <c r="U430" s="1110"/>
      <c r="V430" s="1110"/>
      <c r="AG430" s="380"/>
      <c r="AH430" s="380"/>
      <c r="AI430" s="380"/>
      <c r="AJ430" s="381"/>
      <c r="AK430" s="381"/>
      <c r="AL430" s="381"/>
      <c r="AM430" s="381"/>
      <c r="AN430" s="381"/>
      <c r="AO430" s="381"/>
      <c r="AP430" s="381"/>
      <c r="AQ430" s="381"/>
      <c r="AR430" s="381"/>
      <c r="AS430" s="381"/>
      <c r="AT430" s="381"/>
      <c r="AU430" s="381"/>
      <c r="AV430" s="381"/>
      <c r="AW430" s="381"/>
      <c r="AX430" s="381"/>
      <c r="AY430" s="381"/>
      <c r="AZ430" s="381"/>
      <c r="BA430" s="381"/>
      <c r="BB430" s="381"/>
      <c r="BC430" s="381"/>
      <c r="BD430" s="381"/>
      <c r="BE430" s="381"/>
      <c r="BF430" s="381"/>
      <c r="BG430" s="381"/>
      <c r="BH430" s="381"/>
      <c r="BI430" s="381"/>
      <c r="BJ430" s="381"/>
      <c r="BK430" s="381"/>
      <c r="BL430" s="381"/>
      <c r="BM430" s="381"/>
      <c r="BN430" s="381"/>
      <c r="BO430" s="381"/>
      <c r="BP430" s="381"/>
      <c r="BQ430" s="83"/>
      <c r="BR430" s="83"/>
      <c r="BS430" s="83"/>
      <c r="BT430" s="83"/>
      <c r="BU430" s="83"/>
      <c r="BV430" s="83"/>
      <c r="BW430" s="83"/>
      <c r="BX430" s="83"/>
      <c r="BY430" s="83"/>
      <c r="BZ430" s="83"/>
      <c r="CA430" s="83"/>
    </row>
    <row r="431" spans="1:79" s="270" customFormat="1" ht="12.9" customHeight="1" x14ac:dyDescent="0.2">
      <c r="A431" s="86"/>
      <c r="B431" s="84"/>
      <c r="C431" s="84"/>
      <c r="D431" s="84"/>
      <c r="E431" s="84"/>
      <c r="F431" s="84"/>
      <c r="G431" s="83"/>
      <c r="H431" s="83"/>
      <c r="I431" s="83"/>
      <c r="J431" s="86"/>
      <c r="K431" s="86"/>
      <c r="L431" s="86"/>
      <c r="M431" s="86"/>
      <c r="N431" s="86"/>
      <c r="O431" s="1110"/>
      <c r="P431" s="1110"/>
      <c r="Q431" s="1110"/>
      <c r="R431" s="1110"/>
      <c r="S431" s="1110"/>
      <c r="T431" s="1110"/>
      <c r="U431" s="1110"/>
      <c r="V431" s="1110"/>
      <c r="AG431" s="380"/>
      <c r="AH431" s="380"/>
      <c r="AI431" s="380"/>
      <c r="AJ431" s="381"/>
      <c r="AK431" s="381"/>
      <c r="AL431" s="381"/>
      <c r="AM431" s="381"/>
      <c r="AN431" s="381"/>
      <c r="AO431" s="381"/>
      <c r="AP431" s="381"/>
      <c r="AQ431" s="381"/>
      <c r="AR431" s="381"/>
      <c r="AS431" s="381"/>
      <c r="AT431" s="381"/>
      <c r="AU431" s="381"/>
      <c r="AV431" s="381"/>
      <c r="AW431" s="381"/>
      <c r="AX431" s="381"/>
      <c r="AY431" s="381"/>
      <c r="AZ431" s="381"/>
      <c r="BA431" s="381"/>
      <c r="BB431" s="381"/>
      <c r="BC431" s="381"/>
      <c r="BD431" s="381"/>
      <c r="BE431" s="381"/>
      <c r="BF431" s="381"/>
      <c r="BG431" s="381"/>
      <c r="BH431" s="381"/>
      <c r="BI431" s="381"/>
      <c r="BJ431" s="381"/>
      <c r="BK431" s="381"/>
      <c r="BL431" s="381"/>
      <c r="BM431" s="381"/>
      <c r="BN431" s="381"/>
      <c r="BO431" s="381"/>
      <c r="BP431" s="381"/>
      <c r="BQ431" s="83"/>
      <c r="BR431" s="83"/>
      <c r="BS431" s="83"/>
      <c r="BT431" s="83"/>
      <c r="BU431" s="83"/>
      <c r="BV431" s="83"/>
      <c r="BW431" s="83"/>
      <c r="BX431" s="83"/>
      <c r="BY431" s="83"/>
      <c r="BZ431" s="83"/>
      <c r="CA431" s="83"/>
    </row>
  </sheetData>
  <sheetProtection algorithmName="SHA-512" hashValue="J2ahwukEgekUZWibsNQZEHY4N74eZAX/IzbzEgM6gwM/34R23zbmrISvAPvdE3H775VnfhFBUvuPcdbeLY8MEA==" saltValue="HF7nV2G/HH+AtJU3hqaZGA==" spinCount="100000" sheet="1" objects="1" scenarios="1" selectLockedCells="1"/>
  <mergeCells count="829">
    <mergeCell ref="B1:G1"/>
    <mergeCell ref="B44:D44"/>
    <mergeCell ref="E44:F44"/>
    <mergeCell ref="G44:H44"/>
    <mergeCell ref="K44:L44"/>
    <mergeCell ref="B45:D45"/>
    <mergeCell ref="E45:F45"/>
    <mergeCell ref="E43:F43"/>
    <mergeCell ref="G43:H43"/>
    <mergeCell ref="K43:L43"/>
    <mergeCell ref="E13:F13"/>
    <mergeCell ref="G13:H13"/>
    <mergeCell ref="K13:L13"/>
    <mergeCell ref="E15:F15"/>
    <mergeCell ref="G15:I15"/>
    <mergeCell ref="K15:L15"/>
    <mergeCell ref="E16:F16"/>
    <mergeCell ref="G16:I16"/>
    <mergeCell ref="K16:L16"/>
    <mergeCell ref="E17:F17"/>
    <mergeCell ref="G17:I17"/>
    <mergeCell ref="K17:L17"/>
    <mergeCell ref="A14:M14"/>
    <mergeCell ref="E18:F18"/>
    <mergeCell ref="B49:D49"/>
    <mergeCell ref="E49:F49"/>
    <mergeCell ref="B50:D50"/>
    <mergeCell ref="E50:F50"/>
    <mergeCell ref="B51:D51"/>
    <mergeCell ref="E51:F51"/>
    <mergeCell ref="B46:D46"/>
    <mergeCell ref="E46:F46"/>
    <mergeCell ref="B47:D47"/>
    <mergeCell ref="E47:F47"/>
    <mergeCell ref="B48:D48"/>
    <mergeCell ref="E48:F48"/>
    <mergeCell ref="G59:H59"/>
    <mergeCell ref="K59:L59"/>
    <mergeCell ref="B55:D55"/>
    <mergeCell ref="E55:F55"/>
    <mergeCell ref="B56:D56"/>
    <mergeCell ref="E56:F56"/>
    <mergeCell ref="B57:D57"/>
    <mergeCell ref="E57:F57"/>
    <mergeCell ref="B52:D52"/>
    <mergeCell ref="E52:F52"/>
    <mergeCell ref="B53:D53"/>
    <mergeCell ref="E53:F53"/>
    <mergeCell ref="B54:D54"/>
    <mergeCell ref="E54:F54"/>
    <mergeCell ref="B60:D60"/>
    <mergeCell ref="E60:F60"/>
    <mergeCell ref="B61:D61"/>
    <mergeCell ref="E61:F61"/>
    <mergeCell ref="B62:D62"/>
    <mergeCell ref="E62:F62"/>
    <mergeCell ref="B58:D58"/>
    <mergeCell ref="E58:F58"/>
    <mergeCell ref="B59:D59"/>
    <mergeCell ref="E59:F59"/>
    <mergeCell ref="B66:D66"/>
    <mergeCell ref="E66:F66"/>
    <mergeCell ref="B67:D67"/>
    <mergeCell ref="E67:F67"/>
    <mergeCell ref="B68:D68"/>
    <mergeCell ref="E68:F68"/>
    <mergeCell ref="B63:D63"/>
    <mergeCell ref="E63:F63"/>
    <mergeCell ref="B64:D64"/>
    <mergeCell ref="E64:F64"/>
    <mergeCell ref="B65:D65"/>
    <mergeCell ref="E65:F65"/>
    <mergeCell ref="B72:D72"/>
    <mergeCell ref="E72:F72"/>
    <mergeCell ref="B73:D73"/>
    <mergeCell ref="E73:F73"/>
    <mergeCell ref="B74:D74"/>
    <mergeCell ref="E74:F74"/>
    <mergeCell ref="B69:D69"/>
    <mergeCell ref="E69:F69"/>
    <mergeCell ref="B70:D70"/>
    <mergeCell ref="E70:F70"/>
    <mergeCell ref="B71:D71"/>
    <mergeCell ref="E71:F71"/>
    <mergeCell ref="B77:D77"/>
    <mergeCell ref="E77:F77"/>
    <mergeCell ref="B78:D78"/>
    <mergeCell ref="E78:F78"/>
    <mergeCell ref="B79:D79"/>
    <mergeCell ref="E79:F79"/>
    <mergeCell ref="G74:H74"/>
    <mergeCell ref="K74:L74"/>
    <mergeCell ref="B75:D75"/>
    <mergeCell ref="E75:F75"/>
    <mergeCell ref="B76:D76"/>
    <mergeCell ref="E76:F76"/>
    <mergeCell ref="B83:D83"/>
    <mergeCell ref="E83:F83"/>
    <mergeCell ref="B84:D84"/>
    <mergeCell ref="E84:F84"/>
    <mergeCell ref="B85:D85"/>
    <mergeCell ref="E85:F85"/>
    <mergeCell ref="B80:D80"/>
    <mergeCell ref="E80:F80"/>
    <mergeCell ref="B81:D81"/>
    <mergeCell ref="E81:F81"/>
    <mergeCell ref="B82:D82"/>
    <mergeCell ref="E82:F82"/>
    <mergeCell ref="B89:D89"/>
    <mergeCell ref="E89:F89"/>
    <mergeCell ref="G89:H89"/>
    <mergeCell ref="K89:L89"/>
    <mergeCell ref="B90:D90"/>
    <mergeCell ref="E90:F90"/>
    <mergeCell ref="B86:D86"/>
    <mergeCell ref="E86:F86"/>
    <mergeCell ref="B87:D87"/>
    <mergeCell ref="E87:F87"/>
    <mergeCell ref="B88:D88"/>
    <mergeCell ref="E88:F88"/>
    <mergeCell ref="B94:D94"/>
    <mergeCell ref="E94:F94"/>
    <mergeCell ref="B95:D95"/>
    <mergeCell ref="E95:F95"/>
    <mergeCell ref="B96:D96"/>
    <mergeCell ref="E96:F96"/>
    <mergeCell ref="B91:D91"/>
    <mergeCell ref="E91:F91"/>
    <mergeCell ref="B92:D92"/>
    <mergeCell ref="E92:F92"/>
    <mergeCell ref="B93:D93"/>
    <mergeCell ref="E93:F93"/>
    <mergeCell ref="G106:H106"/>
    <mergeCell ref="K106:L106"/>
    <mergeCell ref="B100:D100"/>
    <mergeCell ref="E100:F100"/>
    <mergeCell ref="B103:D103"/>
    <mergeCell ref="E103:F103"/>
    <mergeCell ref="B104:D104"/>
    <mergeCell ref="E104:F104"/>
    <mergeCell ref="B97:D97"/>
    <mergeCell ref="E97:F97"/>
    <mergeCell ref="B98:D98"/>
    <mergeCell ref="E98:F98"/>
    <mergeCell ref="B99:D99"/>
    <mergeCell ref="E99:F99"/>
    <mergeCell ref="B101:D101"/>
    <mergeCell ref="E101:F101"/>
    <mergeCell ref="B102:D102"/>
    <mergeCell ref="E102:F102"/>
    <mergeCell ref="B107:D107"/>
    <mergeCell ref="E107:F107"/>
    <mergeCell ref="B108:D108"/>
    <mergeCell ref="E108:F108"/>
    <mergeCell ref="B109:D109"/>
    <mergeCell ref="E109:F109"/>
    <mergeCell ref="B105:D105"/>
    <mergeCell ref="E105:F105"/>
    <mergeCell ref="B106:D106"/>
    <mergeCell ref="E106:F106"/>
    <mergeCell ref="B113:D113"/>
    <mergeCell ref="E113:F113"/>
    <mergeCell ref="B114:D114"/>
    <mergeCell ref="E114:F114"/>
    <mergeCell ref="B115:D115"/>
    <mergeCell ref="E115:F115"/>
    <mergeCell ref="B110:D110"/>
    <mergeCell ref="E110:F110"/>
    <mergeCell ref="B111:D111"/>
    <mergeCell ref="E111:F111"/>
    <mergeCell ref="B112:D112"/>
    <mergeCell ref="E112:F112"/>
    <mergeCell ref="B119:D119"/>
    <mergeCell ref="E119:F119"/>
    <mergeCell ref="B120:D120"/>
    <mergeCell ref="E120:F120"/>
    <mergeCell ref="B121:D121"/>
    <mergeCell ref="E121:F121"/>
    <mergeCell ref="B116:D116"/>
    <mergeCell ref="E116:F116"/>
    <mergeCell ref="B117:D117"/>
    <mergeCell ref="E117:F117"/>
    <mergeCell ref="B118:D118"/>
    <mergeCell ref="E118:F118"/>
    <mergeCell ref="B124:D124"/>
    <mergeCell ref="E124:F124"/>
    <mergeCell ref="B125:D125"/>
    <mergeCell ref="E125:F125"/>
    <mergeCell ref="B126:D126"/>
    <mergeCell ref="E126:F126"/>
    <mergeCell ref="G121:H121"/>
    <mergeCell ref="K121:L121"/>
    <mergeCell ref="B122:D122"/>
    <mergeCell ref="E122:F122"/>
    <mergeCell ref="B123:D123"/>
    <mergeCell ref="E123:F123"/>
    <mergeCell ref="B130:D130"/>
    <mergeCell ref="E130:F130"/>
    <mergeCell ref="B131:D131"/>
    <mergeCell ref="E131:F131"/>
    <mergeCell ref="B132:D132"/>
    <mergeCell ref="E132:F132"/>
    <mergeCell ref="B127:D127"/>
    <mergeCell ref="E127:F127"/>
    <mergeCell ref="B128:D128"/>
    <mergeCell ref="E128:F128"/>
    <mergeCell ref="B129:D129"/>
    <mergeCell ref="E129:F129"/>
    <mergeCell ref="B136:D136"/>
    <mergeCell ref="E136:F136"/>
    <mergeCell ref="G136:H136"/>
    <mergeCell ref="K136:L136"/>
    <mergeCell ref="B137:D137"/>
    <mergeCell ref="E137:F137"/>
    <mergeCell ref="B133:D133"/>
    <mergeCell ref="E133:F133"/>
    <mergeCell ref="B134:D134"/>
    <mergeCell ref="E134:F134"/>
    <mergeCell ref="B135:D135"/>
    <mergeCell ref="E135:F135"/>
    <mergeCell ref="B141:D141"/>
    <mergeCell ref="E141:F141"/>
    <mergeCell ref="B142:D142"/>
    <mergeCell ref="E142:F142"/>
    <mergeCell ref="B143:D143"/>
    <mergeCell ref="E143:F143"/>
    <mergeCell ref="B138:D138"/>
    <mergeCell ref="E138:F138"/>
    <mergeCell ref="B139:D139"/>
    <mergeCell ref="E139:F139"/>
    <mergeCell ref="B140:D140"/>
    <mergeCell ref="E140:F140"/>
    <mergeCell ref="G151:H151"/>
    <mergeCell ref="K151:L151"/>
    <mergeCell ref="B147:D147"/>
    <mergeCell ref="E147:F147"/>
    <mergeCell ref="B148:D148"/>
    <mergeCell ref="E148:F148"/>
    <mergeCell ref="B149:D149"/>
    <mergeCell ref="E149:F149"/>
    <mergeCell ref="B144:D144"/>
    <mergeCell ref="E144:F144"/>
    <mergeCell ref="B145:D145"/>
    <mergeCell ref="E145:F145"/>
    <mergeCell ref="B146:D146"/>
    <mergeCell ref="E146:F146"/>
    <mergeCell ref="B152:D152"/>
    <mergeCell ref="E152:F152"/>
    <mergeCell ref="B153:D153"/>
    <mergeCell ref="E153:F153"/>
    <mergeCell ref="B154:D154"/>
    <mergeCell ref="E154:F154"/>
    <mergeCell ref="B150:D150"/>
    <mergeCell ref="E150:F150"/>
    <mergeCell ref="B151:D151"/>
    <mergeCell ref="E151:F151"/>
    <mergeCell ref="B158:D158"/>
    <mergeCell ref="E158:F158"/>
    <mergeCell ref="B159:D159"/>
    <mergeCell ref="E159:F159"/>
    <mergeCell ref="B160:D160"/>
    <mergeCell ref="E160:F160"/>
    <mergeCell ref="B155:D155"/>
    <mergeCell ref="E155:F155"/>
    <mergeCell ref="B156:D156"/>
    <mergeCell ref="E156:F156"/>
    <mergeCell ref="B157:D157"/>
    <mergeCell ref="E157:F157"/>
    <mergeCell ref="B164:D164"/>
    <mergeCell ref="E164:F164"/>
    <mergeCell ref="B165:D165"/>
    <mergeCell ref="E165:F165"/>
    <mergeCell ref="B166:D166"/>
    <mergeCell ref="E166:F166"/>
    <mergeCell ref="B161:D161"/>
    <mergeCell ref="E161:F161"/>
    <mergeCell ref="B162:D162"/>
    <mergeCell ref="E162:F162"/>
    <mergeCell ref="B163:D163"/>
    <mergeCell ref="E163:F163"/>
    <mergeCell ref="B169:D169"/>
    <mergeCell ref="E169:F169"/>
    <mergeCell ref="B170:D170"/>
    <mergeCell ref="E170:F170"/>
    <mergeCell ref="B171:D171"/>
    <mergeCell ref="E171:F171"/>
    <mergeCell ref="G166:H166"/>
    <mergeCell ref="K166:L166"/>
    <mergeCell ref="B167:D167"/>
    <mergeCell ref="E167:F167"/>
    <mergeCell ref="B168:D168"/>
    <mergeCell ref="E168:F168"/>
    <mergeCell ref="B175:D175"/>
    <mergeCell ref="E175:F175"/>
    <mergeCell ref="B176:D176"/>
    <mergeCell ref="E176:F176"/>
    <mergeCell ref="B177:D177"/>
    <mergeCell ref="E177:F177"/>
    <mergeCell ref="B172:D172"/>
    <mergeCell ref="E172:F172"/>
    <mergeCell ref="B173:D173"/>
    <mergeCell ref="E173:F173"/>
    <mergeCell ref="B174:D174"/>
    <mergeCell ref="E174:F174"/>
    <mergeCell ref="B181:D181"/>
    <mergeCell ref="E181:F181"/>
    <mergeCell ref="G181:H181"/>
    <mergeCell ref="K181:L181"/>
    <mergeCell ref="B182:D182"/>
    <mergeCell ref="E182:F182"/>
    <mergeCell ref="B178:D178"/>
    <mergeCell ref="E178:F178"/>
    <mergeCell ref="B179:D179"/>
    <mergeCell ref="E179:F179"/>
    <mergeCell ref="B180:D180"/>
    <mergeCell ref="E180:F180"/>
    <mergeCell ref="B186:D186"/>
    <mergeCell ref="E186:F186"/>
    <mergeCell ref="B187:D187"/>
    <mergeCell ref="E187:F187"/>
    <mergeCell ref="B188:D188"/>
    <mergeCell ref="E188:F188"/>
    <mergeCell ref="B183:D183"/>
    <mergeCell ref="E183:F183"/>
    <mergeCell ref="B184:D184"/>
    <mergeCell ref="E184:F184"/>
    <mergeCell ref="B185:D185"/>
    <mergeCell ref="E185:F185"/>
    <mergeCell ref="G196:H196"/>
    <mergeCell ref="K196:L196"/>
    <mergeCell ref="B192:D192"/>
    <mergeCell ref="E192:F192"/>
    <mergeCell ref="B193:D193"/>
    <mergeCell ref="E193:F193"/>
    <mergeCell ref="B194:D194"/>
    <mergeCell ref="E194:F194"/>
    <mergeCell ref="B189:D189"/>
    <mergeCell ref="E189:F189"/>
    <mergeCell ref="B190:D190"/>
    <mergeCell ref="E190:F190"/>
    <mergeCell ref="B191:D191"/>
    <mergeCell ref="E191:F191"/>
    <mergeCell ref="B197:D197"/>
    <mergeCell ref="E197:F197"/>
    <mergeCell ref="B198:D198"/>
    <mergeCell ref="E198:F198"/>
    <mergeCell ref="B199:D199"/>
    <mergeCell ref="E199:F199"/>
    <mergeCell ref="B195:D195"/>
    <mergeCell ref="E195:F195"/>
    <mergeCell ref="B196:D196"/>
    <mergeCell ref="E196:F196"/>
    <mergeCell ref="B203:D203"/>
    <mergeCell ref="E203:F203"/>
    <mergeCell ref="B204:D204"/>
    <mergeCell ref="E204:F204"/>
    <mergeCell ref="B205:D205"/>
    <mergeCell ref="E205:F205"/>
    <mergeCell ref="B200:D200"/>
    <mergeCell ref="E200:F200"/>
    <mergeCell ref="B201:D201"/>
    <mergeCell ref="E201:F201"/>
    <mergeCell ref="B202:D202"/>
    <mergeCell ref="E202:F202"/>
    <mergeCell ref="B209:D209"/>
    <mergeCell ref="E209:F209"/>
    <mergeCell ref="B210:D210"/>
    <mergeCell ref="E210:F210"/>
    <mergeCell ref="B211:D211"/>
    <mergeCell ref="E211:F211"/>
    <mergeCell ref="B206:D206"/>
    <mergeCell ref="E206:F206"/>
    <mergeCell ref="B207:D207"/>
    <mergeCell ref="E207:F207"/>
    <mergeCell ref="B208:D208"/>
    <mergeCell ref="E208:F208"/>
    <mergeCell ref="B214:D214"/>
    <mergeCell ref="E214:F214"/>
    <mergeCell ref="B215:D215"/>
    <mergeCell ref="E215:F215"/>
    <mergeCell ref="B216:D216"/>
    <mergeCell ref="E216:F216"/>
    <mergeCell ref="G211:H211"/>
    <mergeCell ref="K211:L211"/>
    <mergeCell ref="B212:D212"/>
    <mergeCell ref="E212:F212"/>
    <mergeCell ref="B213:D213"/>
    <mergeCell ref="E213:F213"/>
    <mergeCell ref="B220:D220"/>
    <mergeCell ref="E220:F220"/>
    <mergeCell ref="B221:D221"/>
    <mergeCell ref="E221:F221"/>
    <mergeCell ref="B222:D222"/>
    <mergeCell ref="E222:F222"/>
    <mergeCell ref="B217:D217"/>
    <mergeCell ref="E217:F217"/>
    <mergeCell ref="B218:D218"/>
    <mergeCell ref="E218:F218"/>
    <mergeCell ref="B219:D219"/>
    <mergeCell ref="E219:F219"/>
    <mergeCell ref="B226:D226"/>
    <mergeCell ref="E226:F226"/>
    <mergeCell ref="G226:H226"/>
    <mergeCell ref="K226:L226"/>
    <mergeCell ref="B227:D227"/>
    <mergeCell ref="E227:F227"/>
    <mergeCell ref="B223:D223"/>
    <mergeCell ref="E223:F223"/>
    <mergeCell ref="B224:D224"/>
    <mergeCell ref="E224:F224"/>
    <mergeCell ref="B225:D225"/>
    <mergeCell ref="E225:F225"/>
    <mergeCell ref="B231:D231"/>
    <mergeCell ref="E231:F231"/>
    <mergeCell ref="B232:D232"/>
    <mergeCell ref="E232:F232"/>
    <mergeCell ref="B233:D233"/>
    <mergeCell ref="E233:F233"/>
    <mergeCell ref="B228:D228"/>
    <mergeCell ref="E228:F228"/>
    <mergeCell ref="B229:D229"/>
    <mergeCell ref="E229:F229"/>
    <mergeCell ref="B230:D230"/>
    <mergeCell ref="E230:F230"/>
    <mergeCell ref="G241:H241"/>
    <mergeCell ref="K241:L241"/>
    <mergeCell ref="B237:D237"/>
    <mergeCell ref="E237:F237"/>
    <mergeCell ref="B238:D238"/>
    <mergeCell ref="E238:F238"/>
    <mergeCell ref="B239:D239"/>
    <mergeCell ref="E239:F239"/>
    <mergeCell ref="B234:D234"/>
    <mergeCell ref="E234:F234"/>
    <mergeCell ref="B235:D235"/>
    <mergeCell ref="E235:F235"/>
    <mergeCell ref="B236:D236"/>
    <mergeCell ref="E236:F236"/>
    <mergeCell ref="B242:D242"/>
    <mergeCell ref="E242:F242"/>
    <mergeCell ref="B243:D243"/>
    <mergeCell ref="E243:F243"/>
    <mergeCell ref="B244:D244"/>
    <mergeCell ref="E244:F244"/>
    <mergeCell ref="B240:D240"/>
    <mergeCell ref="E240:F240"/>
    <mergeCell ref="B241:D241"/>
    <mergeCell ref="E241:F241"/>
    <mergeCell ref="B248:D248"/>
    <mergeCell ref="E248:F248"/>
    <mergeCell ref="B249:D249"/>
    <mergeCell ref="E249:F249"/>
    <mergeCell ref="B250:D250"/>
    <mergeCell ref="E250:F250"/>
    <mergeCell ref="B245:D245"/>
    <mergeCell ref="E245:F245"/>
    <mergeCell ref="B246:D246"/>
    <mergeCell ref="E246:F246"/>
    <mergeCell ref="B247:D247"/>
    <mergeCell ref="E247:F247"/>
    <mergeCell ref="B254:D254"/>
    <mergeCell ref="E254:F254"/>
    <mergeCell ref="B255:D255"/>
    <mergeCell ref="E255:F255"/>
    <mergeCell ref="B256:D256"/>
    <mergeCell ref="E256:F256"/>
    <mergeCell ref="B251:D251"/>
    <mergeCell ref="E251:F251"/>
    <mergeCell ref="B252:D252"/>
    <mergeCell ref="E252:F252"/>
    <mergeCell ref="B253:D253"/>
    <mergeCell ref="E253:F253"/>
    <mergeCell ref="B259:D259"/>
    <mergeCell ref="E259:F259"/>
    <mergeCell ref="B260:D260"/>
    <mergeCell ref="E260:F260"/>
    <mergeCell ref="B261:D261"/>
    <mergeCell ref="E261:F261"/>
    <mergeCell ref="G256:H256"/>
    <mergeCell ref="K256:L256"/>
    <mergeCell ref="B257:D257"/>
    <mergeCell ref="E257:F257"/>
    <mergeCell ref="B258:D258"/>
    <mergeCell ref="E258:F258"/>
    <mergeCell ref="B265:D265"/>
    <mergeCell ref="E265:F265"/>
    <mergeCell ref="B266:D266"/>
    <mergeCell ref="E266:F266"/>
    <mergeCell ref="B267:D267"/>
    <mergeCell ref="E267:F267"/>
    <mergeCell ref="B262:D262"/>
    <mergeCell ref="E262:F262"/>
    <mergeCell ref="B263:D263"/>
    <mergeCell ref="E263:F263"/>
    <mergeCell ref="B264:D264"/>
    <mergeCell ref="E264:F264"/>
    <mergeCell ref="B271:D271"/>
    <mergeCell ref="E271:F271"/>
    <mergeCell ref="G271:H271"/>
    <mergeCell ref="K271:L271"/>
    <mergeCell ref="B272:D272"/>
    <mergeCell ref="E272:F272"/>
    <mergeCell ref="B268:D268"/>
    <mergeCell ref="E268:F268"/>
    <mergeCell ref="B269:D269"/>
    <mergeCell ref="E269:F269"/>
    <mergeCell ref="B270:D270"/>
    <mergeCell ref="E270:F270"/>
    <mergeCell ref="B276:D276"/>
    <mergeCell ref="E276:F276"/>
    <mergeCell ref="B277:D277"/>
    <mergeCell ref="E277:F277"/>
    <mergeCell ref="B278:D278"/>
    <mergeCell ref="E278:F278"/>
    <mergeCell ref="B273:D273"/>
    <mergeCell ref="E273:F273"/>
    <mergeCell ref="B274:D274"/>
    <mergeCell ref="E274:F274"/>
    <mergeCell ref="B275:D275"/>
    <mergeCell ref="E275:F275"/>
    <mergeCell ref="G286:H286"/>
    <mergeCell ref="K286:L286"/>
    <mergeCell ref="B282:D282"/>
    <mergeCell ref="E282:F282"/>
    <mergeCell ref="B283:D283"/>
    <mergeCell ref="E283:F283"/>
    <mergeCell ref="B284:D284"/>
    <mergeCell ref="E284:F284"/>
    <mergeCell ref="B279:D279"/>
    <mergeCell ref="E279:F279"/>
    <mergeCell ref="B280:D280"/>
    <mergeCell ref="E280:F280"/>
    <mergeCell ref="B281:D281"/>
    <mergeCell ref="E281:F281"/>
    <mergeCell ref="B287:D287"/>
    <mergeCell ref="E287:F287"/>
    <mergeCell ref="B288:D288"/>
    <mergeCell ref="E288:F288"/>
    <mergeCell ref="B289:D289"/>
    <mergeCell ref="E289:F289"/>
    <mergeCell ref="B285:D285"/>
    <mergeCell ref="E285:F285"/>
    <mergeCell ref="B286:D286"/>
    <mergeCell ref="E286:F286"/>
    <mergeCell ref="B293:D293"/>
    <mergeCell ref="E293:F293"/>
    <mergeCell ref="B294:D294"/>
    <mergeCell ref="E294:F294"/>
    <mergeCell ref="B295:D295"/>
    <mergeCell ref="E295:F295"/>
    <mergeCell ref="B290:D290"/>
    <mergeCell ref="E290:F290"/>
    <mergeCell ref="B291:D291"/>
    <mergeCell ref="E291:F291"/>
    <mergeCell ref="B292:D292"/>
    <mergeCell ref="E292:F292"/>
    <mergeCell ref="B299:D299"/>
    <mergeCell ref="E299:F299"/>
    <mergeCell ref="B300:D300"/>
    <mergeCell ref="E300:F300"/>
    <mergeCell ref="B301:D301"/>
    <mergeCell ref="E301:F301"/>
    <mergeCell ref="B296:D296"/>
    <mergeCell ref="E296:F296"/>
    <mergeCell ref="B297:D297"/>
    <mergeCell ref="E297:F297"/>
    <mergeCell ref="B298:D298"/>
    <mergeCell ref="E298:F298"/>
    <mergeCell ref="B304:D304"/>
    <mergeCell ref="E304:F304"/>
    <mergeCell ref="B305:D305"/>
    <mergeCell ref="E305:F305"/>
    <mergeCell ref="B306:D306"/>
    <mergeCell ref="E306:F306"/>
    <mergeCell ref="G301:H301"/>
    <mergeCell ref="K301:L301"/>
    <mergeCell ref="B302:D302"/>
    <mergeCell ref="E302:F302"/>
    <mergeCell ref="B303:D303"/>
    <mergeCell ref="E303:F303"/>
    <mergeCell ref="B310:D310"/>
    <mergeCell ref="E310:F310"/>
    <mergeCell ref="B311:D311"/>
    <mergeCell ref="E311:F311"/>
    <mergeCell ref="B312:D312"/>
    <mergeCell ref="E312:F312"/>
    <mergeCell ref="B307:D307"/>
    <mergeCell ref="E307:F307"/>
    <mergeCell ref="B308:D308"/>
    <mergeCell ref="E308:F308"/>
    <mergeCell ref="B309:D309"/>
    <mergeCell ref="E309:F309"/>
    <mergeCell ref="K316:L316"/>
    <mergeCell ref="B317:D317"/>
    <mergeCell ref="E317:F317"/>
    <mergeCell ref="B313:D313"/>
    <mergeCell ref="E313:F313"/>
    <mergeCell ref="B314:D314"/>
    <mergeCell ref="E314:F314"/>
    <mergeCell ref="B315:D315"/>
    <mergeCell ref="E315:F315"/>
    <mergeCell ref="B318:D318"/>
    <mergeCell ref="E318:F318"/>
    <mergeCell ref="B319:D319"/>
    <mergeCell ref="E319:F319"/>
    <mergeCell ref="B320:D320"/>
    <mergeCell ref="E320:F320"/>
    <mergeCell ref="B316:D316"/>
    <mergeCell ref="E316:F316"/>
    <mergeCell ref="G316:H316"/>
    <mergeCell ref="B324:D324"/>
    <mergeCell ref="E324:F324"/>
    <mergeCell ref="B325:D325"/>
    <mergeCell ref="E325:F325"/>
    <mergeCell ref="B326:D326"/>
    <mergeCell ref="E326:F326"/>
    <mergeCell ref="B321:D321"/>
    <mergeCell ref="E321:F321"/>
    <mergeCell ref="B322:D322"/>
    <mergeCell ref="E322:F322"/>
    <mergeCell ref="B323:D323"/>
    <mergeCell ref="E323:F323"/>
    <mergeCell ref="B330:D330"/>
    <mergeCell ref="E330:F330"/>
    <mergeCell ref="B331:D331"/>
    <mergeCell ref="E331:F331"/>
    <mergeCell ref="G331:H331"/>
    <mergeCell ref="K331:L331"/>
    <mergeCell ref="B327:D327"/>
    <mergeCell ref="E327:F327"/>
    <mergeCell ref="B328:D328"/>
    <mergeCell ref="E328:F328"/>
    <mergeCell ref="B329:D329"/>
    <mergeCell ref="E329:F329"/>
    <mergeCell ref="B337:D337"/>
    <mergeCell ref="E337:F337"/>
    <mergeCell ref="B338:D338"/>
    <mergeCell ref="E338:F338"/>
    <mergeCell ref="E339:F339"/>
    <mergeCell ref="E340:F340"/>
    <mergeCell ref="E333:F333"/>
    <mergeCell ref="B334:D334"/>
    <mergeCell ref="E334:F334"/>
    <mergeCell ref="B335:D335"/>
    <mergeCell ref="E335:F335"/>
    <mergeCell ref="B336:D336"/>
    <mergeCell ref="E336:F336"/>
    <mergeCell ref="B344:D344"/>
    <mergeCell ref="E344:F344"/>
    <mergeCell ref="B345:D345"/>
    <mergeCell ref="E345:F345"/>
    <mergeCell ref="E346:F346"/>
    <mergeCell ref="B347:D347"/>
    <mergeCell ref="E347:F347"/>
    <mergeCell ref="B341:D341"/>
    <mergeCell ref="E341:F341"/>
    <mergeCell ref="B342:D342"/>
    <mergeCell ref="E342:F342"/>
    <mergeCell ref="B343:D343"/>
    <mergeCell ref="E343:F343"/>
    <mergeCell ref="B350:D350"/>
    <mergeCell ref="E350:F350"/>
    <mergeCell ref="B351:D351"/>
    <mergeCell ref="E351:F351"/>
    <mergeCell ref="B352:D352"/>
    <mergeCell ref="E352:F352"/>
    <mergeCell ref="G347:H347"/>
    <mergeCell ref="K347:L347"/>
    <mergeCell ref="B348:D348"/>
    <mergeCell ref="E348:F348"/>
    <mergeCell ref="B349:D349"/>
    <mergeCell ref="E349:F349"/>
    <mergeCell ref="B356:D356"/>
    <mergeCell ref="E356:F356"/>
    <mergeCell ref="B357:D357"/>
    <mergeCell ref="E357:F357"/>
    <mergeCell ref="B358:D358"/>
    <mergeCell ref="E358:F358"/>
    <mergeCell ref="B353:D353"/>
    <mergeCell ref="E353:F353"/>
    <mergeCell ref="B354:D354"/>
    <mergeCell ref="E354:F354"/>
    <mergeCell ref="B355:D355"/>
    <mergeCell ref="E355:F355"/>
    <mergeCell ref="G369:H369"/>
    <mergeCell ref="B370:C370"/>
    <mergeCell ref="G370:H370"/>
    <mergeCell ref="E375:F375"/>
    <mergeCell ref="E378:F378"/>
    <mergeCell ref="B382:C382"/>
    <mergeCell ref="G382:H382"/>
    <mergeCell ref="B359:D359"/>
    <mergeCell ref="E359:F359"/>
    <mergeCell ref="B360:D360"/>
    <mergeCell ref="E360:F360"/>
    <mergeCell ref="E365:F365"/>
    <mergeCell ref="B369:C369"/>
    <mergeCell ref="B396:D396"/>
    <mergeCell ref="E396:F396"/>
    <mergeCell ref="B397:D397"/>
    <mergeCell ref="E397:F397"/>
    <mergeCell ref="B383:C383"/>
    <mergeCell ref="G383:H383"/>
    <mergeCell ref="E388:F388"/>
    <mergeCell ref="B393:D393"/>
    <mergeCell ref="E393:F393"/>
    <mergeCell ref="B394:D394"/>
    <mergeCell ref="E394:F394"/>
    <mergeCell ref="K408:L408"/>
    <mergeCell ref="E409:F409"/>
    <mergeCell ref="B410:D410"/>
    <mergeCell ref="E410:F410"/>
    <mergeCell ref="B404:D404"/>
    <mergeCell ref="E404:F404"/>
    <mergeCell ref="B405:D405"/>
    <mergeCell ref="E405:F405"/>
    <mergeCell ref="E406:F406"/>
    <mergeCell ref="E407:F407"/>
    <mergeCell ref="B15:D15"/>
    <mergeCell ref="B16:D16"/>
    <mergeCell ref="B17:D17"/>
    <mergeCell ref="B18:D18"/>
    <mergeCell ref="B19:D19"/>
    <mergeCell ref="G414:H414"/>
    <mergeCell ref="B411:D411"/>
    <mergeCell ref="E411:F411"/>
    <mergeCell ref="B412:D412"/>
    <mergeCell ref="E412:F412"/>
    <mergeCell ref="E413:F413"/>
    <mergeCell ref="E414:F414"/>
    <mergeCell ref="B408:D408"/>
    <mergeCell ref="E408:F408"/>
    <mergeCell ref="G408:H408"/>
    <mergeCell ref="E398:F398"/>
    <mergeCell ref="B401:D401"/>
    <mergeCell ref="E401:F401"/>
    <mergeCell ref="B402:D402"/>
    <mergeCell ref="E402:F402"/>
    <mergeCell ref="B403:D403"/>
    <mergeCell ref="E403:F403"/>
    <mergeCell ref="B395:D395"/>
    <mergeCell ref="E395:F395"/>
    <mergeCell ref="G23:I23"/>
    <mergeCell ref="K23:L23"/>
    <mergeCell ref="E24:F24"/>
    <mergeCell ref="G24:I24"/>
    <mergeCell ref="G18:I18"/>
    <mergeCell ref="K18:L18"/>
    <mergeCell ref="E19:F19"/>
    <mergeCell ref="G19:I19"/>
    <mergeCell ref="K19:L19"/>
    <mergeCell ref="G28:I28"/>
    <mergeCell ref="K28:L28"/>
    <mergeCell ref="E29:F29"/>
    <mergeCell ref="G29:I29"/>
    <mergeCell ref="K29:L29"/>
    <mergeCell ref="E30:F30"/>
    <mergeCell ref="G30:I30"/>
    <mergeCell ref="E20:F20"/>
    <mergeCell ref="G20:I20"/>
    <mergeCell ref="K20:L20"/>
    <mergeCell ref="K24:L24"/>
    <mergeCell ref="E25:F25"/>
    <mergeCell ref="G25:I25"/>
    <mergeCell ref="K25:L25"/>
    <mergeCell ref="E26:F26"/>
    <mergeCell ref="G26:I26"/>
    <mergeCell ref="K26:L26"/>
    <mergeCell ref="E21:F21"/>
    <mergeCell ref="G21:I21"/>
    <mergeCell ref="K21:L21"/>
    <mergeCell ref="E22:F22"/>
    <mergeCell ref="G22:I22"/>
    <mergeCell ref="K22:L22"/>
    <mergeCell ref="E23:F23"/>
    <mergeCell ref="B36:D36"/>
    <mergeCell ref="K36:L36"/>
    <mergeCell ref="E37:F37"/>
    <mergeCell ref="G37:I37"/>
    <mergeCell ref="K37:L37"/>
    <mergeCell ref="E33:F33"/>
    <mergeCell ref="G33:I33"/>
    <mergeCell ref="K33:L33"/>
    <mergeCell ref="E34:F34"/>
    <mergeCell ref="G34:I34"/>
    <mergeCell ref="K34:L34"/>
    <mergeCell ref="E35:F35"/>
    <mergeCell ref="G35:I35"/>
    <mergeCell ref="K35:L35"/>
    <mergeCell ref="B31:D31"/>
    <mergeCell ref="B32:D32"/>
    <mergeCell ref="B33:D33"/>
    <mergeCell ref="B34:D34"/>
    <mergeCell ref="B35:D35"/>
    <mergeCell ref="B20:D20"/>
    <mergeCell ref="B21:D21"/>
    <mergeCell ref="B22:D22"/>
    <mergeCell ref="B23:D23"/>
    <mergeCell ref="B24:D24"/>
    <mergeCell ref="B25:D25"/>
    <mergeCell ref="B26:D26"/>
    <mergeCell ref="B27:D27"/>
    <mergeCell ref="B28:D28"/>
    <mergeCell ref="B29:D29"/>
    <mergeCell ref="B30:D30"/>
    <mergeCell ref="K11:M12"/>
    <mergeCell ref="K41:M42"/>
    <mergeCell ref="K414:L414"/>
    <mergeCell ref="E11:F12"/>
    <mergeCell ref="G11:H12"/>
    <mergeCell ref="I11:I13"/>
    <mergeCell ref="J11:J12"/>
    <mergeCell ref="E41:F42"/>
    <mergeCell ref="G41:H42"/>
    <mergeCell ref="I41:I43"/>
    <mergeCell ref="J41:J42"/>
    <mergeCell ref="E36:F36"/>
    <mergeCell ref="G36:I36"/>
    <mergeCell ref="K30:L30"/>
    <mergeCell ref="E31:F31"/>
    <mergeCell ref="G31:I31"/>
    <mergeCell ref="K31:L31"/>
    <mergeCell ref="E32:F32"/>
    <mergeCell ref="G32:I32"/>
    <mergeCell ref="K32:L32"/>
    <mergeCell ref="E27:F27"/>
    <mergeCell ref="G27:I27"/>
    <mergeCell ref="K27:L27"/>
    <mergeCell ref="E28:F28"/>
  </mergeCells>
  <conditionalFormatting sqref="M45:M58 M348:M375 I348:I375 M409:M412 I409:I412 I388:I406 M388:M406">
    <cfRule type="expression" dxfId="718" priority="221">
      <formula>IF(ISBLANK(H45),FALSE,TRUE)</formula>
    </cfRule>
  </conditionalFormatting>
  <conditionalFormatting sqref="I45:I58">
    <cfRule type="expression" dxfId="717" priority="220">
      <formula>IF(ISBLANK(H45),FALSE,TRUE)</formula>
    </cfRule>
  </conditionalFormatting>
  <conditionalFormatting sqref="M60:M72">
    <cfRule type="expression" dxfId="716" priority="219">
      <formula>IF(ISBLANK(L60),FALSE,TRUE)</formula>
    </cfRule>
  </conditionalFormatting>
  <conditionalFormatting sqref="I60:I72">
    <cfRule type="expression" dxfId="715" priority="218">
      <formula>IF(ISBLANK(H60),FALSE,TRUE)</formula>
    </cfRule>
  </conditionalFormatting>
  <conditionalFormatting sqref="M75:M87">
    <cfRule type="expression" dxfId="714" priority="217">
      <formula>IF(ISBLANK(L75),FALSE,TRUE)</formula>
    </cfRule>
  </conditionalFormatting>
  <conditionalFormatting sqref="I75:I87">
    <cfRule type="expression" dxfId="713" priority="216">
      <formula>IF(ISBLANK(H75),FALSE,TRUE)</formula>
    </cfRule>
  </conditionalFormatting>
  <conditionalFormatting sqref="M73">
    <cfRule type="expression" dxfId="712" priority="215">
      <formula>IF(ISBLANK(L73),FALSE,TRUE)</formula>
    </cfRule>
  </conditionalFormatting>
  <conditionalFormatting sqref="I73">
    <cfRule type="expression" dxfId="711" priority="214">
      <formula>IF(ISBLANK(H73),FALSE,TRUE)</formula>
    </cfRule>
  </conditionalFormatting>
  <conditionalFormatting sqref="M88">
    <cfRule type="expression" dxfId="710" priority="213">
      <formula>IF(ISBLANK(L88),FALSE,TRUE)</formula>
    </cfRule>
  </conditionalFormatting>
  <conditionalFormatting sqref="I88">
    <cfRule type="expression" dxfId="709" priority="212">
      <formula>IF(ISBLANK(H88),FALSE,TRUE)</formula>
    </cfRule>
  </conditionalFormatting>
  <conditionalFormatting sqref="M90:M100 M103:M104">
    <cfRule type="expression" dxfId="708" priority="211">
      <formula>IF(ISBLANK(L90),FALSE,TRUE)</formula>
    </cfRule>
  </conditionalFormatting>
  <conditionalFormatting sqref="I90:I100 I103:I104">
    <cfRule type="expression" dxfId="707" priority="210">
      <formula>IF(ISBLANK(H90),FALSE,TRUE)</formula>
    </cfRule>
  </conditionalFormatting>
  <conditionalFormatting sqref="I227:I239">
    <cfRule type="expression" dxfId="706" priority="209">
      <formula>IF(ISBLANK(H227),FALSE,TRUE)</formula>
    </cfRule>
  </conditionalFormatting>
  <conditionalFormatting sqref="M257:M269">
    <cfRule type="expression" dxfId="705" priority="208">
      <formula>IF(ISBLANK(L257),FALSE,TRUE)</formula>
    </cfRule>
  </conditionalFormatting>
  <conditionalFormatting sqref="M107:M119">
    <cfRule type="expression" dxfId="704" priority="207">
      <formula>IF(ISBLANK(L107),FALSE,TRUE)</formula>
    </cfRule>
  </conditionalFormatting>
  <conditionalFormatting sqref="I107:I119">
    <cfRule type="expression" dxfId="703" priority="206">
      <formula>IF(ISBLANK(H107),FALSE,TRUE)</formula>
    </cfRule>
  </conditionalFormatting>
  <conditionalFormatting sqref="I257:I269">
    <cfRule type="expression" dxfId="702" priority="205">
      <formula>IF(ISBLANK(H257),FALSE,TRUE)</formula>
    </cfRule>
  </conditionalFormatting>
  <conditionalFormatting sqref="M242:M254">
    <cfRule type="expression" dxfId="701" priority="204">
      <formula>IF(ISBLANK(L242),FALSE,TRUE)</formula>
    </cfRule>
  </conditionalFormatting>
  <conditionalFormatting sqref="M122:M134">
    <cfRule type="expression" dxfId="700" priority="203">
      <formula>IF(ISBLANK(L122),FALSE,TRUE)</formula>
    </cfRule>
  </conditionalFormatting>
  <conditionalFormatting sqref="I122:I134">
    <cfRule type="expression" dxfId="699" priority="202">
      <formula>IF(ISBLANK(H122),FALSE,TRUE)</formula>
    </cfRule>
  </conditionalFormatting>
  <conditionalFormatting sqref="I242:I254">
    <cfRule type="expression" dxfId="698" priority="201">
      <formula>IF(ISBLANK(H242),FALSE,TRUE)</formula>
    </cfRule>
  </conditionalFormatting>
  <conditionalFormatting sqref="M272:M284">
    <cfRule type="expression" dxfId="697" priority="200">
      <formula>IF(ISBLANK(L272),FALSE,TRUE)</formula>
    </cfRule>
  </conditionalFormatting>
  <conditionalFormatting sqref="M137:M149">
    <cfRule type="expression" dxfId="696" priority="199">
      <formula>IF(ISBLANK(L137),FALSE,TRUE)</formula>
    </cfRule>
  </conditionalFormatting>
  <conditionalFormatting sqref="I137:I149">
    <cfRule type="expression" dxfId="695" priority="198">
      <formula>IF(ISBLANK(H137),FALSE,TRUE)</formula>
    </cfRule>
  </conditionalFormatting>
  <conditionalFormatting sqref="I272:I284">
    <cfRule type="expression" dxfId="694" priority="197">
      <formula>IF(ISBLANK(H272),FALSE,TRUE)</formula>
    </cfRule>
  </conditionalFormatting>
  <conditionalFormatting sqref="M152:M164">
    <cfRule type="expression" dxfId="693" priority="196">
      <formula>IF(ISBLANK(L152),FALSE,TRUE)</formula>
    </cfRule>
  </conditionalFormatting>
  <conditionalFormatting sqref="I152:I164">
    <cfRule type="expression" dxfId="692" priority="195">
      <formula>IF(ISBLANK(H152),FALSE,TRUE)</formula>
    </cfRule>
  </conditionalFormatting>
  <conditionalFormatting sqref="M287:M299">
    <cfRule type="expression" dxfId="691" priority="194">
      <formula>IF(ISBLANK(L287),FALSE,TRUE)</formula>
    </cfRule>
  </conditionalFormatting>
  <conditionalFormatting sqref="M167:M179">
    <cfRule type="expression" dxfId="690" priority="193">
      <formula>IF(ISBLANK(L167),FALSE,TRUE)</formula>
    </cfRule>
  </conditionalFormatting>
  <conditionalFormatting sqref="I167:I179">
    <cfRule type="expression" dxfId="689" priority="192">
      <formula>IF(ISBLANK(H167),FALSE,TRUE)</formula>
    </cfRule>
  </conditionalFormatting>
  <conditionalFormatting sqref="I287:I299">
    <cfRule type="expression" dxfId="688" priority="191">
      <formula>IF(ISBLANK(H287),FALSE,TRUE)</formula>
    </cfRule>
  </conditionalFormatting>
  <conditionalFormatting sqref="M182:M194">
    <cfRule type="expression" dxfId="687" priority="190">
      <formula>IF(ISBLANK(L182),FALSE,TRUE)</formula>
    </cfRule>
  </conditionalFormatting>
  <conditionalFormatting sqref="I182:I194">
    <cfRule type="expression" dxfId="686" priority="189">
      <formula>IF(ISBLANK(H182),FALSE,TRUE)</formula>
    </cfRule>
  </conditionalFormatting>
  <conditionalFormatting sqref="M302:M314">
    <cfRule type="expression" dxfId="685" priority="188">
      <formula>IF(ISBLANK(L302),FALSE,TRUE)</formula>
    </cfRule>
  </conditionalFormatting>
  <conditionalFormatting sqref="M197:M209">
    <cfRule type="expression" dxfId="684" priority="187">
      <formula>IF(ISBLANK(L197),FALSE,TRUE)</formula>
    </cfRule>
  </conditionalFormatting>
  <conditionalFormatting sqref="I197:I209">
    <cfRule type="expression" dxfId="683" priority="186">
      <formula>IF(ISBLANK(H197),FALSE,TRUE)</formula>
    </cfRule>
  </conditionalFormatting>
  <conditionalFormatting sqref="I302:I314">
    <cfRule type="expression" dxfId="682" priority="185">
      <formula>IF(ISBLANK(H302),FALSE,TRUE)</formula>
    </cfRule>
  </conditionalFormatting>
  <conditionalFormatting sqref="M212:M224">
    <cfRule type="expression" dxfId="681" priority="184">
      <formula>IF(ISBLANK(L212),FALSE,TRUE)</formula>
    </cfRule>
  </conditionalFormatting>
  <conditionalFormatting sqref="I212:I224">
    <cfRule type="expression" dxfId="680" priority="183">
      <formula>IF(ISBLANK(H212),FALSE,TRUE)</formula>
    </cfRule>
  </conditionalFormatting>
  <conditionalFormatting sqref="M317:M329">
    <cfRule type="expression" dxfId="679" priority="182">
      <formula>IF(ISBLANK(L317),FALSE,TRUE)</formula>
    </cfRule>
  </conditionalFormatting>
  <conditionalFormatting sqref="M227:M239">
    <cfRule type="expression" dxfId="678" priority="181">
      <formula>IF(ISBLANK(L227),FALSE,TRUE)</formula>
    </cfRule>
  </conditionalFormatting>
  <conditionalFormatting sqref="I317:I329">
    <cfRule type="expression" dxfId="677" priority="180">
      <formula>IF(ISBLANK(H317),FALSE,TRUE)</formula>
    </cfRule>
  </conditionalFormatting>
  <conditionalFormatting sqref="M333:M345">
    <cfRule type="expression" dxfId="676" priority="179">
      <formula>IF(ISBLANK(L333),FALSE,TRUE)</formula>
    </cfRule>
  </conditionalFormatting>
  <conditionalFormatting sqref="I333:I345">
    <cfRule type="expression" dxfId="675" priority="178">
      <formula>IF(ISBLANK(H333),FALSE,TRUE)</formula>
    </cfRule>
  </conditionalFormatting>
  <conditionalFormatting sqref="M105">
    <cfRule type="expression" dxfId="674" priority="177">
      <formula>IF(ISBLANK(L105),FALSE,TRUE)</formula>
    </cfRule>
  </conditionalFormatting>
  <conditionalFormatting sqref="I105">
    <cfRule type="expression" dxfId="673" priority="176">
      <formula>IF(ISBLANK(H105),FALSE,TRUE)</formula>
    </cfRule>
  </conditionalFormatting>
  <conditionalFormatting sqref="M120">
    <cfRule type="expression" dxfId="672" priority="175">
      <formula>IF(ISBLANK(L120),FALSE,TRUE)</formula>
    </cfRule>
  </conditionalFormatting>
  <conditionalFormatting sqref="I120">
    <cfRule type="expression" dxfId="671" priority="174">
      <formula>IF(ISBLANK(H120),FALSE,TRUE)</formula>
    </cfRule>
  </conditionalFormatting>
  <conditionalFormatting sqref="M135">
    <cfRule type="expression" dxfId="670" priority="173">
      <formula>IF(ISBLANK(L135),FALSE,TRUE)</formula>
    </cfRule>
  </conditionalFormatting>
  <conditionalFormatting sqref="I135">
    <cfRule type="expression" dxfId="669" priority="172">
      <formula>IF(ISBLANK(H135),FALSE,TRUE)</formula>
    </cfRule>
  </conditionalFormatting>
  <conditionalFormatting sqref="M150">
    <cfRule type="expression" dxfId="668" priority="171">
      <formula>IF(ISBLANK(L150),FALSE,TRUE)</formula>
    </cfRule>
  </conditionalFormatting>
  <conditionalFormatting sqref="I150">
    <cfRule type="expression" dxfId="667" priority="170">
      <formula>IF(ISBLANK(H150),FALSE,TRUE)</formula>
    </cfRule>
  </conditionalFormatting>
  <conditionalFormatting sqref="M165">
    <cfRule type="expression" dxfId="666" priority="169">
      <formula>IF(ISBLANK(L165),FALSE,TRUE)</formula>
    </cfRule>
  </conditionalFormatting>
  <conditionalFormatting sqref="I165">
    <cfRule type="expression" dxfId="665" priority="168">
      <formula>IF(ISBLANK(H165),FALSE,TRUE)</formula>
    </cfRule>
  </conditionalFormatting>
  <conditionalFormatting sqref="M180">
    <cfRule type="expression" dxfId="664" priority="167">
      <formula>IF(ISBLANK(L180),FALSE,TRUE)</formula>
    </cfRule>
  </conditionalFormatting>
  <conditionalFormatting sqref="I180">
    <cfRule type="expression" dxfId="663" priority="166">
      <formula>IF(ISBLANK(H180),FALSE,TRUE)</formula>
    </cfRule>
  </conditionalFormatting>
  <conditionalFormatting sqref="M195">
    <cfRule type="expression" dxfId="662" priority="165">
      <formula>IF(ISBLANK(L195),FALSE,TRUE)</formula>
    </cfRule>
  </conditionalFormatting>
  <conditionalFormatting sqref="I195">
    <cfRule type="expression" dxfId="661" priority="164">
      <formula>IF(ISBLANK(H195),FALSE,TRUE)</formula>
    </cfRule>
  </conditionalFormatting>
  <conditionalFormatting sqref="M210">
    <cfRule type="expression" dxfId="660" priority="163">
      <formula>IF(ISBLANK(L210),FALSE,TRUE)</formula>
    </cfRule>
  </conditionalFormatting>
  <conditionalFormatting sqref="I210">
    <cfRule type="expression" dxfId="659" priority="162">
      <formula>IF(ISBLANK(H210),FALSE,TRUE)</formula>
    </cfRule>
  </conditionalFormatting>
  <conditionalFormatting sqref="M225">
    <cfRule type="expression" dxfId="658" priority="161">
      <formula>IF(ISBLANK(L225),FALSE,TRUE)</formula>
    </cfRule>
  </conditionalFormatting>
  <conditionalFormatting sqref="I225">
    <cfRule type="expression" dxfId="657" priority="160">
      <formula>IF(ISBLANK(H225),FALSE,TRUE)</formula>
    </cfRule>
  </conditionalFormatting>
  <conditionalFormatting sqref="M240">
    <cfRule type="expression" dxfId="656" priority="159">
      <formula>IF(ISBLANK(L240),FALSE,TRUE)</formula>
    </cfRule>
  </conditionalFormatting>
  <conditionalFormatting sqref="I240">
    <cfRule type="expression" dxfId="655" priority="158">
      <formula>IF(ISBLANK(H240),FALSE,TRUE)</formula>
    </cfRule>
  </conditionalFormatting>
  <conditionalFormatting sqref="M255">
    <cfRule type="expression" dxfId="654" priority="157">
      <formula>IF(ISBLANK(L255),FALSE,TRUE)</formula>
    </cfRule>
  </conditionalFormatting>
  <conditionalFormatting sqref="I255">
    <cfRule type="expression" dxfId="653" priority="156">
      <formula>IF(ISBLANK(H255),FALSE,TRUE)</formula>
    </cfRule>
  </conditionalFormatting>
  <conditionalFormatting sqref="M270">
    <cfRule type="expression" dxfId="652" priority="155">
      <formula>IF(ISBLANK(L270),FALSE,TRUE)</formula>
    </cfRule>
  </conditionalFormatting>
  <conditionalFormatting sqref="I270">
    <cfRule type="expression" dxfId="651" priority="154">
      <formula>IF(ISBLANK(H270),FALSE,TRUE)</formula>
    </cfRule>
  </conditionalFormatting>
  <conditionalFormatting sqref="M285">
    <cfRule type="expression" dxfId="650" priority="153">
      <formula>IF(ISBLANK(L285),FALSE,TRUE)</formula>
    </cfRule>
  </conditionalFormatting>
  <conditionalFormatting sqref="I285">
    <cfRule type="expression" dxfId="649" priority="152">
      <formula>IF(ISBLANK(H285),FALSE,TRUE)</formula>
    </cfRule>
  </conditionalFormatting>
  <conditionalFormatting sqref="M300">
    <cfRule type="expression" dxfId="648" priority="151">
      <formula>IF(ISBLANK(L300),FALSE,TRUE)</formula>
    </cfRule>
  </conditionalFormatting>
  <conditionalFormatting sqref="I300">
    <cfRule type="expression" dxfId="647" priority="150">
      <formula>IF(ISBLANK(H300),FALSE,TRUE)</formula>
    </cfRule>
  </conditionalFormatting>
  <conditionalFormatting sqref="M315">
    <cfRule type="expression" dxfId="646" priority="149">
      <formula>IF(ISBLANK(L315),FALSE,TRUE)</formula>
    </cfRule>
  </conditionalFormatting>
  <conditionalFormatting sqref="I315">
    <cfRule type="expression" dxfId="645" priority="148">
      <formula>IF(ISBLANK(H315),FALSE,TRUE)</formula>
    </cfRule>
  </conditionalFormatting>
  <conditionalFormatting sqref="M330">
    <cfRule type="expression" dxfId="644" priority="147">
      <formula>IF(ISBLANK(L330),FALSE,TRUE)</formula>
    </cfRule>
  </conditionalFormatting>
  <conditionalFormatting sqref="I330">
    <cfRule type="expression" dxfId="643" priority="146">
      <formula>IF(ISBLANK(H330),FALSE,TRUE)</formula>
    </cfRule>
  </conditionalFormatting>
  <conditionalFormatting sqref="I413">
    <cfRule type="expression" dxfId="642" priority="145">
      <formula>IF(ISBLANK(H413),FALSE,TRUE)</formula>
    </cfRule>
  </conditionalFormatting>
  <conditionalFormatting sqref="M346">
    <cfRule type="expression" dxfId="641" priority="144">
      <formula>IF(ISBLANK(L346),FALSE,TRUE)</formula>
    </cfRule>
  </conditionalFormatting>
  <conditionalFormatting sqref="I346">
    <cfRule type="expression" dxfId="640" priority="143">
      <formula>IF(ISBLANK(H346),FALSE,TRUE)</formula>
    </cfRule>
  </conditionalFormatting>
  <conditionalFormatting sqref="M413">
    <cfRule type="expression" dxfId="639" priority="142">
      <formula>IF(ISBLANK(L413),FALSE,TRUE)</formula>
    </cfRule>
  </conditionalFormatting>
  <conditionalFormatting sqref="M376:M387 I376:I387">
    <cfRule type="expression" dxfId="638" priority="140">
      <formula>IF(ISBLANK(H376),FALSE,TRUE)</formula>
    </cfRule>
  </conditionalFormatting>
  <conditionalFormatting sqref="M407">
    <cfRule type="expression" dxfId="637" priority="137">
      <formula>IF(ISBLANK(L407),FALSE,TRUE)</formula>
    </cfRule>
  </conditionalFormatting>
  <conditionalFormatting sqref="I407">
    <cfRule type="expression" dxfId="636" priority="136">
      <formula>IF(ISBLANK(H407),FALSE,TRUE)</formula>
    </cfRule>
  </conditionalFormatting>
  <conditionalFormatting sqref="K52:K57 K71:K72 K82:K87 K107:K119 K132:K134 K146:K149 K152:K164 K176:K179 K187:K194 K197:K209 K212:K224 K227:K239 K250:K254 K257:K269 K281:K284 K287:K299 K302:K314 K317:K329 K333:K345 K103:K104">
    <cfRule type="expression" dxfId="635" priority="135">
      <formula>L52&lt;&gt;""</formula>
    </cfRule>
  </conditionalFormatting>
  <conditionalFormatting sqref="G52:G57">
    <cfRule type="expression" dxfId="634" priority="134">
      <formula>H52&lt;&gt;""</formula>
    </cfRule>
  </conditionalFormatting>
  <conditionalFormatting sqref="G82:G87 G107:G119 G132:G134 G146:G149 G152:G164 G176:G179 G187:G194 G197:G209 G212:G224 G227:G239 G250:G254 G257:G269 G281:G284 G287:G299 G302:G314 G317:G329 G333:G345 G348:G360 G103:G104">
    <cfRule type="expression" dxfId="633" priority="132">
      <formula>H82&lt;&gt;""</formula>
    </cfRule>
  </conditionalFormatting>
  <conditionalFormatting sqref="M15:M37">
    <cfRule type="expression" dxfId="632" priority="131">
      <formula>IF(ISBLANK(L15),FALSE,TRUE)</formula>
    </cfRule>
  </conditionalFormatting>
  <conditionalFormatting sqref="K15:K37 G15:G37">
    <cfRule type="expression" dxfId="631" priority="130">
      <formula>H15&lt;&gt;""</formula>
    </cfRule>
  </conditionalFormatting>
  <conditionalFormatting sqref="M15:M37">
    <cfRule type="expression" dxfId="630" priority="129">
      <formula>IF(ISBLANK(L15),FALSE,TRUE)</formula>
    </cfRule>
  </conditionalFormatting>
  <conditionalFormatting sqref="K15:K37 G15:G37">
    <cfRule type="expression" dxfId="629" priority="128">
      <formula>H15&lt;&gt;""</formula>
    </cfRule>
  </conditionalFormatting>
  <conditionalFormatting sqref="E15">
    <cfRule type="expression" dxfId="628" priority="127">
      <formula>$X$11</formula>
    </cfRule>
  </conditionalFormatting>
  <conditionalFormatting sqref="J15">
    <cfRule type="expression" dxfId="627" priority="126">
      <formula>$X$11</formula>
    </cfRule>
  </conditionalFormatting>
  <conditionalFormatting sqref="M15">
    <cfRule type="expression" dxfId="626" priority="125">
      <formula>$X$11</formula>
    </cfRule>
  </conditionalFormatting>
  <conditionalFormatting sqref="M45:M58 M348:M375 I348:I375 M409:M412 I409:I412 I388:I406 M388:M406">
    <cfRule type="expression" dxfId="625" priority="124">
      <formula>IF(ISBLANK(H45),FALSE,TRUE)</formula>
    </cfRule>
  </conditionalFormatting>
  <conditionalFormatting sqref="I45:I58">
    <cfRule type="expression" dxfId="624" priority="123">
      <formula>IF(ISBLANK(H45),FALSE,TRUE)</formula>
    </cfRule>
  </conditionalFormatting>
  <conditionalFormatting sqref="M60:M72">
    <cfRule type="expression" dxfId="623" priority="122">
      <formula>IF(ISBLANK(L60),FALSE,TRUE)</formula>
    </cfRule>
  </conditionalFormatting>
  <conditionalFormatting sqref="I60:I72">
    <cfRule type="expression" dxfId="622" priority="121">
      <formula>IF(ISBLANK(H60),FALSE,TRUE)</formula>
    </cfRule>
  </conditionalFormatting>
  <conditionalFormatting sqref="M75:M87">
    <cfRule type="expression" dxfId="621" priority="120">
      <formula>IF(ISBLANK(L75),FALSE,TRUE)</formula>
    </cfRule>
  </conditionalFormatting>
  <conditionalFormatting sqref="I75:I87">
    <cfRule type="expression" dxfId="620" priority="119">
      <formula>IF(ISBLANK(H75),FALSE,TRUE)</formula>
    </cfRule>
  </conditionalFormatting>
  <conditionalFormatting sqref="M73">
    <cfRule type="expression" dxfId="619" priority="118">
      <formula>IF(ISBLANK(L73),FALSE,TRUE)</formula>
    </cfRule>
  </conditionalFormatting>
  <conditionalFormatting sqref="I73">
    <cfRule type="expression" dxfId="618" priority="117">
      <formula>IF(ISBLANK(H73),FALSE,TRUE)</formula>
    </cfRule>
  </conditionalFormatting>
  <conditionalFormatting sqref="M88">
    <cfRule type="expression" dxfId="617" priority="116">
      <formula>IF(ISBLANK(L88),FALSE,TRUE)</formula>
    </cfRule>
  </conditionalFormatting>
  <conditionalFormatting sqref="I88">
    <cfRule type="expression" dxfId="616" priority="115">
      <formula>IF(ISBLANK(H88),FALSE,TRUE)</formula>
    </cfRule>
  </conditionalFormatting>
  <conditionalFormatting sqref="M90:M100 M103:M104">
    <cfRule type="expression" dxfId="615" priority="114">
      <formula>IF(ISBLANK(L90),FALSE,TRUE)</formula>
    </cfRule>
  </conditionalFormatting>
  <conditionalFormatting sqref="I90:I100 I103:I104">
    <cfRule type="expression" dxfId="614" priority="113">
      <formula>IF(ISBLANK(H90),FALSE,TRUE)</formula>
    </cfRule>
  </conditionalFormatting>
  <conditionalFormatting sqref="I227:I239">
    <cfRule type="expression" dxfId="613" priority="112">
      <formula>IF(ISBLANK(H227),FALSE,TRUE)</formula>
    </cfRule>
  </conditionalFormatting>
  <conditionalFormatting sqref="M257:M269">
    <cfRule type="expression" dxfId="612" priority="111">
      <formula>IF(ISBLANK(L257),FALSE,TRUE)</formula>
    </cfRule>
  </conditionalFormatting>
  <conditionalFormatting sqref="M107:M119">
    <cfRule type="expression" dxfId="611" priority="110">
      <formula>IF(ISBLANK(L107),FALSE,TRUE)</formula>
    </cfRule>
  </conditionalFormatting>
  <conditionalFormatting sqref="I107:I119">
    <cfRule type="expression" dxfId="610" priority="109">
      <formula>IF(ISBLANK(H107),FALSE,TRUE)</formula>
    </cfRule>
  </conditionalFormatting>
  <conditionalFormatting sqref="I257:I269">
    <cfRule type="expression" dxfId="609" priority="108">
      <formula>IF(ISBLANK(H257),FALSE,TRUE)</formula>
    </cfRule>
  </conditionalFormatting>
  <conditionalFormatting sqref="M242:M254">
    <cfRule type="expression" dxfId="608" priority="107">
      <formula>IF(ISBLANK(L242),FALSE,TRUE)</formula>
    </cfRule>
  </conditionalFormatting>
  <conditionalFormatting sqref="M122:M134">
    <cfRule type="expression" dxfId="607" priority="106">
      <formula>IF(ISBLANK(L122),FALSE,TRUE)</formula>
    </cfRule>
  </conditionalFormatting>
  <conditionalFormatting sqref="I122:I134">
    <cfRule type="expression" dxfId="606" priority="105">
      <formula>IF(ISBLANK(H122),FALSE,TRUE)</formula>
    </cfRule>
  </conditionalFormatting>
  <conditionalFormatting sqref="I242:I254">
    <cfRule type="expression" dxfId="605" priority="104">
      <formula>IF(ISBLANK(H242),FALSE,TRUE)</formula>
    </cfRule>
  </conditionalFormatting>
  <conditionalFormatting sqref="M272:M284">
    <cfRule type="expression" dxfId="604" priority="103">
      <formula>IF(ISBLANK(L272),FALSE,TRUE)</formula>
    </cfRule>
  </conditionalFormatting>
  <conditionalFormatting sqref="M137:M149">
    <cfRule type="expression" dxfId="603" priority="102">
      <formula>IF(ISBLANK(L137),FALSE,TRUE)</formula>
    </cfRule>
  </conditionalFormatting>
  <conditionalFormatting sqref="I137:I149">
    <cfRule type="expression" dxfId="602" priority="101">
      <formula>IF(ISBLANK(H137),FALSE,TRUE)</formula>
    </cfRule>
  </conditionalFormatting>
  <conditionalFormatting sqref="I272:I284">
    <cfRule type="expression" dxfId="601" priority="100">
      <formula>IF(ISBLANK(H272),FALSE,TRUE)</formula>
    </cfRule>
  </conditionalFormatting>
  <conditionalFormatting sqref="M152:M164">
    <cfRule type="expression" dxfId="600" priority="99">
      <formula>IF(ISBLANK(L152),FALSE,TRUE)</formula>
    </cfRule>
  </conditionalFormatting>
  <conditionalFormatting sqref="I152:I164">
    <cfRule type="expression" dxfId="599" priority="98">
      <formula>IF(ISBLANK(H152),FALSE,TRUE)</formula>
    </cfRule>
  </conditionalFormatting>
  <conditionalFormatting sqref="M287:M299">
    <cfRule type="expression" dxfId="598" priority="97">
      <formula>IF(ISBLANK(L287),FALSE,TRUE)</formula>
    </cfRule>
  </conditionalFormatting>
  <conditionalFormatting sqref="M167:M179">
    <cfRule type="expression" dxfId="597" priority="96">
      <formula>IF(ISBLANK(L167),FALSE,TRUE)</formula>
    </cfRule>
  </conditionalFormatting>
  <conditionalFormatting sqref="I167:I179">
    <cfRule type="expression" dxfId="596" priority="95">
      <formula>IF(ISBLANK(H167),FALSE,TRUE)</formula>
    </cfRule>
  </conditionalFormatting>
  <conditionalFormatting sqref="I287:I299">
    <cfRule type="expression" dxfId="595" priority="94">
      <formula>IF(ISBLANK(H287),FALSE,TRUE)</formula>
    </cfRule>
  </conditionalFormatting>
  <conditionalFormatting sqref="M182:M194">
    <cfRule type="expression" dxfId="594" priority="93">
      <formula>IF(ISBLANK(L182),FALSE,TRUE)</formula>
    </cfRule>
  </conditionalFormatting>
  <conditionalFormatting sqref="I182:I194">
    <cfRule type="expression" dxfId="593" priority="92">
      <formula>IF(ISBLANK(H182),FALSE,TRUE)</formula>
    </cfRule>
  </conditionalFormatting>
  <conditionalFormatting sqref="M302:M314">
    <cfRule type="expression" dxfId="592" priority="91">
      <formula>IF(ISBLANK(L302),FALSE,TRUE)</formula>
    </cfRule>
  </conditionalFormatting>
  <conditionalFormatting sqref="M197:M209">
    <cfRule type="expression" dxfId="591" priority="90">
      <formula>IF(ISBLANK(L197),FALSE,TRUE)</formula>
    </cfRule>
  </conditionalFormatting>
  <conditionalFormatting sqref="I197:I209">
    <cfRule type="expression" dxfId="590" priority="89">
      <formula>IF(ISBLANK(H197),FALSE,TRUE)</formula>
    </cfRule>
  </conditionalFormatting>
  <conditionalFormatting sqref="I302:I314">
    <cfRule type="expression" dxfId="589" priority="88">
      <formula>IF(ISBLANK(H302),FALSE,TRUE)</formula>
    </cfRule>
  </conditionalFormatting>
  <conditionalFormatting sqref="M212:M224">
    <cfRule type="expression" dxfId="588" priority="87">
      <formula>IF(ISBLANK(L212),FALSE,TRUE)</formula>
    </cfRule>
  </conditionalFormatting>
  <conditionalFormatting sqref="I212:I224">
    <cfRule type="expression" dxfId="587" priority="86">
      <formula>IF(ISBLANK(H212),FALSE,TRUE)</formula>
    </cfRule>
  </conditionalFormatting>
  <conditionalFormatting sqref="M317:M329">
    <cfRule type="expression" dxfId="586" priority="85">
      <formula>IF(ISBLANK(L317),FALSE,TRUE)</formula>
    </cfRule>
  </conditionalFormatting>
  <conditionalFormatting sqref="M227:M239">
    <cfRule type="expression" dxfId="585" priority="84">
      <formula>IF(ISBLANK(L227),FALSE,TRUE)</formula>
    </cfRule>
  </conditionalFormatting>
  <conditionalFormatting sqref="I317:I329">
    <cfRule type="expression" dxfId="584" priority="83">
      <formula>IF(ISBLANK(H317),FALSE,TRUE)</formula>
    </cfRule>
  </conditionalFormatting>
  <conditionalFormatting sqref="M333:M345">
    <cfRule type="expression" dxfId="583" priority="82">
      <formula>IF(ISBLANK(L333),FALSE,TRUE)</formula>
    </cfRule>
  </conditionalFormatting>
  <conditionalFormatting sqref="I333:I345">
    <cfRule type="expression" dxfId="582" priority="81">
      <formula>IF(ISBLANK(H333),FALSE,TRUE)</formula>
    </cfRule>
  </conditionalFormatting>
  <conditionalFormatting sqref="M105">
    <cfRule type="expression" dxfId="581" priority="80">
      <formula>IF(ISBLANK(L105),FALSE,TRUE)</formula>
    </cfRule>
  </conditionalFormatting>
  <conditionalFormatting sqref="I105">
    <cfRule type="expression" dxfId="580" priority="79">
      <formula>IF(ISBLANK(H105),FALSE,TRUE)</formula>
    </cfRule>
  </conditionalFormatting>
  <conditionalFormatting sqref="M120">
    <cfRule type="expression" dxfId="579" priority="78">
      <formula>IF(ISBLANK(L120),FALSE,TRUE)</formula>
    </cfRule>
  </conditionalFormatting>
  <conditionalFormatting sqref="I120">
    <cfRule type="expression" dxfId="578" priority="77">
      <formula>IF(ISBLANK(H120),FALSE,TRUE)</formula>
    </cfRule>
  </conditionalFormatting>
  <conditionalFormatting sqref="M135">
    <cfRule type="expression" dxfId="577" priority="76">
      <formula>IF(ISBLANK(L135),FALSE,TRUE)</formula>
    </cfRule>
  </conditionalFormatting>
  <conditionalFormatting sqref="I135">
    <cfRule type="expression" dxfId="576" priority="75">
      <formula>IF(ISBLANK(H135),FALSE,TRUE)</formula>
    </cfRule>
  </conditionalFormatting>
  <conditionalFormatting sqref="M150">
    <cfRule type="expression" dxfId="575" priority="74">
      <formula>IF(ISBLANK(L150),FALSE,TRUE)</formula>
    </cfRule>
  </conditionalFormatting>
  <conditionalFormatting sqref="I150">
    <cfRule type="expression" dxfId="574" priority="73">
      <formula>IF(ISBLANK(H150),FALSE,TRUE)</formula>
    </cfRule>
  </conditionalFormatting>
  <conditionalFormatting sqref="M165">
    <cfRule type="expression" dxfId="573" priority="72">
      <formula>IF(ISBLANK(L165),FALSE,TRUE)</formula>
    </cfRule>
  </conditionalFormatting>
  <conditionalFormatting sqref="I165">
    <cfRule type="expression" dxfId="572" priority="71">
      <formula>IF(ISBLANK(H165),FALSE,TRUE)</formula>
    </cfRule>
  </conditionalFormatting>
  <conditionalFormatting sqref="M180">
    <cfRule type="expression" dxfId="571" priority="70">
      <formula>IF(ISBLANK(L180),FALSE,TRUE)</formula>
    </cfRule>
  </conditionalFormatting>
  <conditionalFormatting sqref="I180">
    <cfRule type="expression" dxfId="570" priority="69">
      <formula>IF(ISBLANK(H180),FALSE,TRUE)</formula>
    </cfRule>
  </conditionalFormatting>
  <conditionalFormatting sqref="M195">
    <cfRule type="expression" dxfId="569" priority="68">
      <formula>IF(ISBLANK(L195),FALSE,TRUE)</formula>
    </cfRule>
  </conditionalFormatting>
  <conditionalFormatting sqref="I195">
    <cfRule type="expression" dxfId="568" priority="67">
      <formula>IF(ISBLANK(H195),FALSE,TRUE)</formula>
    </cfRule>
  </conditionalFormatting>
  <conditionalFormatting sqref="M210">
    <cfRule type="expression" dxfId="567" priority="66">
      <formula>IF(ISBLANK(L210),FALSE,TRUE)</formula>
    </cfRule>
  </conditionalFormatting>
  <conditionalFormatting sqref="I210">
    <cfRule type="expression" dxfId="566" priority="65">
      <formula>IF(ISBLANK(H210),FALSE,TRUE)</formula>
    </cfRule>
  </conditionalFormatting>
  <conditionalFormatting sqref="M225">
    <cfRule type="expression" dxfId="565" priority="64">
      <formula>IF(ISBLANK(L225),FALSE,TRUE)</formula>
    </cfRule>
  </conditionalFormatting>
  <conditionalFormatting sqref="I225">
    <cfRule type="expression" dxfId="564" priority="63">
      <formula>IF(ISBLANK(H225),FALSE,TRUE)</formula>
    </cfRule>
  </conditionalFormatting>
  <conditionalFormatting sqref="M240">
    <cfRule type="expression" dxfId="563" priority="62">
      <formula>IF(ISBLANK(L240),FALSE,TRUE)</formula>
    </cfRule>
  </conditionalFormatting>
  <conditionalFormatting sqref="I240">
    <cfRule type="expression" dxfId="562" priority="61">
      <formula>IF(ISBLANK(H240),FALSE,TRUE)</formula>
    </cfRule>
  </conditionalFormatting>
  <conditionalFormatting sqref="M255">
    <cfRule type="expression" dxfId="561" priority="60">
      <formula>IF(ISBLANK(L255),FALSE,TRUE)</formula>
    </cfRule>
  </conditionalFormatting>
  <conditionalFormatting sqref="I255">
    <cfRule type="expression" dxfId="560" priority="59">
      <formula>IF(ISBLANK(H255),FALSE,TRUE)</formula>
    </cfRule>
  </conditionalFormatting>
  <conditionalFormatting sqref="M270">
    <cfRule type="expression" dxfId="559" priority="58">
      <formula>IF(ISBLANK(L270),FALSE,TRUE)</formula>
    </cfRule>
  </conditionalFormatting>
  <conditionalFormatting sqref="I270">
    <cfRule type="expression" dxfId="558" priority="57">
      <formula>IF(ISBLANK(H270),FALSE,TRUE)</formula>
    </cfRule>
  </conditionalFormatting>
  <conditionalFormatting sqref="M285">
    <cfRule type="expression" dxfId="557" priority="56">
      <formula>IF(ISBLANK(L285),FALSE,TRUE)</formula>
    </cfRule>
  </conditionalFormatting>
  <conditionalFormatting sqref="I285">
    <cfRule type="expression" dxfId="556" priority="55">
      <formula>IF(ISBLANK(H285),FALSE,TRUE)</formula>
    </cfRule>
  </conditionalFormatting>
  <conditionalFormatting sqref="M300">
    <cfRule type="expression" dxfId="555" priority="54">
      <formula>IF(ISBLANK(L300),FALSE,TRUE)</formula>
    </cfRule>
  </conditionalFormatting>
  <conditionalFormatting sqref="I300">
    <cfRule type="expression" dxfId="554" priority="53">
      <formula>IF(ISBLANK(H300),FALSE,TRUE)</formula>
    </cfRule>
  </conditionalFormatting>
  <conditionalFormatting sqref="M315">
    <cfRule type="expression" dxfId="553" priority="52">
      <formula>IF(ISBLANK(L315),FALSE,TRUE)</formula>
    </cfRule>
  </conditionalFormatting>
  <conditionalFormatting sqref="I315">
    <cfRule type="expression" dxfId="552" priority="51">
      <formula>IF(ISBLANK(H315),FALSE,TRUE)</formula>
    </cfRule>
  </conditionalFormatting>
  <conditionalFormatting sqref="M330">
    <cfRule type="expression" dxfId="551" priority="50">
      <formula>IF(ISBLANK(L330),FALSE,TRUE)</formula>
    </cfRule>
  </conditionalFormatting>
  <conditionalFormatting sqref="I330">
    <cfRule type="expression" dxfId="550" priority="49">
      <formula>IF(ISBLANK(H330),FALSE,TRUE)</formula>
    </cfRule>
  </conditionalFormatting>
  <conditionalFormatting sqref="I413">
    <cfRule type="expression" dxfId="549" priority="48">
      <formula>IF(ISBLANK(H413),FALSE,TRUE)</formula>
    </cfRule>
  </conditionalFormatting>
  <conditionalFormatting sqref="M346">
    <cfRule type="expression" dxfId="548" priority="47">
      <formula>IF(ISBLANK(L346),FALSE,TRUE)</formula>
    </cfRule>
  </conditionalFormatting>
  <conditionalFormatting sqref="I346">
    <cfRule type="expression" dxfId="547" priority="46">
      <formula>IF(ISBLANK(H346),FALSE,TRUE)</formula>
    </cfRule>
  </conditionalFormatting>
  <conditionalFormatting sqref="M413">
    <cfRule type="expression" dxfId="546" priority="45">
      <formula>IF(ISBLANK(L413),FALSE,TRUE)</formula>
    </cfRule>
  </conditionalFormatting>
  <conditionalFormatting sqref="M376:M387 I376:I387">
    <cfRule type="expression" dxfId="545" priority="44">
      <formula>IF(ISBLANK(H376),FALSE,TRUE)</formula>
    </cfRule>
  </conditionalFormatting>
  <conditionalFormatting sqref="M407">
    <cfRule type="expression" dxfId="544" priority="43">
      <formula>IF(ISBLANK(L407),FALSE,TRUE)</formula>
    </cfRule>
  </conditionalFormatting>
  <conditionalFormatting sqref="I407">
    <cfRule type="expression" dxfId="543" priority="42">
      <formula>IF(ISBLANK(H407),FALSE,TRUE)</formula>
    </cfRule>
  </conditionalFormatting>
  <conditionalFormatting sqref="G52:G57">
    <cfRule type="expression" dxfId="542" priority="41">
      <formula>H52&lt;&gt;""</formula>
    </cfRule>
  </conditionalFormatting>
  <conditionalFormatting sqref="G45:G51">
    <cfRule type="expression" dxfId="541" priority="36">
      <formula>H45&lt;&gt;""</formula>
    </cfRule>
  </conditionalFormatting>
  <conditionalFormatting sqref="G82:G87 G107:G119 G132:G134 G146:G149 G152:G164 G176:G179 G187:G194 G197:G209 G212:G224 G227:G239 G250:G254 G257:G269 G281:G284 G287:G299 G302:G314 G317:G329 G333:G345 G348:G360 G103:G104">
    <cfRule type="expression" dxfId="540" priority="39">
      <formula>H82&lt;&gt;""</formula>
    </cfRule>
  </conditionalFormatting>
  <conditionalFormatting sqref="K52:K57 K71:K72 K82:K87 K107:K119 K132:K134 K146:K149 K152:K164 K176:K179 K187:K194 K197:K209 K212:K224 K227:K239 K250:K254 K257:K269 K281:K284 K287:K299 K302:K314 K317:K329 K333:K345 K103:K104">
    <cfRule type="expression" dxfId="539" priority="38">
      <formula>L52&lt;&gt;""</formula>
    </cfRule>
  </conditionalFormatting>
  <conditionalFormatting sqref="M414">
    <cfRule type="expression" dxfId="538" priority="37">
      <formula>IF(ISBLANK(L414),FALSE,TRUE)</formula>
    </cfRule>
  </conditionalFormatting>
  <conditionalFormatting sqref="K122:K131">
    <cfRule type="expression" dxfId="537" priority="11">
      <formula>L122&lt;&gt;""</formula>
    </cfRule>
  </conditionalFormatting>
  <conditionalFormatting sqref="K45:K51">
    <cfRule type="expression" dxfId="536" priority="35">
      <formula>L45&lt;&gt;""</formula>
    </cfRule>
  </conditionalFormatting>
  <conditionalFormatting sqref="G60:G70">
    <cfRule type="expression" dxfId="535" priority="34">
      <formula>H60&lt;&gt;""</formula>
    </cfRule>
  </conditionalFormatting>
  <conditionalFormatting sqref="K60:K70">
    <cfRule type="expression" dxfId="534" priority="33">
      <formula>L60&lt;&gt;""</formula>
    </cfRule>
  </conditionalFormatting>
  <conditionalFormatting sqref="G75:G81">
    <cfRule type="expression" dxfId="533" priority="32">
      <formula>H75&lt;&gt;""</formula>
    </cfRule>
  </conditionalFormatting>
  <conditionalFormatting sqref="K75:K81">
    <cfRule type="expression" dxfId="532" priority="31">
      <formula>L75&lt;&gt;""</formula>
    </cfRule>
  </conditionalFormatting>
  <conditionalFormatting sqref="M101:M102">
    <cfRule type="expression" dxfId="531" priority="30">
      <formula>IF(ISBLANK(L101),FALSE,TRUE)</formula>
    </cfRule>
  </conditionalFormatting>
  <conditionalFormatting sqref="I101:I102">
    <cfRule type="expression" dxfId="530" priority="29">
      <formula>IF(ISBLANK(H101),FALSE,TRUE)</formula>
    </cfRule>
  </conditionalFormatting>
  <conditionalFormatting sqref="G182:G186">
    <cfRule type="expression" dxfId="529" priority="6">
      <formula>H182&lt;&gt;""</formula>
    </cfRule>
  </conditionalFormatting>
  <conditionalFormatting sqref="K182:K186">
    <cfRule type="expression" dxfId="528" priority="5">
      <formula>L182&lt;&gt;""</formula>
    </cfRule>
  </conditionalFormatting>
  <conditionalFormatting sqref="M101:M102">
    <cfRule type="expression" dxfId="527" priority="26">
      <formula>IF(ISBLANK(L101),FALSE,TRUE)</formula>
    </cfRule>
  </conditionalFormatting>
  <conditionalFormatting sqref="I101:I102">
    <cfRule type="expression" dxfId="526" priority="25">
      <formula>IF(ISBLANK(H101),FALSE,TRUE)</formula>
    </cfRule>
  </conditionalFormatting>
  <conditionalFormatting sqref="G272:G280">
    <cfRule type="expression" dxfId="525" priority="2">
      <formula>H272&lt;&gt;""</formula>
    </cfRule>
  </conditionalFormatting>
  <conditionalFormatting sqref="G91:G93 G95 G98:G102">
    <cfRule type="expression" dxfId="524" priority="22">
      <formula>H91&lt;&gt;""</formula>
    </cfRule>
  </conditionalFormatting>
  <conditionalFormatting sqref="G90">
    <cfRule type="expression" dxfId="523" priority="21">
      <formula>H90&lt;&gt;""</formula>
    </cfRule>
  </conditionalFormatting>
  <conditionalFormatting sqref="G94">
    <cfRule type="expression" dxfId="522" priority="20">
      <formula>H94&lt;&gt;""</formula>
    </cfRule>
  </conditionalFormatting>
  <conditionalFormatting sqref="G96">
    <cfRule type="expression" dxfId="521" priority="19">
      <formula>H96&lt;&gt;""</formula>
    </cfRule>
  </conditionalFormatting>
  <conditionalFormatting sqref="G97">
    <cfRule type="expression" dxfId="520" priority="18">
      <formula>H97&lt;&gt;""</formula>
    </cfRule>
  </conditionalFormatting>
  <conditionalFormatting sqref="K91:K93 K95 K98:K102">
    <cfRule type="expression" dxfId="519" priority="17">
      <formula>L91&lt;&gt;""</formula>
    </cfRule>
  </conditionalFormatting>
  <conditionalFormatting sqref="K90">
    <cfRule type="expression" dxfId="518" priority="16">
      <formula>L90&lt;&gt;""</formula>
    </cfRule>
  </conditionalFormatting>
  <conditionalFormatting sqref="K94">
    <cfRule type="expression" dxfId="517" priority="15">
      <formula>L94&lt;&gt;""</formula>
    </cfRule>
  </conditionalFormatting>
  <conditionalFormatting sqref="K96">
    <cfRule type="expression" dxfId="516" priority="14">
      <formula>L96&lt;&gt;""</formula>
    </cfRule>
  </conditionalFormatting>
  <conditionalFormatting sqref="K97">
    <cfRule type="expression" dxfId="515" priority="13">
      <formula>L97&lt;&gt;""</formula>
    </cfRule>
  </conditionalFormatting>
  <conditionalFormatting sqref="G122:G131">
    <cfRule type="expression" dxfId="514" priority="12">
      <formula>H122&lt;&gt;""</formula>
    </cfRule>
  </conditionalFormatting>
  <conditionalFormatting sqref="G137:G145">
    <cfRule type="expression" dxfId="513" priority="10">
      <formula>H137&lt;&gt;""</formula>
    </cfRule>
  </conditionalFormatting>
  <conditionalFormatting sqref="K137:K145">
    <cfRule type="expression" dxfId="512" priority="9">
      <formula>L137&lt;&gt;""</formula>
    </cfRule>
  </conditionalFormatting>
  <conditionalFormatting sqref="G167:G175">
    <cfRule type="expression" dxfId="511" priority="8">
      <formula>H167&lt;&gt;""</formula>
    </cfRule>
  </conditionalFormatting>
  <conditionalFormatting sqref="K167:K175">
    <cfRule type="expression" dxfId="510" priority="7">
      <formula>L167&lt;&gt;""</formula>
    </cfRule>
  </conditionalFormatting>
  <conditionalFormatting sqref="G242:G249">
    <cfRule type="expression" dxfId="509" priority="4">
      <formula>H242&lt;&gt;""</formula>
    </cfRule>
  </conditionalFormatting>
  <conditionalFormatting sqref="K242:K249">
    <cfRule type="expression" dxfId="508" priority="3">
      <formula>L242&lt;&gt;""</formula>
    </cfRule>
  </conditionalFormatting>
  <conditionalFormatting sqref="K272:K280">
    <cfRule type="expression" dxfId="507" priority="1">
      <formula>L272&lt;&gt;""</formula>
    </cfRule>
  </conditionalFormatting>
  <hyperlinks>
    <hyperlink ref="F2" location="Neu_in_Version" display="i"/>
  </hyperlinks>
  <pageMargins left="0.70866141732283472" right="0.70866141732283472" top="0.39370078740157483" bottom="0.98425196850393704" header="0.39370078740157483" footer="0.39370078740157483"/>
  <pageSetup paperSize="9" scale="82" firstPageNumber="3" fitToHeight="0" orientation="portrait" r:id="rId1"/>
  <headerFooter scaleWithDoc="0">
    <oddFooter>&amp;L&amp;8Das Amt für Hochbauten ist eine Dienstabteilung des
Hochbaudepartements der Stadt Zürich&amp;CSeite &amp;P/&amp;N&amp;6
                                                          &amp;D/&amp;F&amp;R&amp;G</oddFooter>
  </headerFooter>
  <rowBreaks count="6" manualBreakCount="6">
    <brk id="73" max="12" man="1"/>
    <brk id="135" max="12" man="1"/>
    <brk id="195" max="12" man="1"/>
    <brk id="255" max="12" man="1"/>
    <brk id="315" max="12" man="1"/>
    <brk id="346" max="12" man="1"/>
  </rowBreaks>
  <drawing r:id="rId2"/>
  <legacyDrawing r:id="rId3"/>
  <legacyDrawingHF r:id="rId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9" tint="0.39997558519241921"/>
    <outlinePr summaryBelow="0"/>
    <pageSetUpPr fitToPage="1"/>
  </sheetPr>
  <dimension ref="A1:BV167"/>
  <sheetViews>
    <sheetView showGridLines="0" showZeros="0" zoomScaleNormal="100" zoomScaleSheetLayoutView="100" workbookViewId="0">
      <pane ySplit="8" topLeftCell="A9" activePane="bottomLeft" state="frozen"/>
      <selection activeCell="P49" sqref="P49"/>
      <selection pane="bottomLeft" activeCell="A15" sqref="A15"/>
    </sheetView>
  </sheetViews>
  <sheetFormatPr baseColWidth="10" defaultColWidth="11.375" defaultRowHeight="12.9" customHeight="1" x14ac:dyDescent="0.2"/>
  <cols>
    <col min="1" max="1" width="15.375" style="86" customWidth="1"/>
    <col min="2" max="2" width="13.75" style="86" customWidth="1"/>
    <col min="3" max="3" width="9.375" style="84" customWidth="1"/>
    <col min="4" max="5" width="6.625" style="84" customWidth="1"/>
    <col min="6" max="6" width="6.25" style="84" customWidth="1"/>
    <col min="7" max="7" width="8.625" style="84" customWidth="1"/>
    <col min="8" max="9" width="4.375" style="83" customWidth="1"/>
    <col min="10" max="10" width="10.75" style="83" customWidth="1"/>
    <col min="11" max="11" width="4.875" style="86" customWidth="1"/>
    <col min="12" max="13" width="4.25" style="86" customWidth="1"/>
    <col min="14" max="14" width="9.75" style="86" customWidth="1"/>
    <col min="15" max="15" width="4.25" style="86" customWidth="1"/>
    <col min="16" max="16" width="15.75" style="86" customWidth="1"/>
    <col min="17" max="19" width="8.75" style="270" customWidth="1"/>
    <col min="20" max="20" width="8.75" style="278" customWidth="1"/>
    <col min="21" max="33" width="8.75" style="270" customWidth="1"/>
    <col min="34" max="36" width="8.75" style="380" customWidth="1"/>
    <col min="37" max="69" width="8.75" style="381" customWidth="1"/>
    <col min="70" max="70" width="5" style="83" customWidth="1"/>
    <col min="71" max="16384" width="11.375" style="83"/>
  </cols>
  <sheetData>
    <row r="1" spans="1:74" s="268" customFormat="1" ht="56.25" customHeight="1" x14ac:dyDescent="0.2">
      <c r="A1" s="1131"/>
      <c r="B1" s="1131"/>
      <c r="C1" s="2705"/>
      <c r="D1" s="2705"/>
      <c r="E1" s="2705"/>
      <c r="F1" s="2705"/>
      <c r="G1" s="2705"/>
      <c r="H1" s="2705"/>
      <c r="I1" s="313"/>
      <c r="J1" s="313"/>
      <c r="K1" s="313"/>
      <c r="L1" s="313"/>
      <c r="M1" s="313"/>
      <c r="N1" s="313"/>
      <c r="O1" s="867"/>
      <c r="P1" s="313"/>
      <c r="Q1" s="295"/>
      <c r="R1" s="274"/>
      <c r="S1" s="437"/>
      <c r="T1" s="437"/>
      <c r="U1" s="437"/>
      <c r="V1" s="437"/>
      <c r="W1" s="437"/>
      <c r="X1" s="437"/>
      <c r="Y1" s="437"/>
      <c r="Z1" s="437"/>
      <c r="AA1" s="437"/>
      <c r="AB1" s="437"/>
      <c r="AC1" s="437"/>
      <c r="AD1" s="437"/>
      <c r="AE1" s="437"/>
      <c r="AF1" s="296"/>
      <c r="AG1" s="296"/>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c r="BQ1" s="1009"/>
    </row>
    <row r="2" spans="1:74" s="268" customFormat="1" ht="13.6" customHeight="1" x14ac:dyDescent="0.25">
      <c r="A2" s="1132" t="str">
        <f>CONCATENATE("Variantenvergleich Energiesysteme - Version ",Versionsinfo!$B$4)</f>
        <v>Variantenvergleich Energiesysteme - Version 2.2</v>
      </c>
      <c r="B2" s="1132"/>
      <c r="C2" s="314"/>
      <c r="D2" s="314"/>
      <c r="E2" s="314"/>
      <c r="F2" s="1535"/>
      <c r="G2" s="1536" t="s">
        <v>684</v>
      </c>
      <c r="H2" s="313"/>
      <c r="I2" s="313"/>
      <c r="J2" s="313"/>
      <c r="K2" s="313"/>
      <c r="L2" s="313"/>
      <c r="M2" s="313"/>
      <c r="N2" s="313"/>
      <c r="O2" s="867"/>
      <c r="P2" s="199"/>
      <c r="Q2" s="199"/>
      <c r="R2" s="199"/>
      <c r="S2" s="199"/>
      <c r="T2" s="199"/>
      <c r="U2" s="439"/>
      <c r="V2" s="440"/>
      <c r="W2" s="437"/>
      <c r="X2" s="437"/>
      <c r="Y2" s="437"/>
      <c r="Z2" s="437"/>
      <c r="AA2" s="437"/>
      <c r="AB2" s="437"/>
      <c r="AC2" s="437"/>
      <c r="AD2" s="437"/>
      <c r="AE2" s="437"/>
      <c r="AF2" s="296"/>
      <c r="AG2" s="296"/>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99"/>
      <c r="BS2" s="199"/>
      <c r="BT2" s="199"/>
      <c r="BU2" s="199"/>
      <c r="BV2" s="199"/>
    </row>
    <row r="3" spans="1:74" s="268" customFormat="1" ht="12.75" customHeight="1" x14ac:dyDescent="0.2">
      <c r="A3" s="1133" t="s">
        <v>178</v>
      </c>
      <c r="B3" s="1133"/>
      <c r="C3" s="314"/>
      <c r="D3" s="314"/>
      <c r="E3" s="314"/>
      <c r="F3" s="314"/>
      <c r="G3" s="314"/>
      <c r="H3" s="314"/>
      <c r="I3" s="314"/>
      <c r="J3" s="314"/>
      <c r="K3" s="314"/>
      <c r="L3" s="314"/>
      <c r="M3" s="314"/>
      <c r="N3" s="314"/>
      <c r="P3" s="199"/>
      <c r="Q3" s="199"/>
      <c r="R3" s="199"/>
      <c r="S3" s="199"/>
      <c r="T3" s="199"/>
      <c r="U3" s="296"/>
      <c r="V3" s="296"/>
      <c r="W3" s="296"/>
      <c r="X3" s="296"/>
      <c r="Y3" s="296"/>
      <c r="Z3" s="296"/>
      <c r="AA3" s="296"/>
      <c r="AB3" s="296"/>
      <c r="AC3" s="296"/>
      <c r="AD3" s="296"/>
      <c r="AE3" s="296"/>
      <c r="AF3" s="296"/>
      <c r="AG3" s="296"/>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99"/>
      <c r="BS3" s="199"/>
      <c r="BT3" s="199"/>
      <c r="BU3" s="199"/>
      <c r="BV3" s="199"/>
    </row>
    <row r="4" spans="1:74" s="268" customFormat="1" ht="23.95" customHeight="1" x14ac:dyDescent="0.2">
      <c r="A4" s="314"/>
      <c r="B4" s="314"/>
      <c r="C4" s="314"/>
      <c r="D4" s="314"/>
      <c r="E4" s="314"/>
      <c r="F4" s="314"/>
      <c r="G4" s="314"/>
      <c r="H4" s="314"/>
      <c r="I4" s="314"/>
      <c r="J4" s="314"/>
      <c r="K4" s="314"/>
      <c r="L4" s="314"/>
      <c r="M4" s="314"/>
      <c r="N4" s="314"/>
      <c r="P4" s="314"/>
      <c r="Q4" s="296"/>
      <c r="R4" s="275"/>
      <c r="S4" s="551"/>
      <c r="T4" s="296"/>
      <c r="U4" s="296"/>
      <c r="V4" s="296"/>
      <c r="W4" s="296"/>
      <c r="X4" s="296"/>
      <c r="Y4" s="296"/>
      <c r="Z4" s="296"/>
      <c r="AA4" s="296"/>
      <c r="AB4" s="296"/>
      <c r="AC4" s="296"/>
      <c r="AD4" s="296"/>
      <c r="AE4" s="296"/>
      <c r="AF4" s="296"/>
      <c r="AG4" s="296"/>
      <c r="AH4" s="1009"/>
      <c r="AI4" s="1009"/>
      <c r="AJ4" s="1009"/>
      <c r="AK4" s="1009"/>
      <c r="AL4" s="1009"/>
      <c r="AM4" s="1009"/>
      <c r="AN4" s="1009"/>
      <c r="AO4" s="1009"/>
      <c r="AP4" s="1009"/>
      <c r="AQ4" s="1009"/>
      <c r="AR4" s="1009"/>
      <c r="AS4" s="1009"/>
      <c r="AT4" s="1009"/>
      <c r="AU4" s="1009"/>
      <c r="AV4" s="1009"/>
      <c r="AW4" s="1009"/>
      <c r="AX4" s="1009"/>
      <c r="AY4" s="1009"/>
      <c r="AZ4" s="1009"/>
      <c r="BA4" s="1009"/>
      <c r="BB4" s="1009"/>
      <c r="BC4" s="1009"/>
      <c r="BD4" s="1009"/>
      <c r="BE4" s="1009"/>
      <c r="BF4" s="1009"/>
      <c r="BG4" s="1009"/>
      <c r="BH4" s="1009"/>
      <c r="BI4" s="1009"/>
      <c r="BJ4" s="1009"/>
      <c r="BK4" s="1009"/>
      <c r="BL4" s="1009"/>
      <c r="BM4" s="1009"/>
      <c r="BN4" s="1009"/>
      <c r="BO4" s="1009"/>
      <c r="BP4" s="1009"/>
      <c r="BQ4" s="1009"/>
    </row>
    <row r="5" spans="1:74" s="108" customFormat="1" ht="12.9" customHeight="1" x14ac:dyDescent="0.2">
      <c r="A5" s="1308">
        <f>Projektdaten!C8</f>
        <v>0</v>
      </c>
      <c r="B5" s="1308"/>
      <c r="L5" s="164"/>
      <c r="M5" s="164"/>
      <c r="N5" s="164">
        <f>Projektdaten!I8</f>
        <v>0</v>
      </c>
      <c r="P5" s="164"/>
      <c r="Q5" s="270"/>
      <c r="R5" s="276"/>
      <c r="S5" s="268"/>
      <c r="T5" s="278"/>
      <c r="U5" s="270"/>
      <c r="V5" s="270"/>
      <c r="W5" s="270"/>
      <c r="X5" s="270"/>
      <c r="Y5" s="270"/>
      <c r="Z5" s="270"/>
      <c r="AA5" s="270"/>
      <c r="AB5" s="270"/>
      <c r="AC5" s="270"/>
      <c r="AD5" s="270"/>
      <c r="AE5" s="270"/>
      <c r="AF5" s="270"/>
      <c r="AG5" s="270"/>
      <c r="AH5" s="380"/>
      <c r="AI5" s="380"/>
      <c r="AJ5" s="380"/>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row>
    <row r="6" spans="1:74" ht="5.3" customHeight="1" x14ac:dyDescent="0.2"/>
    <row r="7" spans="1:74" s="106" customFormat="1" ht="14.95" customHeight="1" x14ac:dyDescent="0.3">
      <c r="A7" s="521" t="s">
        <v>557</v>
      </c>
      <c r="B7" s="521"/>
      <c r="C7" s="343">
        <f>EV_Var3!E6</f>
        <v>0</v>
      </c>
      <c r="D7" s="343"/>
      <c r="E7" s="343"/>
      <c r="F7" s="165"/>
      <c r="G7" s="165"/>
      <c r="H7" s="1134"/>
      <c r="I7" s="1134"/>
      <c r="J7" s="1135"/>
      <c r="K7" s="1135"/>
      <c r="L7" s="1135"/>
      <c r="M7" s="1135"/>
      <c r="N7" s="1135"/>
      <c r="P7" s="315"/>
      <c r="Q7" s="297"/>
      <c r="R7" s="279"/>
      <c r="S7" s="441" t="s">
        <v>12</v>
      </c>
      <c r="T7" s="272"/>
      <c r="U7" s="442"/>
      <c r="V7" s="400"/>
      <c r="W7" s="442"/>
      <c r="X7" s="442"/>
      <c r="Y7" s="442"/>
      <c r="Z7" s="442"/>
      <c r="AA7" s="442"/>
      <c r="AB7" s="443"/>
      <c r="AC7" s="443"/>
      <c r="AD7" s="443"/>
      <c r="AE7" s="443"/>
      <c r="AF7" s="443"/>
      <c r="AG7" s="443"/>
      <c r="AH7" s="444"/>
      <c r="AI7" s="444"/>
      <c r="AJ7" s="444"/>
      <c r="AK7" s="445"/>
      <c r="AL7" s="445"/>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row>
    <row r="8" spans="1:74" s="104" customFormat="1" ht="5.95" customHeight="1" x14ac:dyDescent="0.3">
      <c r="A8" s="105"/>
      <c r="B8" s="105"/>
      <c r="H8" s="31" t="s">
        <v>12</v>
      </c>
      <c r="I8" s="31"/>
      <c r="J8" s="84"/>
      <c r="K8" s="84"/>
      <c r="L8" s="84"/>
      <c r="M8" s="84"/>
      <c r="N8" s="84"/>
      <c r="O8" s="84"/>
      <c r="P8" s="84"/>
      <c r="Q8" s="270"/>
      <c r="R8" s="280" t="s">
        <v>12</v>
      </c>
      <c r="S8" s="281" t="s">
        <v>12</v>
      </c>
      <c r="T8" s="272"/>
      <c r="U8" s="271"/>
      <c r="V8" s="271"/>
      <c r="W8" s="271"/>
      <c r="X8" s="271"/>
      <c r="Y8" s="271"/>
      <c r="Z8" s="271"/>
      <c r="AA8" s="271"/>
      <c r="AB8" s="270"/>
      <c r="AC8" s="270"/>
      <c r="AD8" s="270"/>
      <c r="AE8" s="270"/>
      <c r="AF8" s="270"/>
      <c r="AG8" s="270"/>
      <c r="AH8" s="380"/>
      <c r="AI8" s="380"/>
      <c r="AJ8" s="380"/>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row>
    <row r="9" spans="1:74" ht="17.350000000000001" customHeight="1" x14ac:dyDescent="0.25">
      <c r="A9" s="1108" t="s">
        <v>729</v>
      </c>
      <c r="B9" s="1108"/>
      <c r="I9" s="317" t="s">
        <v>757</v>
      </c>
      <c r="J9" s="318">
        <f>IF(ISBLANK(Grunddaten!$V$5),Grunddaten!$U$5,Grunddaten!$V$5)</f>
        <v>2.5000000000000001E-2</v>
      </c>
      <c r="K9" s="1124" t="s">
        <v>568</v>
      </c>
      <c r="L9" s="103"/>
      <c r="M9" s="103"/>
      <c r="N9" s="103"/>
      <c r="O9" s="103"/>
      <c r="P9" s="2540" t="s">
        <v>563</v>
      </c>
      <c r="Q9" s="2540"/>
      <c r="R9" s="2540"/>
      <c r="S9" s="2540"/>
      <c r="T9" s="272"/>
      <c r="U9" s="271"/>
      <c r="V9" s="271"/>
      <c r="W9" s="271"/>
      <c r="X9" s="271"/>
      <c r="Y9" s="271"/>
      <c r="Z9" s="271"/>
      <c r="AA9" s="271"/>
    </row>
    <row r="10" spans="1:74" ht="2.25" customHeight="1" thickBot="1" x14ac:dyDescent="0.25">
      <c r="O10" s="1110"/>
      <c r="P10" s="1123"/>
      <c r="Q10" s="1125"/>
      <c r="R10" s="1125"/>
      <c r="S10" s="1125"/>
      <c r="T10" s="272"/>
      <c r="U10" s="271"/>
      <c r="V10" s="271"/>
      <c r="W10" s="271"/>
      <c r="X10" s="271"/>
      <c r="Y10" s="271"/>
      <c r="Z10" s="271"/>
      <c r="AA10" s="271"/>
    </row>
    <row r="11" spans="1:74" s="382" customFormat="1" ht="11.25" customHeight="1" x14ac:dyDescent="0.2">
      <c r="A11" s="388" t="s">
        <v>318</v>
      </c>
      <c r="B11" s="2852" t="s">
        <v>578</v>
      </c>
      <c r="C11" s="2853"/>
      <c r="D11" s="2854"/>
      <c r="E11" s="2482" t="s">
        <v>651</v>
      </c>
      <c r="F11" s="2483"/>
      <c r="G11" s="2714" t="s">
        <v>653</v>
      </c>
      <c r="H11" s="2482" t="s">
        <v>667</v>
      </c>
      <c r="I11" s="2483"/>
      <c r="J11" s="2714" t="s">
        <v>730</v>
      </c>
      <c r="K11" s="2482" t="s">
        <v>731</v>
      </c>
      <c r="L11" s="2494"/>
      <c r="M11" s="2494"/>
      <c r="N11" s="2495"/>
      <c r="O11" s="1110"/>
      <c r="P11" s="1126" t="s">
        <v>564</v>
      </c>
      <c r="Q11" s="2521" t="s">
        <v>571</v>
      </c>
      <c r="R11" s="2521"/>
      <c r="S11" s="2521"/>
      <c r="T11" s="280"/>
      <c r="U11" s="1269" t="s">
        <v>582</v>
      </c>
      <c r="V11" s="1270"/>
      <c r="W11" s="1271"/>
      <c r="X11" s="1275" t="b">
        <f>(U11=B11)</f>
        <v>0</v>
      </c>
      <c r="Y11" s="271"/>
      <c r="Z11" s="271"/>
      <c r="AA11" s="270"/>
      <c r="AB11" s="270"/>
      <c r="AC11" s="270"/>
      <c r="AD11" s="270"/>
      <c r="AE11" s="270"/>
      <c r="AF11" s="270"/>
      <c r="AG11" s="380"/>
      <c r="AH11" s="380"/>
      <c r="AI11" s="380"/>
      <c r="AJ11" s="381"/>
      <c r="AK11" s="381"/>
    </row>
    <row r="12" spans="1:74" s="382" customFormat="1" ht="11.25" customHeight="1" x14ac:dyDescent="0.2">
      <c r="A12" s="389"/>
      <c r="B12" s="555"/>
      <c r="C12" s="555"/>
      <c r="D12" s="555"/>
      <c r="E12" s="2484"/>
      <c r="F12" s="2485"/>
      <c r="G12" s="2715"/>
      <c r="H12" s="2484"/>
      <c r="I12" s="2485"/>
      <c r="J12" s="2715"/>
      <c r="K12" s="2484"/>
      <c r="L12" s="2496"/>
      <c r="M12" s="2496"/>
      <c r="N12" s="2497"/>
      <c r="O12" s="1110"/>
      <c r="P12" s="1127"/>
      <c r="Q12" s="2521"/>
      <c r="R12" s="2521"/>
      <c r="S12" s="2521"/>
      <c r="T12" s="280"/>
      <c r="U12" s="1272" t="s">
        <v>578</v>
      </c>
      <c r="V12" s="1273"/>
      <c r="W12" s="1274"/>
      <c r="X12" s="1276" t="b">
        <f>(U12=B11)</f>
        <v>1</v>
      </c>
      <c r="Y12" s="271"/>
      <c r="Z12" s="271"/>
      <c r="AA12" s="270"/>
      <c r="AB12" s="270"/>
      <c r="AC12" s="270"/>
      <c r="AD12" s="270"/>
      <c r="AE12" s="270"/>
      <c r="AF12" s="270"/>
      <c r="AG12" s="380"/>
      <c r="AH12" s="380"/>
      <c r="AI12" s="380"/>
      <c r="AJ12" s="381"/>
      <c r="AK12" s="381"/>
    </row>
    <row r="13" spans="1:74" s="382" customFormat="1" ht="11.25" customHeight="1" x14ac:dyDescent="0.2">
      <c r="A13" s="389"/>
      <c r="B13" s="799"/>
      <c r="C13" s="92"/>
      <c r="D13" s="92"/>
      <c r="E13" s="2609" t="s">
        <v>652</v>
      </c>
      <c r="F13" s="2613"/>
      <c r="G13" s="1462" t="s">
        <v>29</v>
      </c>
      <c r="H13" s="2486" t="s">
        <v>641</v>
      </c>
      <c r="I13" s="2487"/>
      <c r="J13" s="693" t="s">
        <v>655</v>
      </c>
      <c r="K13" s="1473" t="s">
        <v>677</v>
      </c>
      <c r="L13" s="2498" t="s">
        <v>668</v>
      </c>
      <c r="M13" s="2498"/>
      <c r="N13" s="1474" t="s">
        <v>655</v>
      </c>
      <c r="O13" s="1110"/>
      <c r="P13" s="1127"/>
      <c r="Q13" s="2521"/>
      <c r="R13" s="2521"/>
      <c r="S13" s="2521"/>
      <c r="T13" s="280"/>
      <c r="U13" s="271"/>
      <c r="V13" s="271"/>
      <c r="W13" s="271"/>
      <c r="X13" s="271"/>
      <c r="Y13" s="271"/>
      <c r="Z13" s="271"/>
      <c r="AA13" s="270"/>
      <c r="AB13" s="270"/>
      <c r="AC13" s="270"/>
      <c r="AD13" s="270"/>
      <c r="AE13" s="270"/>
      <c r="AF13" s="270"/>
      <c r="AG13" s="380"/>
      <c r="AH13" s="380"/>
      <c r="AI13" s="380"/>
      <c r="AJ13" s="381"/>
      <c r="AK13" s="381"/>
    </row>
    <row r="14" spans="1:74" s="88" customFormat="1" ht="12.1" customHeight="1" x14ac:dyDescent="0.2">
      <c r="A14" s="2726" t="s">
        <v>572</v>
      </c>
      <c r="B14" s="2727"/>
      <c r="C14" s="2727"/>
      <c r="D14" s="2727"/>
      <c r="E14" s="2732">
        <f>DK_Var3!E414</f>
        <v>0</v>
      </c>
      <c r="F14" s="2733"/>
      <c r="G14" s="1471">
        <f>DK_Var3!G414</f>
        <v>0</v>
      </c>
      <c r="H14" s="2728">
        <f>DK_Var3!I414</f>
        <v>0</v>
      </c>
      <c r="I14" s="2729"/>
      <c r="J14" s="1411">
        <f>DK_Var3!J414</f>
        <v>0</v>
      </c>
      <c r="K14" s="1475">
        <f>IF(E14=0,0,N14/E14*100)</f>
        <v>0</v>
      </c>
      <c r="L14" s="2520"/>
      <c r="M14" s="2520"/>
      <c r="N14" s="1476">
        <f>DK_Var3!M414</f>
        <v>0</v>
      </c>
      <c r="O14" s="1110"/>
      <c r="P14" s="2522" t="s">
        <v>569</v>
      </c>
      <c r="Q14" s="2522"/>
      <c r="R14" s="2522"/>
      <c r="S14" s="2522"/>
      <c r="T14" s="280"/>
      <c r="U14" s="280"/>
      <c r="V14" s="280"/>
      <c r="W14" s="280"/>
      <c r="X14" s="280"/>
      <c r="Y14" s="280"/>
      <c r="Z14" s="280"/>
      <c r="AA14" s="284"/>
      <c r="AB14" s="284"/>
      <c r="AC14" s="284"/>
      <c r="AD14" s="284"/>
      <c r="AE14" s="284"/>
      <c r="AF14" s="284"/>
      <c r="AG14" s="447"/>
      <c r="AH14" s="447"/>
      <c r="AI14" s="447"/>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row>
    <row r="15" spans="1:74" s="88" customFormat="1" ht="11.25" customHeight="1" x14ac:dyDescent="0.2">
      <c r="A15" s="1803"/>
      <c r="B15" s="1804"/>
      <c r="C15" s="1805"/>
      <c r="D15" s="1805"/>
      <c r="E15" s="2734"/>
      <c r="F15" s="2735"/>
      <c r="G15" s="1468"/>
      <c r="H15" s="2730">
        <f t="shared" ref="H15:H38" si="0">IF($G15&gt;0,-PMT(($J$9),$G15,1),0)</f>
        <v>0</v>
      </c>
      <c r="I15" s="2731"/>
      <c r="J15" s="1405">
        <f t="shared" ref="J15:J38" si="1">ROUND(E15*H15,-1)</f>
        <v>0</v>
      </c>
      <c r="K15" s="1477"/>
      <c r="L15" s="2541"/>
      <c r="M15" s="2541"/>
      <c r="N15" s="1478">
        <f>IF(L15,L15,ROUND(E15/100*K15,-1))</f>
        <v>0</v>
      </c>
      <c r="O15" s="1111"/>
      <c r="P15" s="1127"/>
      <c r="Q15" s="1128"/>
      <c r="R15" s="1129"/>
      <c r="S15" s="1130"/>
      <c r="T15" s="280"/>
      <c r="U15" s="280"/>
      <c r="V15" s="280"/>
      <c r="W15" s="280"/>
      <c r="X15" s="280"/>
      <c r="Y15" s="280"/>
      <c r="Z15" s="280"/>
      <c r="AA15" s="284"/>
      <c r="AB15" s="284"/>
      <c r="AC15" s="284"/>
      <c r="AD15" s="284"/>
      <c r="AE15" s="284"/>
      <c r="AF15" s="284"/>
      <c r="AG15" s="447"/>
      <c r="AH15" s="447"/>
      <c r="AI15" s="447"/>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row>
    <row r="16" spans="1:74" s="88" customFormat="1" ht="11.25" customHeight="1" x14ac:dyDescent="0.2">
      <c r="A16" s="1803"/>
      <c r="B16" s="1806"/>
      <c r="C16" s="1807"/>
      <c r="D16" s="1807"/>
      <c r="E16" s="2561"/>
      <c r="F16" s="2562"/>
      <c r="G16" s="1469"/>
      <c r="H16" s="2712">
        <f t="shared" si="0"/>
        <v>0</v>
      </c>
      <c r="I16" s="2713"/>
      <c r="J16" s="1405">
        <f t="shared" si="1"/>
        <v>0</v>
      </c>
      <c r="K16" s="1479"/>
      <c r="L16" s="2534"/>
      <c r="M16" s="2535"/>
      <c r="N16" s="1478">
        <f t="shared" ref="N16:N38" si="2">IF(L16,L16,ROUND(E16/100*K16,-1))</f>
        <v>0</v>
      </c>
      <c r="O16" s="1111"/>
      <c r="P16" s="1126"/>
      <c r="Q16" s="1128"/>
      <c r="R16" s="1129"/>
      <c r="S16" s="1130"/>
      <c r="T16" s="280"/>
      <c r="U16" s="280"/>
      <c r="V16" s="280"/>
      <c r="W16" s="280"/>
      <c r="X16" s="280"/>
      <c r="Y16" s="280"/>
      <c r="Z16" s="280"/>
      <c r="AA16" s="284"/>
      <c r="AB16" s="284"/>
      <c r="AC16" s="284"/>
      <c r="AD16" s="284"/>
      <c r="AE16" s="284"/>
      <c r="AF16" s="284"/>
      <c r="AG16" s="447"/>
      <c r="AH16" s="447"/>
      <c r="AI16" s="447"/>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row>
    <row r="17" spans="1:68" s="88" customFormat="1" ht="11.25" customHeight="1" x14ac:dyDescent="0.2">
      <c r="A17" s="1803"/>
      <c r="B17" s="1806"/>
      <c r="C17" s="1807"/>
      <c r="D17" s="1807"/>
      <c r="E17" s="2561"/>
      <c r="F17" s="2562"/>
      <c r="G17" s="1469"/>
      <c r="H17" s="2712">
        <f t="shared" si="0"/>
        <v>0</v>
      </c>
      <c r="I17" s="2713"/>
      <c r="J17" s="1405">
        <f t="shared" si="1"/>
        <v>0</v>
      </c>
      <c r="K17" s="1480"/>
      <c r="L17" s="2534"/>
      <c r="M17" s="2535"/>
      <c r="N17" s="1478">
        <f t="shared" si="2"/>
        <v>0</v>
      </c>
      <c r="O17" s="1111"/>
      <c r="P17" s="1127"/>
      <c r="Q17" s="1128"/>
      <c r="R17" s="1129"/>
      <c r="S17" s="1130"/>
      <c r="T17" s="280"/>
      <c r="U17" s="280"/>
      <c r="V17" s="280"/>
      <c r="W17" s="280"/>
      <c r="X17" s="280"/>
      <c r="Y17" s="280"/>
      <c r="Z17" s="280"/>
      <c r="AA17" s="284"/>
      <c r="AB17" s="284"/>
      <c r="AC17" s="284"/>
      <c r="AD17" s="284"/>
      <c r="AE17" s="284"/>
      <c r="AF17" s="284"/>
      <c r="AG17" s="447"/>
      <c r="AH17" s="447"/>
      <c r="AI17" s="447"/>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row>
    <row r="18" spans="1:68" s="88" customFormat="1" ht="11.25" customHeight="1" x14ac:dyDescent="0.2">
      <c r="A18" s="1803"/>
      <c r="B18" s="1806"/>
      <c r="C18" s="1807"/>
      <c r="D18" s="1807"/>
      <c r="E18" s="2561"/>
      <c r="F18" s="2562"/>
      <c r="G18" s="1469"/>
      <c r="H18" s="2712">
        <f t="shared" si="0"/>
        <v>0</v>
      </c>
      <c r="I18" s="2713"/>
      <c r="J18" s="1405">
        <f t="shared" si="1"/>
        <v>0</v>
      </c>
      <c r="K18" s="1480"/>
      <c r="L18" s="2534"/>
      <c r="M18" s="2535"/>
      <c r="N18" s="1478">
        <f t="shared" si="2"/>
        <v>0</v>
      </c>
      <c r="O18" s="1111"/>
      <c r="P18" s="1127"/>
      <c r="Q18" s="1128"/>
      <c r="R18" s="1129"/>
      <c r="S18" s="1130"/>
      <c r="T18" s="280"/>
      <c r="U18" s="280"/>
      <c r="V18" s="280"/>
      <c r="W18" s="280"/>
      <c r="X18" s="280"/>
      <c r="Y18" s="280"/>
      <c r="Z18" s="280"/>
      <c r="AA18" s="284"/>
      <c r="AB18" s="284"/>
      <c r="AC18" s="284"/>
      <c r="AD18" s="284"/>
      <c r="AE18" s="284"/>
      <c r="AF18" s="284"/>
      <c r="AG18" s="447"/>
      <c r="AH18" s="447"/>
      <c r="AI18" s="447"/>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row>
    <row r="19" spans="1:68" s="88" customFormat="1" ht="11.25" customHeight="1" x14ac:dyDescent="0.2">
      <c r="A19" s="1803"/>
      <c r="B19" s="1806"/>
      <c r="C19" s="1807"/>
      <c r="D19" s="1807"/>
      <c r="E19" s="2561"/>
      <c r="F19" s="2562"/>
      <c r="G19" s="1469"/>
      <c r="H19" s="2712">
        <f t="shared" si="0"/>
        <v>0</v>
      </c>
      <c r="I19" s="2713"/>
      <c r="J19" s="1405">
        <f t="shared" si="1"/>
        <v>0</v>
      </c>
      <c r="K19" s="1480"/>
      <c r="L19" s="2534"/>
      <c r="M19" s="2535"/>
      <c r="N19" s="1478">
        <f t="shared" si="2"/>
        <v>0</v>
      </c>
      <c r="O19" s="1111"/>
      <c r="P19" s="1127"/>
      <c r="Q19" s="1128"/>
      <c r="R19" s="1129"/>
      <c r="S19" s="1130"/>
      <c r="T19" s="280"/>
      <c r="U19" s="280"/>
      <c r="V19" s="280"/>
      <c r="W19" s="280"/>
      <c r="X19" s="280"/>
      <c r="Y19" s="280"/>
      <c r="Z19" s="280"/>
      <c r="AA19" s="284"/>
      <c r="AB19" s="284"/>
      <c r="AC19" s="284"/>
      <c r="AD19" s="284"/>
      <c r="AE19" s="284"/>
      <c r="AF19" s="284"/>
      <c r="AG19" s="447"/>
      <c r="AH19" s="447"/>
      <c r="AI19" s="447"/>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row>
    <row r="20" spans="1:68" s="88" customFormat="1" ht="11.25" customHeight="1" x14ac:dyDescent="0.2">
      <c r="A20" s="1803"/>
      <c r="B20" s="1806"/>
      <c r="C20" s="1806"/>
      <c r="D20" s="1807"/>
      <c r="E20" s="2561"/>
      <c r="F20" s="2562"/>
      <c r="G20" s="1469"/>
      <c r="H20" s="2712">
        <f t="shared" si="0"/>
        <v>0</v>
      </c>
      <c r="I20" s="2713"/>
      <c r="J20" s="1405">
        <f t="shared" si="1"/>
        <v>0</v>
      </c>
      <c r="K20" s="1480"/>
      <c r="L20" s="2534"/>
      <c r="M20" s="2535"/>
      <c r="N20" s="1478">
        <f t="shared" si="2"/>
        <v>0</v>
      </c>
      <c r="O20" s="1111"/>
      <c r="P20" s="1127"/>
      <c r="Q20" s="1128"/>
      <c r="R20" s="1129"/>
      <c r="S20" s="1130"/>
      <c r="T20" s="280"/>
      <c r="U20" s="280"/>
      <c r="V20" s="280"/>
      <c r="W20" s="280"/>
      <c r="X20" s="280"/>
      <c r="Y20" s="280"/>
      <c r="Z20" s="280"/>
      <c r="AA20" s="284"/>
      <c r="AB20" s="284"/>
      <c r="AC20" s="284"/>
      <c r="AD20" s="284"/>
      <c r="AE20" s="284"/>
      <c r="AF20" s="284"/>
      <c r="AG20" s="447"/>
      <c r="AH20" s="447"/>
      <c r="AI20" s="447"/>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row>
    <row r="21" spans="1:68" s="88" customFormat="1" ht="11.25" customHeight="1" x14ac:dyDescent="0.2">
      <c r="A21" s="1803"/>
      <c r="B21" s="1806"/>
      <c r="C21" s="1807"/>
      <c r="D21" s="1807"/>
      <c r="E21" s="2561"/>
      <c r="F21" s="2562"/>
      <c r="G21" s="1469"/>
      <c r="H21" s="2712">
        <f t="shared" si="0"/>
        <v>0</v>
      </c>
      <c r="I21" s="2713"/>
      <c r="J21" s="1405">
        <f t="shared" si="1"/>
        <v>0</v>
      </c>
      <c r="K21" s="1480"/>
      <c r="L21" s="2534"/>
      <c r="M21" s="2535"/>
      <c r="N21" s="1478">
        <f t="shared" si="2"/>
        <v>0</v>
      </c>
      <c r="O21" s="1111"/>
      <c r="P21" s="1127"/>
      <c r="Q21" s="1128"/>
      <c r="R21" s="1129"/>
      <c r="S21" s="1130"/>
      <c r="T21" s="280"/>
      <c r="U21" s="280"/>
      <c r="V21" s="280"/>
      <c r="W21" s="280"/>
      <c r="X21" s="280"/>
      <c r="Y21" s="280"/>
      <c r="Z21" s="280"/>
      <c r="AA21" s="284"/>
      <c r="AB21" s="284"/>
      <c r="AC21" s="284"/>
      <c r="AD21" s="284"/>
      <c r="AE21" s="284"/>
      <c r="AF21" s="284"/>
      <c r="AG21" s="447"/>
      <c r="AH21" s="447"/>
      <c r="AI21" s="447"/>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row>
    <row r="22" spans="1:68" s="88" customFormat="1" ht="11.25" customHeight="1" x14ac:dyDescent="0.2">
      <c r="A22" s="1803"/>
      <c r="B22" s="1806"/>
      <c r="C22" s="1807"/>
      <c r="D22" s="1807"/>
      <c r="E22" s="2561"/>
      <c r="F22" s="2562"/>
      <c r="G22" s="1469"/>
      <c r="H22" s="2712">
        <f t="shared" si="0"/>
        <v>0</v>
      </c>
      <c r="I22" s="2713"/>
      <c r="J22" s="1405">
        <f t="shared" si="1"/>
        <v>0</v>
      </c>
      <c r="K22" s="1480"/>
      <c r="L22" s="2534"/>
      <c r="M22" s="2535"/>
      <c r="N22" s="1478">
        <f t="shared" si="2"/>
        <v>0</v>
      </c>
      <c r="O22" s="1111"/>
      <c r="P22" s="1127"/>
      <c r="Q22" s="1128"/>
      <c r="R22" s="1129"/>
      <c r="S22" s="1130"/>
      <c r="T22" s="280"/>
      <c r="U22" s="280"/>
      <c r="V22" s="280"/>
      <c r="W22" s="280"/>
      <c r="X22" s="280"/>
      <c r="Y22" s="280"/>
      <c r="Z22" s="280"/>
      <c r="AA22" s="284"/>
      <c r="AB22" s="284"/>
      <c r="AC22" s="284"/>
      <c r="AD22" s="284"/>
      <c r="AE22" s="284"/>
      <c r="AF22" s="284"/>
      <c r="AG22" s="447"/>
      <c r="AH22" s="447"/>
      <c r="AI22" s="447"/>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c r="BP22" s="382"/>
    </row>
    <row r="23" spans="1:68" s="88" customFormat="1" ht="11.25" customHeight="1" x14ac:dyDescent="0.2">
      <c r="A23" s="1808"/>
      <c r="B23" s="1809"/>
      <c r="C23" s="1809"/>
      <c r="D23" s="1809"/>
      <c r="E23" s="2561"/>
      <c r="F23" s="2562"/>
      <c r="G23" s="1469"/>
      <c r="H23" s="2712">
        <f t="shared" si="0"/>
        <v>0</v>
      </c>
      <c r="I23" s="2713"/>
      <c r="J23" s="1405">
        <f t="shared" si="1"/>
        <v>0</v>
      </c>
      <c r="K23" s="1480"/>
      <c r="L23" s="2534"/>
      <c r="M23" s="2535"/>
      <c r="N23" s="1478">
        <f t="shared" si="2"/>
        <v>0</v>
      </c>
      <c r="O23" s="1111"/>
      <c r="P23" s="1127"/>
      <c r="Q23" s="1128"/>
      <c r="R23" s="1129"/>
      <c r="S23" s="1130"/>
      <c r="T23" s="280"/>
      <c r="U23" s="280"/>
      <c r="V23" s="280"/>
      <c r="W23" s="280"/>
      <c r="X23" s="280"/>
      <c r="Y23" s="280"/>
      <c r="Z23" s="280"/>
      <c r="AA23" s="284"/>
      <c r="AB23" s="284"/>
      <c r="AC23" s="284"/>
      <c r="AD23" s="284"/>
      <c r="AE23" s="284"/>
      <c r="AF23" s="284"/>
      <c r="AG23" s="447"/>
      <c r="AH23" s="447"/>
      <c r="AI23" s="447"/>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row>
    <row r="24" spans="1:68" s="88" customFormat="1" ht="11.25" customHeight="1" x14ac:dyDescent="0.2">
      <c r="A24" s="1808"/>
      <c r="B24" s="1809"/>
      <c r="C24" s="1809"/>
      <c r="D24" s="1809"/>
      <c r="E24" s="2561"/>
      <c r="F24" s="2562"/>
      <c r="G24" s="1469"/>
      <c r="H24" s="2712">
        <f t="shared" si="0"/>
        <v>0</v>
      </c>
      <c r="I24" s="2713"/>
      <c r="J24" s="1405">
        <f t="shared" si="1"/>
        <v>0</v>
      </c>
      <c r="K24" s="1480"/>
      <c r="L24" s="2534"/>
      <c r="M24" s="2535"/>
      <c r="N24" s="1478">
        <f t="shared" si="2"/>
        <v>0</v>
      </c>
      <c r="O24" s="1111"/>
      <c r="P24" s="1127"/>
      <c r="Q24" s="1128"/>
      <c r="R24" s="1129"/>
      <c r="S24" s="1130"/>
      <c r="T24" s="280"/>
      <c r="U24" s="280"/>
      <c r="V24" s="280"/>
      <c r="W24" s="280"/>
      <c r="X24" s="280"/>
      <c r="Y24" s="280"/>
      <c r="Z24" s="280"/>
      <c r="AA24" s="284"/>
      <c r="AB24" s="284"/>
      <c r="AC24" s="284"/>
      <c r="AD24" s="284"/>
      <c r="AE24" s="284"/>
      <c r="AF24" s="284"/>
      <c r="AG24" s="447"/>
      <c r="AH24" s="447"/>
      <c r="AI24" s="447"/>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row>
    <row r="25" spans="1:68" s="88" customFormat="1" ht="11.25" customHeight="1" x14ac:dyDescent="0.2">
      <c r="A25" s="1808"/>
      <c r="B25" s="1809"/>
      <c r="C25" s="1809"/>
      <c r="D25" s="1809"/>
      <c r="E25" s="2561"/>
      <c r="F25" s="2562"/>
      <c r="G25" s="1469"/>
      <c r="H25" s="2712">
        <f t="shared" si="0"/>
        <v>0</v>
      </c>
      <c r="I25" s="2713"/>
      <c r="J25" s="1405">
        <f t="shared" si="1"/>
        <v>0</v>
      </c>
      <c r="K25" s="1480"/>
      <c r="L25" s="2534"/>
      <c r="M25" s="2535"/>
      <c r="N25" s="1478">
        <f t="shared" si="2"/>
        <v>0</v>
      </c>
      <c r="O25" s="1111"/>
      <c r="P25" s="1127"/>
      <c r="Q25" s="1128"/>
      <c r="R25" s="1129"/>
      <c r="S25" s="1130"/>
      <c r="T25" s="280"/>
      <c r="U25" s="280"/>
      <c r="V25" s="280"/>
      <c r="W25" s="280"/>
      <c r="X25" s="280"/>
      <c r="Y25" s="280"/>
      <c r="Z25" s="280"/>
      <c r="AA25" s="284"/>
      <c r="AB25" s="284"/>
      <c r="AC25" s="284"/>
      <c r="AD25" s="284"/>
      <c r="AE25" s="284"/>
      <c r="AF25" s="284"/>
      <c r="AG25" s="447"/>
      <c r="AH25" s="447"/>
      <c r="AI25" s="447"/>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row>
    <row r="26" spans="1:68" s="88" customFormat="1" ht="11.25" customHeight="1" x14ac:dyDescent="0.2">
      <c r="A26" s="1808"/>
      <c r="B26" s="1809"/>
      <c r="C26" s="1809"/>
      <c r="D26" s="1809"/>
      <c r="E26" s="2561"/>
      <c r="F26" s="2562"/>
      <c r="G26" s="1469"/>
      <c r="H26" s="2712">
        <f t="shared" si="0"/>
        <v>0</v>
      </c>
      <c r="I26" s="2713"/>
      <c r="J26" s="1405">
        <f t="shared" si="1"/>
        <v>0</v>
      </c>
      <c r="K26" s="1480"/>
      <c r="L26" s="2534"/>
      <c r="M26" s="2535"/>
      <c r="N26" s="1478">
        <f t="shared" si="2"/>
        <v>0</v>
      </c>
      <c r="O26" s="1111"/>
      <c r="P26" s="2523" t="s">
        <v>566</v>
      </c>
      <c r="Q26" s="2524" t="s">
        <v>567</v>
      </c>
      <c r="R26" s="2524"/>
      <c r="S26" s="2524"/>
      <c r="T26" s="280"/>
      <c r="U26" s="280"/>
      <c r="V26" s="280"/>
      <c r="W26" s="280"/>
      <c r="X26" s="280"/>
      <c r="Y26" s="280"/>
      <c r="Z26" s="280"/>
      <c r="AA26" s="284"/>
      <c r="AB26" s="284"/>
      <c r="AC26" s="284"/>
      <c r="AD26" s="284"/>
      <c r="AE26" s="284"/>
      <c r="AF26" s="284"/>
      <c r="AG26" s="447"/>
      <c r="AH26" s="447"/>
      <c r="AI26" s="447"/>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row>
    <row r="27" spans="1:68" s="88" customFormat="1" ht="11.25" customHeight="1" x14ac:dyDescent="0.2">
      <c r="A27" s="1808"/>
      <c r="B27" s="1809"/>
      <c r="C27" s="1809"/>
      <c r="D27" s="1809"/>
      <c r="E27" s="2561"/>
      <c r="F27" s="2562"/>
      <c r="G27" s="1469"/>
      <c r="H27" s="2712">
        <f t="shared" si="0"/>
        <v>0</v>
      </c>
      <c r="I27" s="2713"/>
      <c r="J27" s="1405">
        <f t="shared" si="1"/>
        <v>0</v>
      </c>
      <c r="K27" s="1480"/>
      <c r="L27" s="2534"/>
      <c r="M27" s="2535"/>
      <c r="N27" s="1478">
        <f t="shared" si="2"/>
        <v>0</v>
      </c>
      <c r="O27" s="1111"/>
      <c r="P27" s="2523"/>
      <c r="Q27" s="2524"/>
      <c r="R27" s="2524"/>
      <c r="S27" s="2524"/>
      <c r="T27" s="280"/>
      <c r="U27" s="280"/>
      <c r="V27" s="280"/>
      <c r="W27" s="280"/>
      <c r="X27" s="280"/>
      <c r="Y27" s="280"/>
      <c r="Z27" s="280"/>
      <c r="AA27" s="284"/>
      <c r="AB27" s="284"/>
      <c r="AC27" s="284"/>
      <c r="AD27" s="284"/>
      <c r="AE27" s="284"/>
      <c r="AF27" s="284"/>
      <c r="AG27" s="447"/>
      <c r="AH27" s="447"/>
      <c r="AI27" s="447"/>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row>
    <row r="28" spans="1:68" s="88" customFormat="1" ht="11.25" customHeight="1" x14ac:dyDescent="0.2">
      <c r="A28" s="1808"/>
      <c r="B28" s="1809"/>
      <c r="C28" s="1809"/>
      <c r="D28" s="1809"/>
      <c r="E28" s="2561"/>
      <c r="F28" s="2562"/>
      <c r="G28" s="1469"/>
      <c r="H28" s="2712">
        <f t="shared" si="0"/>
        <v>0</v>
      </c>
      <c r="I28" s="2713"/>
      <c r="J28" s="1405">
        <f t="shared" si="1"/>
        <v>0</v>
      </c>
      <c r="K28" s="1480"/>
      <c r="L28" s="2534"/>
      <c r="M28" s="2535"/>
      <c r="N28" s="1478">
        <f t="shared" si="2"/>
        <v>0</v>
      </c>
      <c r="O28" s="1111"/>
      <c r="P28" s="1127"/>
      <c r="Q28" s="1128"/>
      <c r="R28" s="1129"/>
      <c r="S28" s="1130"/>
      <c r="T28" s="280"/>
      <c r="U28" s="280"/>
      <c r="V28" s="280"/>
      <c r="W28" s="280"/>
      <c r="X28" s="280"/>
      <c r="Y28" s="280"/>
      <c r="Z28" s="280"/>
      <c r="AA28" s="284"/>
      <c r="AB28" s="284"/>
      <c r="AC28" s="284"/>
      <c r="AD28" s="284"/>
      <c r="AE28" s="284"/>
      <c r="AF28" s="284"/>
      <c r="AG28" s="447"/>
      <c r="AH28" s="447"/>
      <c r="AI28" s="447"/>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row>
    <row r="29" spans="1:68" s="88" customFormat="1" ht="11.25" customHeight="1" x14ac:dyDescent="0.2">
      <c r="A29" s="1808"/>
      <c r="B29" s="1809"/>
      <c r="C29" s="1809"/>
      <c r="D29" s="1809"/>
      <c r="E29" s="2561"/>
      <c r="F29" s="2562"/>
      <c r="G29" s="1469"/>
      <c r="H29" s="2712">
        <f t="shared" si="0"/>
        <v>0</v>
      </c>
      <c r="I29" s="2713"/>
      <c r="J29" s="1405">
        <f t="shared" si="1"/>
        <v>0</v>
      </c>
      <c r="K29" s="1480"/>
      <c r="L29" s="2534"/>
      <c r="M29" s="2535"/>
      <c r="N29" s="1478">
        <f t="shared" si="2"/>
        <v>0</v>
      </c>
      <c r="O29" s="1111"/>
      <c r="P29" s="1127"/>
      <c r="Q29" s="1128"/>
      <c r="R29" s="1129"/>
      <c r="S29" s="1130"/>
      <c r="T29" s="280"/>
      <c r="U29" s="280"/>
      <c r="V29" s="280"/>
      <c r="W29" s="280"/>
      <c r="X29" s="280"/>
      <c r="Y29" s="280"/>
      <c r="Z29" s="280"/>
      <c r="AA29" s="284"/>
      <c r="AB29" s="284"/>
      <c r="AC29" s="284"/>
      <c r="AD29" s="284"/>
      <c r="AE29" s="284"/>
      <c r="AF29" s="284"/>
      <c r="AG29" s="447"/>
      <c r="AH29" s="447"/>
      <c r="AI29" s="447"/>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row>
    <row r="30" spans="1:68" s="88" customFormat="1" ht="11.25" customHeight="1" x14ac:dyDescent="0.2">
      <c r="A30" s="1808"/>
      <c r="B30" s="1809"/>
      <c r="C30" s="1809"/>
      <c r="D30" s="1809"/>
      <c r="E30" s="2561"/>
      <c r="F30" s="2562"/>
      <c r="G30" s="1469"/>
      <c r="H30" s="2712">
        <f t="shared" si="0"/>
        <v>0</v>
      </c>
      <c r="I30" s="2713"/>
      <c r="J30" s="1405">
        <f t="shared" si="1"/>
        <v>0</v>
      </c>
      <c r="K30" s="1480"/>
      <c r="L30" s="2534"/>
      <c r="M30" s="2535"/>
      <c r="N30" s="1478">
        <f t="shared" si="2"/>
        <v>0</v>
      </c>
      <c r="O30" s="1111"/>
      <c r="P30" s="1127"/>
      <c r="Q30" s="1128"/>
      <c r="R30" s="1129"/>
      <c r="S30" s="1130"/>
      <c r="T30" s="280"/>
      <c r="U30" s="280"/>
      <c r="V30" s="280"/>
      <c r="W30" s="280"/>
      <c r="X30" s="280"/>
      <c r="Y30" s="280"/>
      <c r="Z30" s="280"/>
      <c r="AA30" s="284"/>
      <c r="AB30" s="284"/>
      <c r="AC30" s="284"/>
      <c r="AD30" s="284"/>
      <c r="AE30" s="284"/>
      <c r="AF30" s="284"/>
      <c r="AG30" s="447"/>
      <c r="AH30" s="447"/>
      <c r="AI30" s="447"/>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row>
    <row r="31" spans="1:68" s="88" customFormat="1" ht="11.25" customHeight="1" x14ac:dyDescent="0.2">
      <c r="A31" s="1808"/>
      <c r="B31" s="1809"/>
      <c r="C31" s="1809"/>
      <c r="D31" s="1809"/>
      <c r="E31" s="2561"/>
      <c r="F31" s="2562"/>
      <c r="G31" s="1469"/>
      <c r="H31" s="2712">
        <f t="shared" si="0"/>
        <v>0</v>
      </c>
      <c r="I31" s="2713"/>
      <c r="J31" s="1405">
        <f t="shared" si="1"/>
        <v>0</v>
      </c>
      <c r="K31" s="1480"/>
      <c r="L31" s="2534"/>
      <c r="M31" s="2535"/>
      <c r="N31" s="1478">
        <f t="shared" si="2"/>
        <v>0</v>
      </c>
      <c r="O31" s="1111"/>
      <c r="P31" s="1127"/>
      <c r="Q31" s="1128"/>
      <c r="R31" s="1129"/>
      <c r="S31" s="1130"/>
      <c r="T31" s="280"/>
      <c r="U31" s="280"/>
      <c r="V31" s="280"/>
      <c r="W31" s="280"/>
      <c r="X31" s="280"/>
      <c r="Y31" s="280"/>
      <c r="Z31" s="280"/>
      <c r="AA31" s="284"/>
      <c r="AB31" s="284"/>
      <c r="AC31" s="284"/>
      <c r="AD31" s="284"/>
      <c r="AE31" s="284"/>
      <c r="AF31" s="284"/>
      <c r="AG31" s="447"/>
      <c r="AH31" s="447"/>
      <c r="AI31" s="447"/>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row>
    <row r="32" spans="1:68" s="88" customFormat="1" ht="11.25" customHeight="1" x14ac:dyDescent="0.2">
      <c r="A32" s="1808"/>
      <c r="B32" s="1809"/>
      <c r="C32" s="1809"/>
      <c r="D32" s="1809"/>
      <c r="E32" s="2561"/>
      <c r="F32" s="2562"/>
      <c r="G32" s="1469"/>
      <c r="H32" s="2712">
        <f t="shared" si="0"/>
        <v>0</v>
      </c>
      <c r="I32" s="2713"/>
      <c r="J32" s="1405">
        <f t="shared" si="1"/>
        <v>0</v>
      </c>
      <c r="K32" s="1480"/>
      <c r="L32" s="2534"/>
      <c r="M32" s="2535"/>
      <c r="N32" s="1478">
        <f t="shared" si="2"/>
        <v>0</v>
      </c>
      <c r="O32" s="1111"/>
      <c r="P32" s="1127"/>
      <c r="Q32" s="1128"/>
      <c r="R32" s="1129"/>
      <c r="S32" s="1130"/>
      <c r="T32" s="280"/>
      <c r="U32" s="280"/>
      <c r="V32" s="280"/>
      <c r="W32" s="280"/>
      <c r="X32" s="280"/>
      <c r="Y32" s="280"/>
      <c r="Z32" s="280"/>
      <c r="AA32" s="284"/>
      <c r="AB32" s="284"/>
      <c r="AC32" s="284"/>
      <c r="AD32" s="284"/>
      <c r="AE32" s="284"/>
      <c r="AF32" s="284"/>
      <c r="AG32" s="447"/>
      <c r="AH32" s="447"/>
      <c r="AI32" s="447"/>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row>
    <row r="33" spans="1:69" s="88" customFormat="1" ht="11.25" customHeight="1" x14ac:dyDescent="0.2">
      <c r="A33" s="1808"/>
      <c r="B33" s="1809"/>
      <c r="C33" s="1809"/>
      <c r="D33" s="1809"/>
      <c r="E33" s="2561"/>
      <c r="F33" s="2562"/>
      <c r="G33" s="1469"/>
      <c r="H33" s="2712">
        <f t="shared" si="0"/>
        <v>0</v>
      </c>
      <c r="I33" s="2713"/>
      <c r="J33" s="1405">
        <f t="shared" si="1"/>
        <v>0</v>
      </c>
      <c r="K33" s="1480"/>
      <c r="L33" s="2534"/>
      <c r="M33" s="2535"/>
      <c r="N33" s="1478">
        <f t="shared" si="2"/>
        <v>0</v>
      </c>
      <c r="O33" s="1111"/>
      <c r="P33" s="1127"/>
      <c r="Q33" s="1128"/>
      <c r="R33" s="1129"/>
      <c r="S33" s="1130"/>
      <c r="T33" s="280"/>
      <c r="U33" s="280"/>
      <c r="V33" s="280"/>
      <c r="W33" s="280"/>
      <c r="X33" s="280"/>
      <c r="Y33" s="280"/>
      <c r="Z33" s="280"/>
      <c r="AA33" s="284"/>
      <c r="AB33" s="284"/>
      <c r="AC33" s="284"/>
      <c r="AD33" s="284"/>
      <c r="AE33" s="284"/>
      <c r="AF33" s="284"/>
      <c r="AG33" s="447"/>
      <c r="AH33" s="447"/>
      <c r="AI33" s="447"/>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row>
    <row r="34" spans="1:69" s="88" customFormat="1" ht="11.25" customHeight="1" x14ac:dyDescent="0.2">
      <c r="A34" s="1808"/>
      <c r="B34" s="1809"/>
      <c r="C34" s="1809"/>
      <c r="D34" s="1809"/>
      <c r="E34" s="2561"/>
      <c r="F34" s="2562"/>
      <c r="G34" s="1469"/>
      <c r="H34" s="2712">
        <f t="shared" si="0"/>
        <v>0</v>
      </c>
      <c r="I34" s="2713"/>
      <c r="J34" s="1405">
        <f t="shared" si="1"/>
        <v>0</v>
      </c>
      <c r="K34" s="1480"/>
      <c r="L34" s="2534"/>
      <c r="M34" s="2535"/>
      <c r="N34" s="1478">
        <f t="shared" si="2"/>
        <v>0</v>
      </c>
      <c r="O34" s="1111"/>
      <c r="P34" s="1127"/>
      <c r="Q34" s="1128"/>
      <c r="R34" s="1129"/>
      <c r="S34" s="1130"/>
      <c r="T34" s="280"/>
      <c r="U34" s="280"/>
      <c r="V34" s="280"/>
      <c r="W34" s="280"/>
      <c r="X34" s="280"/>
      <c r="Y34" s="280"/>
      <c r="Z34" s="280"/>
      <c r="AA34" s="284"/>
      <c r="AB34" s="284"/>
      <c r="AC34" s="284"/>
      <c r="AD34" s="284"/>
      <c r="AE34" s="284"/>
      <c r="AF34" s="284"/>
      <c r="AG34" s="447"/>
      <c r="AH34" s="447"/>
      <c r="AI34" s="447"/>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row>
    <row r="35" spans="1:69" s="88" customFormat="1" ht="11.25" customHeight="1" x14ac:dyDescent="0.2">
      <c r="A35" s="1808"/>
      <c r="B35" s="1809"/>
      <c r="C35" s="1809"/>
      <c r="D35" s="1809"/>
      <c r="E35" s="2561"/>
      <c r="F35" s="2562"/>
      <c r="G35" s="1469"/>
      <c r="H35" s="2712">
        <f t="shared" si="0"/>
        <v>0</v>
      </c>
      <c r="I35" s="2713"/>
      <c r="J35" s="1405">
        <f t="shared" si="1"/>
        <v>0</v>
      </c>
      <c r="K35" s="1480"/>
      <c r="L35" s="2534"/>
      <c r="M35" s="2535"/>
      <c r="N35" s="1478">
        <f t="shared" si="2"/>
        <v>0</v>
      </c>
      <c r="O35" s="1111"/>
      <c r="P35" s="1127"/>
      <c r="Q35" s="1128"/>
      <c r="R35" s="1129"/>
      <c r="S35" s="1130"/>
      <c r="T35" s="280"/>
      <c r="U35" s="280"/>
      <c r="V35" s="280"/>
      <c r="W35" s="280"/>
      <c r="X35" s="280"/>
      <c r="Y35" s="280"/>
      <c r="Z35" s="280"/>
      <c r="AA35" s="284"/>
      <c r="AB35" s="284"/>
      <c r="AC35" s="284"/>
      <c r="AD35" s="284"/>
      <c r="AE35" s="284"/>
      <c r="AF35" s="284"/>
      <c r="AG35" s="447"/>
      <c r="AH35" s="447"/>
      <c r="AI35" s="447"/>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row>
    <row r="36" spans="1:69" s="88" customFormat="1" ht="11.25" customHeight="1" x14ac:dyDescent="0.2">
      <c r="A36" s="1808"/>
      <c r="B36" s="1809"/>
      <c r="C36" s="1809"/>
      <c r="D36" s="1809"/>
      <c r="E36" s="2561"/>
      <c r="F36" s="2562"/>
      <c r="G36" s="1469"/>
      <c r="H36" s="2712">
        <f t="shared" si="0"/>
        <v>0</v>
      </c>
      <c r="I36" s="2713"/>
      <c r="J36" s="1405">
        <f t="shared" si="1"/>
        <v>0</v>
      </c>
      <c r="K36" s="1480"/>
      <c r="L36" s="2534"/>
      <c r="M36" s="2535"/>
      <c r="N36" s="1478">
        <f t="shared" si="2"/>
        <v>0</v>
      </c>
      <c r="O36" s="1111"/>
      <c r="P36" s="1127"/>
      <c r="Q36" s="1128"/>
      <c r="R36" s="1129"/>
      <c r="S36" s="1130"/>
      <c r="T36" s="280"/>
      <c r="U36" s="280"/>
      <c r="V36" s="280"/>
      <c r="W36" s="280"/>
      <c r="X36" s="280"/>
      <c r="Y36" s="280"/>
      <c r="Z36" s="280"/>
      <c r="AA36" s="284"/>
      <c r="AB36" s="284"/>
      <c r="AC36" s="284"/>
      <c r="AD36" s="284"/>
      <c r="AE36" s="284"/>
      <c r="AF36" s="284"/>
      <c r="AG36" s="447"/>
      <c r="AH36" s="447"/>
      <c r="AI36" s="447"/>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row>
    <row r="37" spans="1:69" s="88" customFormat="1" ht="11.25" customHeight="1" x14ac:dyDescent="0.2">
      <c r="A37" s="1808"/>
      <c r="B37" s="1809"/>
      <c r="C37" s="1809"/>
      <c r="D37" s="1809"/>
      <c r="E37" s="2561"/>
      <c r="F37" s="2562"/>
      <c r="G37" s="1469"/>
      <c r="H37" s="2712">
        <f t="shared" si="0"/>
        <v>0</v>
      </c>
      <c r="I37" s="2713"/>
      <c r="J37" s="1405">
        <f t="shared" si="1"/>
        <v>0</v>
      </c>
      <c r="K37" s="1480"/>
      <c r="L37" s="2534"/>
      <c r="M37" s="2535"/>
      <c r="N37" s="1478">
        <f t="shared" si="2"/>
        <v>0</v>
      </c>
      <c r="O37" s="1111"/>
      <c r="P37" s="1127"/>
      <c r="Q37" s="1128"/>
      <c r="R37" s="1129"/>
      <c r="S37" s="1130"/>
      <c r="T37" s="280"/>
      <c r="U37" s="280"/>
      <c r="V37" s="280"/>
      <c r="W37" s="280"/>
      <c r="X37" s="280"/>
      <c r="Y37" s="280"/>
      <c r="Z37" s="280"/>
      <c r="AA37" s="284"/>
      <c r="AB37" s="284"/>
      <c r="AC37" s="284"/>
      <c r="AD37" s="284"/>
      <c r="AE37" s="284"/>
      <c r="AF37" s="284"/>
      <c r="AG37" s="447"/>
      <c r="AH37" s="447"/>
      <c r="AI37" s="447"/>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row>
    <row r="38" spans="1:69" s="88" customFormat="1" ht="11.25" customHeight="1" x14ac:dyDescent="0.2">
      <c r="A38" s="1810"/>
      <c r="B38" s="1811"/>
      <c r="C38" s="1811"/>
      <c r="D38" s="1811"/>
      <c r="E38" s="2716"/>
      <c r="F38" s="2717"/>
      <c r="G38" s="1470"/>
      <c r="H38" s="2736">
        <f t="shared" si="0"/>
        <v>0</v>
      </c>
      <c r="I38" s="2737"/>
      <c r="J38" s="1408">
        <f t="shared" si="1"/>
        <v>0</v>
      </c>
      <c r="K38" s="1481"/>
      <c r="L38" s="2718"/>
      <c r="M38" s="2719"/>
      <c r="N38" s="1478">
        <f t="shared" si="2"/>
        <v>0</v>
      </c>
      <c r="O38" s="1111"/>
      <c r="P38" s="1127"/>
      <c r="Q38" s="1128"/>
      <c r="R38" s="1129"/>
      <c r="S38" s="1130"/>
      <c r="T38" s="280"/>
      <c r="U38" s="280"/>
      <c r="V38" s="280"/>
      <c r="W38" s="280"/>
      <c r="X38" s="280"/>
      <c r="Y38" s="280"/>
      <c r="Z38" s="280"/>
      <c r="AA38" s="284"/>
      <c r="AB38" s="284"/>
      <c r="AC38" s="284"/>
      <c r="AD38" s="284"/>
      <c r="AE38" s="284"/>
      <c r="AF38" s="284"/>
      <c r="AG38" s="447"/>
      <c r="AH38" s="447"/>
      <c r="AI38" s="447"/>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row>
    <row r="39" spans="1:69" s="88" customFormat="1" ht="14.1" customHeight="1" thickBot="1" x14ac:dyDescent="0.25">
      <c r="A39" s="391" t="s">
        <v>14</v>
      </c>
      <c r="B39" s="91"/>
      <c r="C39" s="90"/>
      <c r="D39" s="90"/>
      <c r="E39" s="2519">
        <f>IF($X$11,E14,ROUND(SUM(E15:E38),-2))</f>
        <v>0</v>
      </c>
      <c r="F39" s="2519"/>
      <c r="G39" s="1472">
        <f>IF($X$11,G14,IF($E$39&gt;0,SUMPRODUCT($E$15:$E$38,$G$15:$G$38)/$E$39,0))</f>
        <v>0</v>
      </c>
      <c r="H39" s="2492">
        <f>IF(E39=0,0,J39/E39)</f>
        <v>0</v>
      </c>
      <c r="I39" s="2493"/>
      <c r="J39" s="1407">
        <f>IF($X$11,J14,ROUND(SUM(J15:J38),0))</f>
        <v>0</v>
      </c>
      <c r="K39" s="1482">
        <f>IF(E39=0,0,N39/E39*100)</f>
        <v>0</v>
      </c>
      <c r="L39" s="2499"/>
      <c r="M39" s="2499"/>
      <c r="N39" s="1483">
        <f>IF($X$11,N14,ROUND(SUM(N15:N38),-1))</f>
        <v>0</v>
      </c>
      <c r="O39" s="268"/>
      <c r="P39" s="320"/>
      <c r="Q39" s="288"/>
      <c r="R39" s="280"/>
      <c r="S39" s="287"/>
      <c r="T39" s="289"/>
      <c r="U39" s="271"/>
      <c r="V39" s="271"/>
      <c r="W39" s="271"/>
      <c r="X39" s="271"/>
      <c r="Y39" s="271"/>
      <c r="Z39" s="271"/>
      <c r="AA39" s="270"/>
      <c r="AB39" s="270"/>
      <c r="AC39" s="270"/>
      <c r="AD39" s="270"/>
      <c r="AE39" s="270"/>
      <c r="AF39" s="270"/>
      <c r="AG39" s="380"/>
      <c r="AH39" s="380"/>
      <c r="AI39" s="380"/>
      <c r="AJ39" s="381"/>
      <c r="AK39" s="381"/>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row>
    <row r="40" spans="1:69" ht="5.95" customHeight="1" x14ac:dyDescent="0.2">
      <c r="A40" s="86" t="s">
        <v>12</v>
      </c>
      <c r="B40" s="101"/>
      <c r="C40" s="101"/>
      <c r="D40" s="101"/>
      <c r="E40" s="101"/>
      <c r="F40" s="101"/>
      <c r="G40" s="83"/>
      <c r="J40" s="86"/>
      <c r="O40" s="270"/>
      <c r="P40" s="558"/>
      <c r="Q40" s="558"/>
      <c r="R40" s="272"/>
      <c r="S40" s="271"/>
      <c r="T40" s="271"/>
      <c r="U40" s="271"/>
      <c r="V40" s="271"/>
      <c r="W40" s="271"/>
      <c r="X40" s="271"/>
      <c r="Y40" s="271"/>
      <c r="AF40" s="380"/>
      <c r="AG40" s="380"/>
      <c r="AI40" s="381"/>
      <c r="AJ40" s="381"/>
      <c r="BP40" s="83"/>
      <c r="BQ40" s="83"/>
    </row>
    <row r="41" spans="1:69" ht="17.350000000000001" customHeight="1" x14ac:dyDescent="0.25">
      <c r="A41" s="107" t="s">
        <v>102</v>
      </c>
      <c r="B41" s="84"/>
      <c r="E41" s="102"/>
      <c r="F41" s="102"/>
      <c r="G41" s="268"/>
      <c r="H41" s="268"/>
      <c r="I41" s="268"/>
      <c r="J41" s="268"/>
      <c r="K41" s="268"/>
      <c r="L41" s="101"/>
      <c r="M41" s="101"/>
      <c r="N41" s="101"/>
      <c r="O41" s="268"/>
      <c r="P41" s="268"/>
      <c r="Q41" s="557"/>
      <c r="R41" s="557"/>
      <c r="S41" s="557"/>
      <c r="T41" s="270"/>
      <c r="U41" s="271"/>
      <c r="V41" s="271"/>
      <c r="AC41" s="380"/>
      <c r="AD41" s="380"/>
      <c r="AE41" s="380"/>
      <c r="AF41" s="381"/>
      <c r="AG41" s="381"/>
      <c r="AH41" s="381"/>
      <c r="AI41" s="381"/>
      <c r="AJ41" s="381"/>
      <c r="BP41" s="83"/>
      <c r="BQ41" s="83"/>
    </row>
    <row r="42" spans="1:69" ht="2.25" customHeight="1" thickBot="1" x14ac:dyDescent="0.25">
      <c r="A42" s="94"/>
      <c r="B42" s="100"/>
      <c r="C42" s="100"/>
      <c r="D42" s="100"/>
      <c r="E42" s="100"/>
      <c r="F42" s="100"/>
      <c r="G42" s="268"/>
      <c r="H42" s="268"/>
      <c r="I42" s="268"/>
      <c r="J42" s="268"/>
      <c r="K42" s="268"/>
      <c r="O42" s="268"/>
      <c r="P42" s="268"/>
      <c r="Q42" s="558"/>
      <c r="R42" s="271"/>
      <c r="S42" s="271"/>
      <c r="T42" s="271"/>
      <c r="U42" s="271"/>
      <c r="V42" s="271"/>
      <c r="AC42" s="380"/>
      <c r="AD42" s="380"/>
      <c r="AE42" s="380"/>
      <c r="AF42" s="381"/>
      <c r="AG42" s="381"/>
      <c r="AH42" s="381"/>
      <c r="AI42" s="381"/>
      <c r="AJ42" s="381"/>
      <c r="BP42" s="83"/>
      <c r="BQ42" s="83"/>
    </row>
    <row r="43" spans="1:69" s="382" customFormat="1" ht="12.1" customHeight="1" x14ac:dyDescent="0.2">
      <c r="A43" s="388" t="s">
        <v>535</v>
      </c>
      <c r="B43" s="2720" t="s">
        <v>536</v>
      </c>
      <c r="C43" s="2721"/>
      <c r="D43" s="2722"/>
      <c r="E43" s="2517" t="s">
        <v>656</v>
      </c>
      <c r="F43" s="2518"/>
      <c r="G43" s="1053" t="s">
        <v>319</v>
      </c>
      <c r="H43" s="1054"/>
      <c r="I43" s="1054"/>
      <c r="J43" s="1054"/>
      <c r="K43" s="1054"/>
      <c r="L43" s="1054"/>
      <c r="M43" s="1054"/>
      <c r="N43" s="1055"/>
      <c r="O43" s="268"/>
      <c r="P43" s="268"/>
      <c r="Q43" s="268"/>
      <c r="R43" s="285"/>
      <c r="S43" s="285"/>
      <c r="T43" s="280"/>
      <c r="U43" s="271"/>
      <c r="V43" s="271"/>
      <c r="W43" s="271"/>
      <c r="X43" s="271"/>
      <c r="Y43" s="271"/>
      <c r="Z43" s="271"/>
      <c r="AA43" s="270"/>
      <c r="AB43" s="270"/>
      <c r="AC43" s="270"/>
      <c r="AD43" s="270"/>
      <c r="AE43" s="270"/>
      <c r="AF43" s="270"/>
      <c r="AG43" s="380"/>
      <c r="AH43" s="380"/>
      <c r="AI43" s="380"/>
      <c r="AJ43" s="381"/>
      <c r="AK43" s="381"/>
    </row>
    <row r="44" spans="1:69" s="382" customFormat="1" ht="11.25" customHeight="1" x14ac:dyDescent="0.2">
      <c r="A44" s="849" t="s">
        <v>537</v>
      </c>
      <c r="B44" s="2500"/>
      <c r="C44" s="2501"/>
      <c r="D44" s="2502"/>
      <c r="E44" s="2509"/>
      <c r="F44" s="2510"/>
      <c r="G44" s="2447"/>
      <c r="H44" s="2448"/>
      <c r="I44" s="2448"/>
      <c r="J44" s="2448"/>
      <c r="K44" s="2448"/>
      <c r="L44" s="2448"/>
      <c r="M44" s="2448"/>
      <c r="N44" s="2449"/>
      <c r="O44" s="268"/>
      <c r="P44" s="268"/>
      <c r="Q44" s="268"/>
      <c r="T44" s="280"/>
      <c r="U44" s="271"/>
      <c r="V44" s="271"/>
      <c r="W44" s="271"/>
      <c r="X44" s="271"/>
      <c r="Y44" s="271"/>
      <c r="Z44" s="271"/>
      <c r="AA44" s="270"/>
      <c r="AB44" s="270"/>
      <c r="AC44" s="270"/>
      <c r="AD44" s="270"/>
      <c r="AE44" s="270"/>
      <c r="AF44" s="270"/>
      <c r="AG44" s="380"/>
      <c r="AH44" s="380"/>
      <c r="AI44" s="380"/>
      <c r="AJ44" s="381"/>
      <c r="AK44" s="381"/>
    </row>
    <row r="45" spans="1:69" s="382" customFormat="1" ht="11.25" customHeight="1" x14ac:dyDescent="0.2">
      <c r="A45" s="850" t="s">
        <v>538</v>
      </c>
      <c r="B45" s="2503"/>
      <c r="C45" s="2504"/>
      <c r="D45" s="2505"/>
      <c r="E45" s="2511"/>
      <c r="F45" s="2512"/>
      <c r="G45" s="2450"/>
      <c r="H45" s="2451"/>
      <c r="I45" s="2451"/>
      <c r="J45" s="2451"/>
      <c r="K45" s="2451"/>
      <c r="L45" s="2451"/>
      <c r="M45" s="2451"/>
      <c r="N45" s="2452"/>
      <c r="O45" s="268"/>
      <c r="T45" s="280"/>
      <c r="U45" s="271"/>
      <c r="V45" s="271"/>
      <c r="W45" s="271"/>
      <c r="X45" s="271"/>
      <c r="Y45" s="271"/>
      <c r="Z45" s="271"/>
      <c r="AA45" s="270"/>
      <c r="AB45" s="270"/>
      <c r="AC45" s="270"/>
      <c r="AD45" s="270"/>
      <c r="AE45" s="270"/>
      <c r="AF45" s="270"/>
      <c r="AG45" s="380"/>
      <c r="AH45" s="380"/>
      <c r="AI45" s="380"/>
      <c r="AJ45" s="381"/>
      <c r="AK45" s="381"/>
    </row>
    <row r="46" spans="1:69" s="382" customFormat="1" ht="11.25" customHeight="1" x14ac:dyDescent="0.2">
      <c r="A46" s="851" t="s">
        <v>539</v>
      </c>
      <c r="B46" s="2506"/>
      <c r="C46" s="2507"/>
      <c r="D46" s="2508"/>
      <c r="E46" s="2513"/>
      <c r="F46" s="2514"/>
      <c r="G46" s="2453"/>
      <c r="H46" s="2454"/>
      <c r="I46" s="2454"/>
      <c r="J46" s="2454"/>
      <c r="K46" s="2454"/>
      <c r="L46" s="2454"/>
      <c r="M46" s="2454"/>
      <c r="N46" s="2455"/>
      <c r="O46" s="268"/>
      <c r="T46" s="280"/>
      <c r="U46" s="271"/>
      <c r="V46" s="271"/>
      <c r="W46" s="271"/>
      <c r="X46" s="271"/>
      <c r="Y46" s="271"/>
      <c r="Z46" s="271"/>
      <c r="AA46" s="270"/>
      <c r="AB46" s="270"/>
      <c r="AC46" s="270"/>
      <c r="AD46" s="270"/>
      <c r="AE46" s="270"/>
      <c r="AF46" s="270"/>
      <c r="AG46" s="380"/>
      <c r="AH46" s="380"/>
      <c r="AI46" s="380"/>
      <c r="AJ46" s="381"/>
      <c r="AK46" s="381"/>
    </row>
    <row r="47" spans="1:69" s="382" customFormat="1" ht="13.6" customHeight="1" thickBot="1" x14ac:dyDescent="0.25">
      <c r="A47" s="391" t="s">
        <v>14</v>
      </c>
      <c r="B47" s="805"/>
      <c r="C47" s="805"/>
      <c r="D47" s="805"/>
      <c r="E47" s="2515">
        <f>SUM(E44:F46)</f>
        <v>0</v>
      </c>
      <c r="F47" s="2516"/>
      <c r="G47" s="1056"/>
      <c r="H47" s="1056"/>
      <c r="I47" s="1056"/>
      <c r="J47" s="1056"/>
      <c r="K47" s="1056"/>
      <c r="L47" s="1056"/>
      <c r="M47" s="1056"/>
      <c r="N47" s="1057"/>
      <c r="O47" s="268"/>
      <c r="R47" s="285"/>
      <c r="S47" s="285"/>
      <c r="T47" s="280"/>
      <c r="U47" s="271"/>
      <c r="V47" s="271"/>
      <c r="W47" s="271"/>
      <c r="X47" s="271"/>
      <c r="Y47" s="271"/>
      <c r="Z47" s="271"/>
      <c r="AA47" s="270"/>
      <c r="AB47" s="270"/>
      <c r="AC47" s="270"/>
      <c r="AD47" s="270"/>
      <c r="AE47" s="270"/>
      <c r="AF47" s="270"/>
      <c r="AG47" s="380"/>
      <c r="AH47" s="380"/>
      <c r="AI47" s="380"/>
      <c r="AJ47" s="381"/>
      <c r="AK47" s="381"/>
    </row>
    <row r="48" spans="1:69" ht="5.95" customHeight="1" x14ac:dyDescent="0.2">
      <c r="A48" s="86" t="s">
        <v>12</v>
      </c>
      <c r="C48" s="101"/>
      <c r="D48" s="101"/>
      <c r="E48" s="101"/>
      <c r="F48" s="101"/>
      <c r="G48" s="101"/>
      <c r="P48" s="268"/>
      <c r="Q48" s="268"/>
      <c r="R48" s="558"/>
      <c r="S48" s="272"/>
      <c r="T48" s="271"/>
      <c r="U48" s="271"/>
      <c r="V48" s="271"/>
      <c r="W48" s="271"/>
      <c r="X48" s="271"/>
      <c r="Y48" s="271"/>
      <c r="Z48" s="271"/>
      <c r="AG48" s="380"/>
      <c r="AJ48" s="381"/>
      <c r="BQ48" s="83"/>
    </row>
    <row r="49" spans="1:69" ht="17.350000000000001" customHeight="1" x14ac:dyDescent="0.25">
      <c r="A49" s="1108" t="s">
        <v>732</v>
      </c>
      <c r="B49" s="107"/>
      <c r="F49" s="102"/>
      <c r="G49" s="102"/>
      <c r="H49" s="268"/>
      <c r="I49" s="268"/>
      <c r="J49" s="268"/>
      <c r="K49" s="268"/>
      <c r="L49" s="268"/>
      <c r="M49" s="101"/>
      <c r="N49" s="101"/>
      <c r="O49" s="101"/>
      <c r="P49" s="268"/>
      <c r="Q49" s="268"/>
      <c r="R49" s="268"/>
      <c r="S49" s="268"/>
      <c r="T49" s="557"/>
      <c r="V49" s="271"/>
      <c r="W49" s="271"/>
      <c r="AD49" s="380"/>
      <c r="AE49" s="380"/>
      <c r="AF49" s="380"/>
      <c r="AG49" s="381"/>
      <c r="AH49" s="381"/>
      <c r="AI49" s="381"/>
      <c r="AJ49" s="381"/>
      <c r="BQ49" s="83"/>
    </row>
    <row r="50" spans="1:69" ht="2.25" customHeight="1" thickBot="1" x14ac:dyDescent="0.25">
      <c r="A50" s="94"/>
      <c r="B50" s="94"/>
      <c r="C50" s="100"/>
      <c r="D50" s="100"/>
      <c r="E50" s="100"/>
      <c r="F50" s="100"/>
      <c r="G50" s="100"/>
      <c r="H50" s="268"/>
      <c r="I50" s="268"/>
      <c r="J50" s="268"/>
      <c r="K50" s="268"/>
      <c r="L50" s="268"/>
      <c r="P50" s="268"/>
      <c r="Q50" s="268"/>
      <c r="R50" s="268"/>
      <c r="S50" s="268"/>
      <c r="T50" s="271"/>
      <c r="U50" s="271"/>
      <c r="V50" s="271"/>
      <c r="W50" s="271"/>
      <c r="AD50" s="380"/>
      <c r="AE50" s="380"/>
      <c r="AF50" s="380"/>
      <c r="AG50" s="381"/>
      <c r="AH50" s="381"/>
      <c r="AI50" s="381"/>
      <c r="AJ50" s="381"/>
      <c r="BQ50" s="83"/>
    </row>
    <row r="51" spans="1:69" s="382" customFormat="1" ht="11.25" customHeight="1" x14ac:dyDescent="0.2">
      <c r="A51" s="388" t="s">
        <v>318</v>
      </c>
      <c r="B51" s="99"/>
      <c r="C51" s="1460"/>
      <c r="D51" s="1460"/>
      <c r="E51" s="2482" t="s">
        <v>651</v>
      </c>
      <c r="F51" s="2483"/>
      <c r="G51" s="2482" t="s">
        <v>653</v>
      </c>
      <c r="H51" s="2482" t="s">
        <v>667</v>
      </c>
      <c r="I51" s="2483"/>
      <c r="J51" s="2714" t="s">
        <v>730</v>
      </c>
      <c r="K51" s="2482" t="s">
        <v>731</v>
      </c>
      <c r="L51" s="2494"/>
      <c r="M51" s="2494"/>
      <c r="N51" s="2495"/>
      <c r="O51" s="268"/>
      <c r="P51" s="268"/>
      <c r="Q51" s="268"/>
      <c r="R51" s="268"/>
      <c r="S51" s="268"/>
      <c r="T51" s="280"/>
      <c r="U51" s="271"/>
      <c r="V51" s="271"/>
      <c r="W51" s="271"/>
      <c r="X51" s="271"/>
      <c r="Y51" s="271"/>
      <c r="Z51" s="271"/>
      <c r="AA51" s="270"/>
      <c r="AB51" s="270"/>
      <c r="AC51" s="270"/>
      <c r="AD51" s="270"/>
      <c r="AE51" s="270"/>
      <c r="AF51" s="270"/>
      <c r="AG51" s="380"/>
      <c r="AH51" s="380"/>
      <c r="AI51" s="380"/>
      <c r="AJ51" s="381"/>
      <c r="AK51" s="381"/>
    </row>
    <row r="52" spans="1:69" s="382" customFormat="1" ht="11.25" customHeight="1" x14ac:dyDescent="0.2">
      <c r="A52" s="389"/>
      <c r="B52" s="1383"/>
      <c r="C52" s="555"/>
      <c r="D52" s="555"/>
      <c r="E52" s="2484"/>
      <c r="F52" s="2485"/>
      <c r="G52" s="2484"/>
      <c r="H52" s="2484"/>
      <c r="I52" s="2485"/>
      <c r="J52" s="2715"/>
      <c r="K52" s="2484"/>
      <c r="L52" s="2496"/>
      <c r="M52" s="2496"/>
      <c r="N52" s="2497"/>
      <c r="O52" s="268"/>
      <c r="P52" s="268"/>
      <c r="Q52" s="268"/>
      <c r="R52" s="268"/>
      <c r="S52" s="268"/>
      <c r="T52" s="280"/>
      <c r="U52" s="271"/>
      <c r="V52" s="271"/>
      <c r="W52" s="271"/>
      <c r="X52" s="271"/>
      <c r="Y52" s="271"/>
      <c r="Z52" s="271"/>
      <c r="AA52" s="270"/>
      <c r="AB52" s="270"/>
      <c r="AC52" s="270"/>
      <c r="AD52" s="270"/>
      <c r="AE52" s="270"/>
      <c r="AF52" s="270"/>
      <c r="AG52" s="380"/>
      <c r="AH52" s="380"/>
      <c r="AI52" s="380"/>
      <c r="AJ52" s="381"/>
      <c r="AK52" s="381"/>
    </row>
    <row r="53" spans="1:69" s="382" customFormat="1" ht="11.25" customHeight="1" x14ac:dyDescent="0.2">
      <c r="A53" s="507"/>
      <c r="B53" s="98"/>
      <c r="C53" s="799"/>
      <c r="D53" s="799"/>
      <c r="E53" s="2528" t="s">
        <v>652</v>
      </c>
      <c r="F53" s="2711"/>
      <c r="G53" s="1462" t="s">
        <v>29</v>
      </c>
      <c r="H53" s="2486" t="s">
        <v>641</v>
      </c>
      <c r="I53" s="2487"/>
      <c r="J53" s="693" t="s">
        <v>655</v>
      </c>
      <c r="K53" s="1473" t="s">
        <v>677</v>
      </c>
      <c r="L53" s="2498" t="s">
        <v>668</v>
      </c>
      <c r="M53" s="2498"/>
      <c r="N53" s="1474" t="s">
        <v>655</v>
      </c>
      <c r="O53" s="268"/>
      <c r="P53" s="268"/>
      <c r="Q53" s="268"/>
      <c r="R53" s="268"/>
      <c r="S53" s="268"/>
      <c r="T53" s="280"/>
      <c r="U53" s="271"/>
      <c r="V53" s="271"/>
      <c r="W53" s="271"/>
      <c r="X53" s="271"/>
      <c r="Y53" s="271"/>
      <c r="Z53" s="271"/>
      <c r="AA53" s="270"/>
      <c r="AB53" s="270"/>
      <c r="AC53" s="270"/>
      <c r="AD53" s="270"/>
      <c r="AE53" s="270"/>
      <c r="AF53" s="270"/>
      <c r="AG53" s="380"/>
      <c r="AH53" s="380"/>
      <c r="AI53" s="380"/>
      <c r="AJ53" s="381"/>
      <c r="AK53" s="381"/>
    </row>
    <row r="54" spans="1:69" s="88" customFormat="1" ht="14.1" customHeight="1" thickBot="1" x14ac:dyDescent="0.25">
      <c r="A54" s="391" t="s">
        <v>14</v>
      </c>
      <c r="B54" s="91"/>
      <c r="C54" s="90"/>
      <c r="D54" s="90"/>
      <c r="E54" s="2519">
        <f>E39-E47</f>
        <v>0</v>
      </c>
      <c r="F54" s="2519"/>
      <c r="G54" s="1472">
        <f>G39</f>
        <v>0</v>
      </c>
      <c r="H54" s="2492">
        <f>H39</f>
        <v>0</v>
      </c>
      <c r="I54" s="2493"/>
      <c r="J54" s="1407">
        <f>ROUND(E54*H54,-1)</f>
        <v>0</v>
      </c>
      <c r="K54" s="1482">
        <f>IF(E54=0,0,N54/E54*100)</f>
        <v>0</v>
      </c>
      <c r="L54" s="2499"/>
      <c r="M54" s="2499"/>
      <c r="N54" s="1483">
        <f>N39</f>
        <v>0</v>
      </c>
      <c r="O54" s="268"/>
      <c r="P54" s="320"/>
      <c r="Q54" s="288"/>
      <c r="R54" s="280"/>
      <c r="S54" s="287"/>
      <c r="T54" s="289"/>
      <c r="U54" s="271"/>
      <c r="V54" s="271"/>
      <c r="W54" s="271"/>
      <c r="X54" s="271"/>
      <c r="Y54" s="271"/>
      <c r="Z54" s="271"/>
      <c r="AA54" s="270"/>
      <c r="AB54" s="270"/>
      <c r="AC54" s="270"/>
      <c r="AD54" s="270"/>
      <c r="AE54" s="270"/>
      <c r="AF54" s="270"/>
      <c r="AG54" s="380"/>
      <c r="AH54" s="380"/>
      <c r="AI54" s="380"/>
      <c r="AJ54" s="381"/>
      <c r="AK54" s="381"/>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row>
    <row r="55" spans="1:69" s="798" customFormat="1" ht="5.95" customHeight="1" x14ac:dyDescent="0.2">
      <c r="A55" s="1058"/>
      <c r="B55" s="1032"/>
      <c r="C55" s="2887"/>
      <c r="D55" s="2887"/>
      <c r="E55" s="2887"/>
      <c r="F55" s="2888"/>
      <c r="G55" s="2888"/>
      <c r="H55" s="884"/>
      <c r="I55" s="884"/>
      <c r="J55" s="884"/>
      <c r="K55" s="884"/>
      <c r="L55" s="884"/>
      <c r="M55" s="884"/>
      <c r="N55" s="884"/>
      <c r="O55" s="884"/>
      <c r="P55" s="800">
        <f>IF(ISBLANK(I55),H55,I55)</f>
        <v>0</v>
      </c>
      <c r="Q55" s="801"/>
      <c r="R55" s="286"/>
      <c r="S55" s="802"/>
      <c r="T55" s="291"/>
      <c r="U55" s="291"/>
      <c r="V55" s="291"/>
      <c r="W55" s="291"/>
      <c r="X55" s="291"/>
      <c r="Y55" s="291"/>
      <c r="Z55" s="291"/>
      <c r="AA55" s="803"/>
      <c r="AB55" s="803"/>
      <c r="AC55" s="803"/>
      <c r="AD55" s="803"/>
      <c r="AE55" s="803"/>
      <c r="AF55" s="803"/>
      <c r="AG55" s="804"/>
      <c r="AH55" s="804"/>
      <c r="AI55" s="804"/>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row>
    <row r="56" spans="1:69" ht="17.350000000000001" customHeight="1" x14ac:dyDescent="0.25">
      <c r="A56" s="107" t="s">
        <v>30</v>
      </c>
      <c r="B56" s="107"/>
      <c r="C56" s="2563" t="str">
        <f>IF(R109=1,"(inkl. externe Kosten)","(ohne externe Kosten)")</f>
        <v>(ohne externe Kosten)</v>
      </c>
      <c r="D56" s="2563"/>
      <c r="F56" s="102"/>
      <c r="G56" s="102"/>
      <c r="K56" s="101"/>
      <c r="L56" s="101"/>
      <c r="M56" s="101"/>
      <c r="N56" s="101"/>
      <c r="O56" s="101"/>
      <c r="P56" s="270"/>
      <c r="Q56" s="559"/>
      <c r="R56" s="557"/>
      <c r="S56" s="557"/>
      <c r="T56" s="557"/>
      <c r="V56" s="271"/>
      <c r="W56" s="271"/>
      <c r="AD56" s="380"/>
      <c r="AE56" s="380"/>
      <c r="AF56" s="380"/>
      <c r="AG56" s="381"/>
      <c r="AH56" s="381"/>
      <c r="AI56" s="381"/>
      <c r="AJ56" s="381"/>
      <c r="BQ56" s="83"/>
    </row>
    <row r="57" spans="1:69" ht="2.25" customHeight="1" thickBot="1" x14ac:dyDescent="0.25">
      <c r="A57" s="94"/>
      <c r="B57" s="94"/>
      <c r="C57" s="100"/>
      <c r="D57" s="100"/>
      <c r="E57" s="100"/>
      <c r="F57" s="100"/>
      <c r="G57" s="100"/>
      <c r="H57" s="94"/>
      <c r="I57" s="94"/>
      <c r="J57" s="94"/>
      <c r="K57" s="94"/>
      <c r="P57" s="272"/>
      <c r="Q57" s="558"/>
      <c r="R57" s="558"/>
      <c r="S57" s="271"/>
      <c r="T57" s="271"/>
      <c r="U57" s="271"/>
      <c r="V57" s="271"/>
      <c r="W57" s="271"/>
      <c r="AD57" s="380"/>
      <c r="AE57" s="380"/>
      <c r="AF57" s="380"/>
      <c r="AG57" s="381"/>
      <c r="AH57" s="381"/>
      <c r="AI57" s="381"/>
      <c r="AJ57" s="381"/>
      <c r="BQ57" s="83"/>
    </row>
    <row r="58" spans="1:69" s="88" customFormat="1" ht="11.25" customHeight="1" x14ac:dyDescent="0.2">
      <c r="A58" s="388" t="s">
        <v>13</v>
      </c>
      <c r="B58" s="99"/>
      <c r="C58" s="99"/>
      <c r="E58" s="2441" t="s">
        <v>631</v>
      </c>
      <c r="F58" s="2443"/>
      <c r="G58" s="2482" t="s">
        <v>31</v>
      </c>
      <c r="H58" s="2494"/>
      <c r="I58" s="2483"/>
      <c r="J58" s="2482" t="s">
        <v>297</v>
      </c>
      <c r="K58" s="2483"/>
      <c r="L58" s="2482" t="s">
        <v>658</v>
      </c>
      <c r="M58" s="2494"/>
      <c r="N58" s="2495"/>
      <c r="S58" s="436" t="s">
        <v>471</v>
      </c>
      <c r="T58" s="285"/>
      <c r="U58" s="280"/>
      <c r="V58" s="271"/>
      <c r="W58" s="271"/>
      <c r="X58" s="271"/>
      <c r="Y58" s="271"/>
      <c r="Z58" s="271"/>
      <c r="AA58" s="270"/>
      <c r="AB58" s="270"/>
      <c r="AC58" s="270"/>
      <c r="AD58" s="270"/>
      <c r="AE58" s="270"/>
      <c r="AF58" s="270"/>
      <c r="AG58" s="380"/>
      <c r="AH58" s="380"/>
      <c r="AI58" s="380"/>
      <c r="AJ58" s="381"/>
      <c r="AK58" s="381"/>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row>
    <row r="59" spans="1:69" s="88" customFormat="1" ht="11.25" customHeight="1" x14ac:dyDescent="0.2">
      <c r="A59" s="389"/>
      <c r="B59" s="1383"/>
      <c r="C59" s="1383"/>
      <c r="D59" s="1517"/>
      <c r="E59" s="2570"/>
      <c r="F59" s="2571"/>
      <c r="G59" s="2484"/>
      <c r="H59" s="2496"/>
      <c r="I59" s="2485"/>
      <c r="J59" s="2484"/>
      <c r="K59" s="2485"/>
      <c r="L59" s="2484"/>
      <c r="M59" s="2496"/>
      <c r="N59" s="2497"/>
      <c r="S59" s="431">
        <f ca="1">Grunddaten!$AT$10</f>
        <v>2016</v>
      </c>
      <c r="T59" s="421">
        <f ca="1">S59+1</f>
        <v>2017</v>
      </c>
      <c r="U59" s="421">
        <f t="shared" ref="U59:BP59" ca="1" si="3">T59+1</f>
        <v>2018</v>
      </c>
      <c r="V59" s="421">
        <f t="shared" ca="1" si="3"/>
        <v>2019</v>
      </c>
      <c r="W59" s="421">
        <f t="shared" ca="1" si="3"/>
        <v>2020</v>
      </c>
      <c r="X59" s="421">
        <f t="shared" ca="1" si="3"/>
        <v>2021</v>
      </c>
      <c r="Y59" s="421">
        <f t="shared" ca="1" si="3"/>
        <v>2022</v>
      </c>
      <c r="Z59" s="421">
        <f t="shared" ca="1" si="3"/>
        <v>2023</v>
      </c>
      <c r="AA59" s="421">
        <f t="shared" ca="1" si="3"/>
        <v>2024</v>
      </c>
      <c r="AB59" s="421">
        <f t="shared" ca="1" si="3"/>
        <v>2025</v>
      </c>
      <c r="AC59" s="421">
        <f t="shared" ca="1" si="3"/>
        <v>2026</v>
      </c>
      <c r="AD59" s="421">
        <f t="shared" ca="1" si="3"/>
        <v>2027</v>
      </c>
      <c r="AE59" s="421">
        <f t="shared" ca="1" si="3"/>
        <v>2028</v>
      </c>
      <c r="AF59" s="421">
        <f t="shared" ca="1" si="3"/>
        <v>2029</v>
      </c>
      <c r="AG59" s="421">
        <f t="shared" ca="1" si="3"/>
        <v>2030</v>
      </c>
      <c r="AH59" s="421">
        <f t="shared" ca="1" si="3"/>
        <v>2031</v>
      </c>
      <c r="AI59" s="421">
        <f t="shared" ca="1" si="3"/>
        <v>2032</v>
      </c>
      <c r="AJ59" s="421">
        <f t="shared" ca="1" si="3"/>
        <v>2033</v>
      </c>
      <c r="AK59" s="421">
        <f t="shared" ca="1" si="3"/>
        <v>2034</v>
      </c>
      <c r="AL59" s="421">
        <f t="shared" ca="1" si="3"/>
        <v>2035</v>
      </c>
      <c r="AM59" s="421">
        <f t="shared" ca="1" si="3"/>
        <v>2036</v>
      </c>
      <c r="AN59" s="421">
        <f t="shared" ca="1" si="3"/>
        <v>2037</v>
      </c>
      <c r="AO59" s="421">
        <f t="shared" ca="1" si="3"/>
        <v>2038</v>
      </c>
      <c r="AP59" s="421">
        <f t="shared" ca="1" si="3"/>
        <v>2039</v>
      </c>
      <c r="AQ59" s="421">
        <f t="shared" ca="1" si="3"/>
        <v>2040</v>
      </c>
      <c r="AR59" s="421">
        <f t="shared" ca="1" si="3"/>
        <v>2041</v>
      </c>
      <c r="AS59" s="421">
        <f t="shared" ca="1" si="3"/>
        <v>2042</v>
      </c>
      <c r="AT59" s="421">
        <f t="shared" ca="1" si="3"/>
        <v>2043</v>
      </c>
      <c r="AU59" s="421">
        <f t="shared" ca="1" si="3"/>
        <v>2044</v>
      </c>
      <c r="AV59" s="421">
        <f t="shared" ca="1" si="3"/>
        <v>2045</v>
      </c>
      <c r="AW59" s="421">
        <f t="shared" ca="1" si="3"/>
        <v>2046</v>
      </c>
      <c r="AX59" s="421">
        <f t="shared" ca="1" si="3"/>
        <v>2047</v>
      </c>
      <c r="AY59" s="421">
        <f t="shared" ca="1" si="3"/>
        <v>2048</v>
      </c>
      <c r="AZ59" s="421">
        <f t="shared" ca="1" si="3"/>
        <v>2049</v>
      </c>
      <c r="BA59" s="421">
        <f t="shared" ca="1" si="3"/>
        <v>2050</v>
      </c>
      <c r="BB59" s="421">
        <f t="shared" ca="1" si="3"/>
        <v>2051</v>
      </c>
      <c r="BC59" s="421">
        <f t="shared" ca="1" si="3"/>
        <v>2052</v>
      </c>
      <c r="BD59" s="421">
        <f t="shared" ca="1" si="3"/>
        <v>2053</v>
      </c>
      <c r="BE59" s="421">
        <f t="shared" ca="1" si="3"/>
        <v>2054</v>
      </c>
      <c r="BF59" s="421">
        <f t="shared" ca="1" si="3"/>
        <v>2055</v>
      </c>
      <c r="BG59" s="421">
        <f t="shared" ca="1" si="3"/>
        <v>2056</v>
      </c>
      <c r="BH59" s="421">
        <f t="shared" ca="1" si="3"/>
        <v>2057</v>
      </c>
      <c r="BI59" s="421">
        <f t="shared" ca="1" si="3"/>
        <v>2058</v>
      </c>
      <c r="BJ59" s="421">
        <f t="shared" ca="1" si="3"/>
        <v>2059</v>
      </c>
      <c r="BK59" s="421">
        <f t="shared" ca="1" si="3"/>
        <v>2060</v>
      </c>
      <c r="BL59" s="421">
        <f t="shared" ca="1" si="3"/>
        <v>2061</v>
      </c>
      <c r="BM59" s="421">
        <f t="shared" ca="1" si="3"/>
        <v>2062</v>
      </c>
      <c r="BN59" s="421">
        <f t="shared" ca="1" si="3"/>
        <v>2063</v>
      </c>
      <c r="BO59" s="421">
        <f t="shared" ca="1" si="3"/>
        <v>2064</v>
      </c>
      <c r="BP59" s="421">
        <f t="shared" ca="1" si="3"/>
        <v>2065</v>
      </c>
      <c r="BQ59" s="426">
        <f ca="1">BP59+1</f>
        <v>2066</v>
      </c>
    </row>
    <row r="60" spans="1:69" s="88" customFormat="1" ht="11.25" customHeight="1" x14ac:dyDescent="0.2">
      <c r="A60" s="507"/>
      <c r="B60" s="98"/>
      <c r="C60" s="98"/>
      <c r="D60" s="696"/>
      <c r="E60" s="2444" t="s">
        <v>655</v>
      </c>
      <c r="F60" s="2446"/>
      <c r="G60" s="2444" t="s">
        <v>32</v>
      </c>
      <c r="H60" s="2445"/>
      <c r="I60" s="2446"/>
      <c r="J60" s="2444" t="s">
        <v>657</v>
      </c>
      <c r="K60" s="2446"/>
      <c r="L60" s="2486" t="s">
        <v>655</v>
      </c>
      <c r="M60" s="2488"/>
      <c r="N60" s="2489"/>
      <c r="S60" s="1518"/>
      <c r="T60" s="557"/>
      <c r="U60" s="557"/>
      <c r="V60" s="557"/>
      <c r="W60" s="557"/>
      <c r="X60" s="557"/>
      <c r="Y60" s="557"/>
      <c r="Z60" s="557"/>
      <c r="AA60" s="557"/>
      <c r="AB60" s="557"/>
      <c r="AC60" s="557"/>
      <c r="AD60" s="557"/>
      <c r="AE60" s="557"/>
      <c r="AF60" s="557"/>
      <c r="AG60" s="557"/>
      <c r="AH60" s="557"/>
      <c r="AI60" s="557"/>
      <c r="AJ60" s="557"/>
      <c r="AK60" s="557"/>
      <c r="AL60" s="557"/>
      <c r="AM60" s="557"/>
      <c r="AN60" s="557"/>
      <c r="AO60" s="557"/>
      <c r="AP60" s="557"/>
      <c r="AQ60" s="557"/>
      <c r="AR60" s="557"/>
      <c r="AS60" s="557"/>
      <c r="AT60" s="557"/>
      <c r="AU60" s="557"/>
      <c r="AV60" s="557"/>
      <c r="AW60" s="557"/>
      <c r="AX60" s="557"/>
      <c r="AY60" s="557"/>
      <c r="AZ60" s="557"/>
      <c r="BA60" s="557"/>
      <c r="BB60" s="557"/>
      <c r="BC60" s="557"/>
      <c r="BD60" s="557"/>
      <c r="BE60" s="557"/>
      <c r="BF60" s="557"/>
      <c r="BG60" s="557"/>
      <c r="BH60" s="557"/>
      <c r="BI60" s="557"/>
      <c r="BJ60" s="557"/>
      <c r="BK60" s="557"/>
      <c r="BL60" s="557"/>
      <c r="BM60" s="557"/>
      <c r="BN60" s="557"/>
      <c r="BO60" s="557"/>
      <c r="BP60" s="557"/>
      <c r="BQ60" s="1519"/>
    </row>
    <row r="61" spans="1:69" s="88" customFormat="1" ht="11.25" customHeight="1" x14ac:dyDescent="0.2">
      <c r="A61" s="508" t="s">
        <v>33</v>
      </c>
      <c r="B61" s="1384"/>
      <c r="C61" s="2490"/>
      <c r="D61" s="2491"/>
      <c r="E61" s="2708">
        <f xml:space="preserve"> VLOOKUP(Projektdaten!G20,Grunddaten!C11:AI44,33,FALSE) * EV_Var3!I67</f>
        <v>0</v>
      </c>
      <c r="F61" s="2709"/>
      <c r="G61" s="2553" t="s">
        <v>34</v>
      </c>
      <c r="H61" s="2710"/>
      <c r="I61" s="2554"/>
      <c r="J61" s="2553" t="s">
        <v>35</v>
      </c>
      <c r="K61" s="2554"/>
      <c r="L61" s="2528" t="s">
        <v>35</v>
      </c>
      <c r="M61" s="2529"/>
      <c r="N61" s="2530"/>
      <c r="S61" s="422"/>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c r="AR61" s="423"/>
      <c r="AS61" s="423"/>
      <c r="AT61" s="423"/>
      <c r="AU61" s="423"/>
      <c r="AV61" s="423"/>
      <c r="AW61" s="423"/>
      <c r="AX61" s="423"/>
      <c r="AY61" s="423"/>
      <c r="AZ61" s="423"/>
      <c r="BA61" s="423"/>
      <c r="BB61" s="423"/>
      <c r="BC61" s="423"/>
      <c r="BD61" s="423"/>
      <c r="BE61" s="423"/>
      <c r="BF61" s="423"/>
      <c r="BG61" s="423"/>
      <c r="BH61" s="423"/>
      <c r="BI61" s="423"/>
      <c r="BJ61" s="423"/>
      <c r="BK61" s="423"/>
      <c r="BL61" s="423"/>
      <c r="BM61" s="423"/>
      <c r="BN61" s="423"/>
      <c r="BO61" s="423"/>
      <c r="BP61" s="423"/>
      <c r="BQ61" s="424"/>
    </row>
    <row r="62" spans="1:69" s="88" customFormat="1" ht="11.25" customHeight="1" x14ac:dyDescent="0.2">
      <c r="A62" s="509" t="s">
        <v>52</v>
      </c>
      <c r="B62" s="1385"/>
      <c r="C62" s="2557">
        <v>0.7</v>
      </c>
      <c r="D62" s="2558"/>
      <c r="E62" s="2473">
        <f>IF(G62,E$61*G62/SUM(G$62:G$65),0)</f>
        <v>0</v>
      </c>
      <c r="F62" s="2474"/>
      <c r="G62" s="2463">
        <f>IF(EV_Var3!$E$67&gt;0,IF(EV_Var3!$E$67&gt;=(EV_Var3!$E$33 + EV_Var3!$E$37),EV_Var3!$E$67-(EV_Var3!$E$33 + EV_Var3!$E$37),0),EV_Var3!$E$67)*C62</f>
        <v>0</v>
      </c>
      <c r="H62" s="2464"/>
      <c r="I62" s="2465"/>
      <c r="J62" s="2551">
        <f ca="1">OFFSET(Grunddaten!$AJ$11,El_Produkt,0)-(1-$R$109)*OFFSET(Grunddaten!$Q$11,El_Produkt,0)</f>
        <v>22.999464000000003</v>
      </c>
      <c r="K62" s="2552"/>
      <c r="L62" s="2525">
        <f t="shared" ref="L62:L76" ca="1" si="4">ROUND(E62+G62*J62/100,-1)</f>
        <v>0</v>
      </c>
      <c r="M62" s="2526"/>
      <c r="N62" s="2527"/>
      <c r="S62" s="427">
        <f ca="1">IF($G62=0,0,ROUND(OFFSET(Grunddaten!AT11,El_Produkt,0)*((OFFSET(Grunddaten!$AJ$11,El_Produkt,0)-OFFSET(Grunddaten!$Q$11,El_Produkt,0))/100*$G62+$E62),-1))</f>
        <v>0</v>
      </c>
      <c r="T62" s="428">
        <f ca="1">IF($G62=0,0,ROUND(OFFSET(Grunddaten!AU11,El_Produkt,0)*((OFFSET(Grunddaten!$AJ$11,El_Produkt,0)-OFFSET(Grunddaten!$Q$11,El_Produkt,0))/100*$G62+$E62),-1))</f>
        <v>0</v>
      </c>
      <c r="U62" s="428">
        <f ca="1">IF($G62=0,0,ROUND(OFFSET(Grunddaten!AV11,El_Produkt,0)*((OFFSET(Grunddaten!$AJ$11,El_Produkt,0)-OFFSET(Grunddaten!$Q$11,El_Produkt,0))/100*$G62+$E62),-1))</f>
        <v>0</v>
      </c>
      <c r="V62" s="428">
        <f ca="1">IF($G62=0,0,ROUND(OFFSET(Grunddaten!AW11,El_Produkt,0)*((OFFSET(Grunddaten!$AJ$11,El_Produkt,0)-OFFSET(Grunddaten!$Q$11,El_Produkt,0))/100*$G62+$E62),-1))</f>
        <v>0</v>
      </c>
      <c r="W62" s="428">
        <f ca="1">IF($G62=0,0,ROUND(OFFSET(Grunddaten!AX11,El_Produkt,0)*((OFFSET(Grunddaten!$AJ$11,El_Produkt,0)-OFFSET(Grunddaten!$Q$11,El_Produkt,0))/100*$G62+$E62),-1))</f>
        <v>0</v>
      </c>
      <c r="X62" s="428">
        <f ca="1">IF($G62=0,0,ROUND(OFFSET(Grunddaten!AY11,El_Produkt,0)*((OFFSET(Grunddaten!$AJ$11,El_Produkt,0)-OFFSET(Grunddaten!$Q$11,El_Produkt,0))/100*$G62+$E62),-1))</f>
        <v>0</v>
      </c>
      <c r="Y62" s="428">
        <f ca="1">IF($G62=0,0,ROUND(OFFSET(Grunddaten!AZ11,El_Produkt,0)*((OFFSET(Grunddaten!$AJ$11,El_Produkt,0)-OFFSET(Grunddaten!$Q$11,El_Produkt,0))/100*$G62+$E62),-1))</f>
        <v>0</v>
      </c>
      <c r="Z62" s="428">
        <f ca="1">IF($G62=0,0,ROUND(OFFSET(Grunddaten!BA11,El_Produkt,0)*((OFFSET(Grunddaten!$AJ$11,El_Produkt,0)-OFFSET(Grunddaten!$Q$11,El_Produkt,0))/100*$G62+$E62),-1))</f>
        <v>0</v>
      </c>
      <c r="AA62" s="428">
        <f ca="1">IF($G62=0,0,ROUND(OFFSET(Grunddaten!BB11,El_Produkt,0)*((OFFSET(Grunddaten!$AJ$11,El_Produkt,0)-OFFSET(Grunddaten!$Q$11,El_Produkt,0))/100*$G62+$E62),-1))</f>
        <v>0</v>
      </c>
      <c r="AB62" s="473">
        <f ca="1">IF($G62=0,0,ROUND(OFFSET(Grunddaten!BC11,El_Produkt,0)*((OFFSET(Grunddaten!$AJ$11,El_Produkt,0)-OFFSET(Grunddaten!$Q$11,El_Produkt,0))/100*$G62+$E62),-1))</f>
        <v>0</v>
      </c>
      <c r="AC62" s="473">
        <f ca="1">IF($G62=0,0,ROUND(OFFSET(Grunddaten!BD11,El_Produkt,0)*((OFFSET(Grunddaten!$AJ$11,El_Produkt,0)-OFFSET(Grunddaten!$Q$11,El_Produkt,0))/100*$G62+$E62),-1))</f>
        <v>0</v>
      </c>
      <c r="AD62" s="473">
        <f ca="1">IF($G62=0,0,ROUND(OFFSET(Grunddaten!BE11,El_Produkt,0)*((OFFSET(Grunddaten!$AJ$11,El_Produkt,0)-OFFSET(Grunddaten!$Q$11,El_Produkt,0))/100*$G62+$E62),-1))</f>
        <v>0</v>
      </c>
      <c r="AE62" s="473">
        <f ca="1">IF($G62=0,0,ROUND(OFFSET(Grunddaten!BF11,El_Produkt,0)*((OFFSET(Grunddaten!$AJ$11,El_Produkt,0)-OFFSET(Grunddaten!$Q$11,El_Produkt,0))/100*$G62+$E62),-1))</f>
        <v>0</v>
      </c>
      <c r="AF62" s="473">
        <f ca="1">IF($G62=0,0,ROUND(OFFSET(Grunddaten!BG11,El_Produkt,0)*((OFFSET(Grunddaten!$AJ$11,El_Produkt,0)-OFFSET(Grunddaten!$Q$11,El_Produkt,0))/100*$G62+$E62),-1))</f>
        <v>0</v>
      </c>
      <c r="AG62" s="473">
        <f ca="1">IF($G62=0,0,ROUND(OFFSET(Grunddaten!BH11,El_Produkt,0)*((OFFSET(Grunddaten!$AJ$11,El_Produkt,0)-OFFSET(Grunddaten!$Q$11,El_Produkt,0))/100*$G62+$E62),-1))</f>
        <v>0</v>
      </c>
      <c r="AH62" s="474">
        <f ca="1">IF($G62=0,0,ROUND(OFFSET(Grunddaten!BI11,El_Produkt,0)*((OFFSET(Grunddaten!$AJ$11,El_Produkt,0)-OFFSET(Grunddaten!$Q$11,El_Produkt,0))/100*$G62+$E62),-1))</f>
        <v>0</v>
      </c>
      <c r="AI62" s="474">
        <f ca="1">IF($G62=0,0,ROUND(OFFSET(Grunddaten!BJ11,El_Produkt,0)*((OFFSET(Grunddaten!$AJ$11,El_Produkt,0)-OFFSET(Grunddaten!$Q$11,El_Produkt,0))/100*$G62+$E62),-1))</f>
        <v>0</v>
      </c>
      <c r="AJ62" s="474">
        <f ca="1">IF($G62=0,0,ROUND(OFFSET(Grunddaten!BK11,El_Produkt,0)*((OFFSET(Grunddaten!$AJ$11,El_Produkt,0)-OFFSET(Grunddaten!$Q$11,El_Produkt,0))/100*$G62+$E62),-1))</f>
        <v>0</v>
      </c>
      <c r="AK62" s="474">
        <f ca="1">IF($G62=0,0,ROUND(OFFSET(Grunddaten!BL11,El_Produkt,0)*((OFFSET(Grunddaten!$AJ$11,El_Produkt,0)-OFFSET(Grunddaten!$Q$11,El_Produkt,0))/100*$G62+$E62),-1))</f>
        <v>0</v>
      </c>
      <c r="AL62" s="474">
        <f ca="1">IF($G62=0,0,ROUND(OFFSET(Grunddaten!BM11,El_Produkt,0)*((OFFSET(Grunddaten!$AJ$11,El_Produkt,0)-OFFSET(Grunddaten!$Q$11,El_Produkt,0))/100*$G62+$E62),-1))</f>
        <v>0</v>
      </c>
      <c r="AM62" s="474">
        <f ca="1">IF($G62=0,0,ROUND(OFFSET(Grunddaten!BN11,El_Produkt,0)*((OFFSET(Grunddaten!$AJ$11,El_Produkt,0)-OFFSET(Grunddaten!$Q$11,El_Produkt,0))/100*$G62+$E62),-1))</f>
        <v>0</v>
      </c>
      <c r="AN62" s="474">
        <f ca="1">IF($G62=0,0,ROUND(OFFSET(Grunddaten!BO11,El_Produkt,0)*((OFFSET(Grunddaten!$AJ$11,El_Produkt,0)-OFFSET(Grunddaten!$Q$11,El_Produkt,0))/100*$G62+$E62),-1))</f>
        <v>0</v>
      </c>
      <c r="AO62" s="474">
        <f ca="1">IF($G62=0,0,ROUND(OFFSET(Grunddaten!BP11,El_Produkt,0)*((OFFSET(Grunddaten!$AJ$11,El_Produkt,0)-OFFSET(Grunddaten!$Q$11,El_Produkt,0))/100*$G62+$E62),-1))</f>
        <v>0</v>
      </c>
      <c r="AP62" s="474">
        <f ca="1">IF($G62=0,0,ROUND(OFFSET(Grunddaten!BQ11,El_Produkt,0)*((OFFSET(Grunddaten!$AJ$11,El_Produkt,0)-OFFSET(Grunddaten!$Q$11,El_Produkt,0))/100*$G62+$E62),-1))</f>
        <v>0</v>
      </c>
      <c r="AQ62" s="474">
        <f ca="1">IF($G62=0,0,ROUND(OFFSET(Grunddaten!BR11,El_Produkt,0)*((OFFSET(Grunddaten!$AJ$11,El_Produkt,0)-OFFSET(Grunddaten!$Q$11,El_Produkt,0))/100*$G62+$E62),-1))</f>
        <v>0</v>
      </c>
      <c r="AR62" s="474">
        <f ca="1">IF($G62=0,0,ROUND(OFFSET(Grunddaten!BS11,El_Produkt,0)*((OFFSET(Grunddaten!$AJ$11,El_Produkt,0)-OFFSET(Grunddaten!$Q$11,El_Produkt,0))/100*$G62+$E62),-1))</f>
        <v>0</v>
      </c>
      <c r="AS62" s="474">
        <f ca="1">IF($G62=0,0,ROUND(OFFSET(Grunddaten!BT11,El_Produkt,0)*((OFFSET(Grunddaten!$AJ$11,El_Produkt,0)-OFFSET(Grunddaten!$Q$11,El_Produkt,0))/100*$G62+$E62),-1))</f>
        <v>0</v>
      </c>
      <c r="AT62" s="474">
        <f ca="1">IF($G62=0,0,ROUND(OFFSET(Grunddaten!BU11,El_Produkt,0)*((OFFSET(Grunddaten!$AJ$11,El_Produkt,0)-OFFSET(Grunddaten!$Q$11,El_Produkt,0))/100*$G62+$E62),-1))</f>
        <v>0</v>
      </c>
      <c r="AU62" s="474">
        <f ca="1">IF($G62=0,0,ROUND(OFFSET(Grunddaten!BV11,El_Produkt,0)*((OFFSET(Grunddaten!$AJ$11,El_Produkt,0)-OFFSET(Grunddaten!$Q$11,El_Produkt,0))/100*$G62+$E62),-1))</f>
        <v>0</v>
      </c>
      <c r="AV62" s="474">
        <f ca="1">IF($G62=0,0,ROUND(OFFSET(Grunddaten!BW11,El_Produkt,0)*((OFFSET(Grunddaten!$AJ$11,El_Produkt,0)-OFFSET(Grunddaten!$Q$11,El_Produkt,0))/100*$G62+$E62),-1))</f>
        <v>0</v>
      </c>
      <c r="AW62" s="474">
        <f ca="1">IF($G62=0,0,ROUND(OFFSET(Grunddaten!BX11,El_Produkt,0)*((OFFSET(Grunddaten!$AJ$11,El_Produkt,0)-OFFSET(Grunddaten!$Q$11,El_Produkt,0))/100*$G62+$E62),-1))</f>
        <v>0</v>
      </c>
      <c r="AX62" s="474">
        <f ca="1">IF($G62=0,0,ROUND(OFFSET(Grunddaten!BY11,El_Produkt,0)*((OFFSET(Grunddaten!$AJ$11,El_Produkt,0)-OFFSET(Grunddaten!$Q$11,El_Produkt,0))/100*$G62+$E62),-1))</f>
        <v>0</v>
      </c>
      <c r="AY62" s="474">
        <f ca="1">IF($G62=0,0,ROUND(OFFSET(Grunddaten!BZ11,El_Produkt,0)*((OFFSET(Grunddaten!$AJ$11,El_Produkt,0)-OFFSET(Grunddaten!$Q$11,El_Produkt,0))/100*$G62+$E62),-1))</f>
        <v>0</v>
      </c>
      <c r="AZ62" s="474">
        <f ca="1">IF($G62=0,0,ROUND(OFFSET(Grunddaten!CA11,El_Produkt,0)*((OFFSET(Grunddaten!$AJ$11,El_Produkt,0)-OFFSET(Grunddaten!$Q$11,El_Produkt,0))/100*$G62+$E62),-1))</f>
        <v>0</v>
      </c>
      <c r="BA62" s="474">
        <f ca="1">IF($G62=0,0,ROUND(OFFSET(Grunddaten!CB11,El_Produkt,0)*((OFFSET(Grunddaten!$AJ$11,El_Produkt,0)-OFFSET(Grunddaten!$Q$11,El_Produkt,0))/100*$G62+$E62),-1))</f>
        <v>0</v>
      </c>
      <c r="BB62" s="474">
        <f ca="1">IF($G62=0,0,ROUND(OFFSET(Grunddaten!CC11,El_Produkt,0)*((OFFSET(Grunddaten!$AJ$11,El_Produkt,0)-OFFSET(Grunddaten!$Q$11,El_Produkt,0))/100*$G62+$E62),-1))</f>
        <v>0</v>
      </c>
      <c r="BC62" s="474">
        <f ca="1">IF($G62=0,0,ROUND(OFFSET(Grunddaten!CD11,El_Produkt,0)*((OFFSET(Grunddaten!$AJ$11,El_Produkt,0)-OFFSET(Grunddaten!$Q$11,El_Produkt,0))/100*$G62+$E62),-1))</f>
        <v>0</v>
      </c>
      <c r="BD62" s="474">
        <f ca="1">IF($G62=0,0,ROUND(OFFSET(Grunddaten!CE11,El_Produkt,0)*((OFFSET(Grunddaten!$AJ$11,El_Produkt,0)-OFFSET(Grunddaten!$Q$11,El_Produkt,0))/100*$G62+$E62),-1))</f>
        <v>0</v>
      </c>
      <c r="BE62" s="474">
        <f ca="1">IF($G62=0,0,ROUND(OFFSET(Grunddaten!CF11,El_Produkt,0)*((OFFSET(Grunddaten!$AJ$11,El_Produkt,0)-OFFSET(Grunddaten!$Q$11,El_Produkt,0))/100*$G62+$E62),-1))</f>
        <v>0</v>
      </c>
      <c r="BF62" s="474">
        <f ca="1">IF($G62=0,0,ROUND(OFFSET(Grunddaten!CG11,El_Produkt,0)*((OFFSET(Grunddaten!$AJ$11,El_Produkt,0)-OFFSET(Grunddaten!$Q$11,El_Produkt,0))/100*$G62+$E62),-1))</f>
        <v>0</v>
      </c>
      <c r="BG62" s="474">
        <f ca="1">IF($G62=0,0,ROUND(OFFSET(Grunddaten!CH11,El_Produkt,0)*((OFFSET(Grunddaten!$AJ$11,El_Produkt,0)-OFFSET(Grunddaten!$Q$11,El_Produkt,0))/100*$G62+$E62),-1))</f>
        <v>0</v>
      </c>
      <c r="BH62" s="474">
        <f ca="1">IF($G62=0,0,ROUND(OFFSET(Grunddaten!CI11,El_Produkt,0)*((OFFSET(Grunddaten!$AJ$11,El_Produkt,0)-OFFSET(Grunddaten!$Q$11,El_Produkt,0))/100*$G62+$E62),-1))</f>
        <v>0</v>
      </c>
      <c r="BI62" s="474">
        <f ca="1">IF($G62=0,0,ROUND(OFFSET(Grunddaten!CJ11,El_Produkt,0)*((OFFSET(Grunddaten!$AJ$11,El_Produkt,0)-OFFSET(Grunddaten!$Q$11,El_Produkt,0))/100*$G62+$E62),-1))</f>
        <v>0</v>
      </c>
      <c r="BJ62" s="474">
        <f ca="1">IF($G62=0,0,ROUND(OFFSET(Grunddaten!CK11,El_Produkt,0)*((OFFSET(Grunddaten!$AJ$11,El_Produkt,0)-OFFSET(Grunddaten!$Q$11,El_Produkt,0))/100*$G62+$E62),-1))</f>
        <v>0</v>
      </c>
      <c r="BK62" s="474">
        <f ca="1">IF($G62=0,0,ROUND(OFFSET(Grunddaten!CL11,El_Produkt,0)*((OFFSET(Grunddaten!$AJ$11,El_Produkt,0)-OFFSET(Grunddaten!$Q$11,El_Produkt,0))/100*$G62+$E62),-1))</f>
        <v>0</v>
      </c>
      <c r="BL62" s="474">
        <f ca="1">IF($G62=0,0,ROUND(OFFSET(Grunddaten!CM11,El_Produkt,0)*((OFFSET(Grunddaten!$AJ$11,El_Produkt,0)-OFFSET(Grunddaten!$Q$11,El_Produkt,0))/100*$G62+$E62),-1))</f>
        <v>0</v>
      </c>
      <c r="BM62" s="474">
        <f ca="1">IF($G62=0,0,ROUND(OFFSET(Grunddaten!CN11,El_Produkt,0)*((OFFSET(Grunddaten!$AJ$11,El_Produkt,0)-OFFSET(Grunddaten!$Q$11,El_Produkt,0))/100*$G62+$E62),-1))</f>
        <v>0</v>
      </c>
      <c r="BN62" s="474">
        <f ca="1">IF($G62=0,0,ROUND(OFFSET(Grunddaten!CO11,El_Produkt,0)*((OFFSET(Grunddaten!$AJ$11,El_Produkt,0)-OFFSET(Grunddaten!$Q$11,El_Produkt,0))/100*$G62+$E62),-1))</f>
        <v>0</v>
      </c>
      <c r="BO62" s="474">
        <f ca="1">IF($G62=0,0,ROUND(OFFSET(Grunddaten!CP11,El_Produkt,0)*((OFFSET(Grunddaten!$AJ$11,El_Produkt,0)-OFFSET(Grunddaten!$Q$11,El_Produkt,0))/100*$G62+$E62),-1))</f>
        <v>0</v>
      </c>
      <c r="BP62" s="474">
        <f ca="1">IF($G62=0,0,ROUND(OFFSET(Grunddaten!CQ11,El_Produkt,0)*((OFFSET(Grunddaten!$AJ$11,El_Produkt,0)-OFFSET(Grunddaten!$Q$11,El_Produkt,0))/100*$G62+$E62),-1))</f>
        <v>0</v>
      </c>
      <c r="BQ62" s="475">
        <f ca="1">IF($G62=0,0,ROUND(OFFSET(Grunddaten!CR11,El_Produkt,0)*((OFFSET(Grunddaten!$AJ$11,El_Produkt,0)-OFFSET(Grunddaten!$Q$11,El_Produkt,0))/100*$G62+$E62),-1))</f>
        <v>0</v>
      </c>
    </row>
    <row r="63" spans="1:69" s="88" customFormat="1" ht="11.25" customHeight="1" x14ac:dyDescent="0.2">
      <c r="A63" s="510" t="s">
        <v>53</v>
      </c>
      <c r="B63" s="1386"/>
      <c r="C63" s="2559">
        <f>1-C62</f>
        <v>0.30000000000000004</v>
      </c>
      <c r="D63" s="2560"/>
      <c r="E63" s="2475">
        <f>IF(G63,E$61*G63/SUM(G$62:G$65),0)</f>
        <v>0</v>
      </c>
      <c r="F63" s="2476"/>
      <c r="G63" s="2470">
        <f>IF(EV_Var3!$E$67&gt;0,IF(EV_Var3!$E$67&gt;=(EV_Var3!$E$33 + EV_Var3!$E$37),EV_Var3!$E$67-(EV_Var3!$E$33 + EV_Var3!$E$37),0),EV_Var3!$E$67)*C63</f>
        <v>0</v>
      </c>
      <c r="H63" s="2471"/>
      <c r="I63" s="2472"/>
      <c r="J63" s="2555">
        <f ca="1">OFFSET(Grunddaten!$AK$11,El_Produkt,0)-(1-$R$109)*OFFSET(Grunddaten!$Q$11,El_Produkt,0)</f>
        <v>13.916124</v>
      </c>
      <c r="K63" s="2556"/>
      <c r="L63" s="2531">
        <f t="shared" ca="1" si="4"/>
        <v>0</v>
      </c>
      <c r="M63" s="2532"/>
      <c r="N63" s="2533"/>
      <c r="S63" s="429">
        <f ca="1">IF($G63=0,0,ROUND(OFFSET(Grunddaten!AT11,El_Produkt,0)*((OFFSET(Grunddaten!$AK$11,El_Produkt,0)-OFFSET(Grunddaten!$Q$11,El_Produkt,0))/100*$G63+$E63),-1))</f>
        <v>0</v>
      </c>
      <c r="T63" s="430">
        <f ca="1">IF($G63=0,0,ROUND(OFFSET(Grunddaten!AU11,El_Produkt,0)*((OFFSET(Grunddaten!$AK$11,El_Produkt,0)-OFFSET(Grunddaten!$Q$11,El_Produkt,0))/100*$G63+$E63),-1))</f>
        <v>0</v>
      </c>
      <c r="U63" s="430">
        <f ca="1">IF($G63=0,0,ROUND(OFFSET(Grunddaten!AV11,El_Produkt,0)*((OFFSET(Grunddaten!$AK$11,El_Produkt,0)-OFFSET(Grunddaten!$Q$11,El_Produkt,0))/100*$G63+$E63),-1))</f>
        <v>0</v>
      </c>
      <c r="V63" s="430">
        <f ca="1">IF($G63=0,0,ROUND(OFFSET(Grunddaten!AW11,El_Produkt,0)*((OFFSET(Grunddaten!$AK$11,El_Produkt,0)-OFFSET(Grunddaten!$Q$11,El_Produkt,0))/100*$G63+$E63),-1))</f>
        <v>0</v>
      </c>
      <c r="W63" s="430">
        <f ca="1">IF($G63=0,0,ROUND(OFFSET(Grunddaten!AX11,El_Produkt,0)*((OFFSET(Grunddaten!$AK$11,El_Produkt,0)-OFFSET(Grunddaten!$Q$11,El_Produkt,0))/100*$G63+$E63),-1))</f>
        <v>0</v>
      </c>
      <c r="X63" s="430">
        <f ca="1">IF($G63=0,0,ROUND(OFFSET(Grunddaten!AY11,El_Produkt,0)*((OFFSET(Grunddaten!$AK$11,El_Produkt,0)-OFFSET(Grunddaten!$Q$11,El_Produkt,0))/100*$G63+$E63),-1))</f>
        <v>0</v>
      </c>
      <c r="Y63" s="430">
        <f ca="1">IF($G63=0,0,ROUND(OFFSET(Grunddaten!AZ11,El_Produkt,0)*((OFFSET(Grunddaten!$AK$11,El_Produkt,0)-OFFSET(Grunddaten!$Q$11,El_Produkt,0))/100*$G63+$E63),-1))</f>
        <v>0</v>
      </c>
      <c r="Z63" s="430">
        <f ca="1">IF($G63=0,0,ROUND(OFFSET(Grunddaten!BA11,El_Produkt,0)*((OFFSET(Grunddaten!$AK$11,El_Produkt,0)-OFFSET(Grunddaten!$Q$11,El_Produkt,0))/100*$G63+$E63),-1))</f>
        <v>0</v>
      </c>
      <c r="AA63" s="430">
        <f ca="1">IF($G63=0,0,ROUND(OFFSET(Grunddaten!BB11,El_Produkt,0)*((OFFSET(Grunddaten!$AK$11,El_Produkt,0)-OFFSET(Grunddaten!$Q$11,El_Produkt,0))/100*$G63+$E63),-1))</f>
        <v>0</v>
      </c>
      <c r="AB63" s="476">
        <f ca="1">IF($G63=0,0,ROUND(OFFSET(Grunddaten!BC11,El_Produkt,0)*((OFFSET(Grunddaten!$AK$11,El_Produkt,0)-OFFSET(Grunddaten!$Q$11,El_Produkt,0))/100*$G63+$E63),-1))</f>
        <v>0</v>
      </c>
      <c r="AC63" s="476">
        <f ca="1">IF($G63=0,0,ROUND(OFFSET(Grunddaten!BD11,El_Produkt,0)*((OFFSET(Grunddaten!$AK$11,El_Produkt,0)-OFFSET(Grunddaten!$Q$11,El_Produkt,0))/100*$G63+$E63),-1))</f>
        <v>0</v>
      </c>
      <c r="AD63" s="476">
        <f ca="1">IF($G63=0,0,ROUND(OFFSET(Grunddaten!BE11,El_Produkt,0)*((OFFSET(Grunddaten!$AK$11,El_Produkt,0)-OFFSET(Grunddaten!$Q$11,El_Produkt,0))/100*$G63+$E63),-1))</f>
        <v>0</v>
      </c>
      <c r="AE63" s="476">
        <f ca="1">IF($G63=0,0,ROUND(OFFSET(Grunddaten!BF11,El_Produkt,0)*((OFFSET(Grunddaten!$AK$11,El_Produkt,0)-OFFSET(Grunddaten!$Q$11,El_Produkt,0))/100*$G63+$E63),-1))</f>
        <v>0</v>
      </c>
      <c r="AF63" s="476">
        <f ca="1">IF($G63=0,0,ROUND(OFFSET(Grunddaten!BG11,El_Produkt,0)*((OFFSET(Grunddaten!$AK$11,El_Produkt,0)-OFFSET(Grunddaten!$Q$11,El_Produkt,0))/100*$G63+$E63),-1))</f>
        <v>0</v>
      </c>
      <c r="AG63" s="476">
        <f ca="1">IF($G63=0,0,ROUND(OFFSET(Grunddaten!BH11,El_Produkt,0)*((OFFSET(Grunddaten!$AK$11,El_Produkt,0)-OFFSET(Grunddaten!$Q$11,El_Produkt,0))/100*$G63+$E63),-1))</f>
        <v>0</v>
      </c>
      <c r="AH63" s="477">
        <f ca="1">IF($G63=0,0,ROUND(OFFSET(Grunddaten!BI11,El_Produkt,0)*((OFFSET(Grunddaten!$AK$11,El_Produkt,0)-OFFSET(Grunddaten!$Q$11,El_Produkt,0))/100*$G63+$E63),-1))</f>
        <v>0</v>
      </c>
      <c r="AI63" s="477">
        <f ca="1">IF($G63=0,0,ROUND(OFFSET(Grunddaten!BJ11,El_Produkt,0)*((OFFSET(Grunddaten!$AK$11,El_Produkt,0)-OFFSET(Grunddaten!$Q$11,El_Produkt,0))/100*$G63+$E63),-1))</f>
        <v>0</v>
      </c>
      <c r="AJ63" s="477">
        <f ca="1">IF($G63=0,0,ROUND(OFFSET(Grunddaten!BK11,El_Produkt,0)*((OFFSET(Grunddaten!$AK$11,El_Produkt,0)-OFFSET(Grunddaten!$Q$11,El_Produkt,0))/100*$G63+$E63),-1))</f>
        <v>0</v>
      </c>
      <c r="AK63" s="477">
        <f ca="1">IF($G63=0,0,ROUND(OFFSET(Grunddaten!BL11,El_Produkt,0)*((OFFSET(Grunddaten!$AK$11,El_Produkt,0)-OFFSET(Grunddaten!$Q$11,El_Produkt,0))/100*$G63+$E63),-1))</f>
        <v>0</v>
      </c>
      <c r="AL63" s="477">
        <f ca="1">IF($G63=0,0,ROUND(OFFSET(Grunddaten!BM11,El_Produkt,0)*((OFFSET(Grunddaten!$AK$11,El_Produkt,0)-OFFSET(Grunddaten!$Q$11,El_Produkt,0))/100*$G63+$E63),-1))</f>
        <v>0</v>
      </c>
      <c r="AM63" s="477">
        <f ca="1">IF($G63=0,0,ROUND(OFFSET(Grunddaten!BN11,El_Produkt,0)*((OFFSET(Grunddaten!$AK$11,El_Produkt,0)-OFFSET(Grunddaten!$Q$11,El_Produkt,0))/100*$G63+$E63),-1))</f>
        <v>0</v>
      </c>
      <c r="AN63" s="477">
        <f ca="1">IF($G63=0,0,ROUND(OFFSET(Grunddaten!BO11,El_Produkt,0)*((OFFSET(Grunddaten!$AK$11,El_Produkt,0)-OFFSET(Grunddaten!$Q$11,El_Produkt,0))/100*$G63+$E63),-1))</f>
        <v>0</v>
      </c>
      <c r="AO63" s="477">
        <f ca="1">IF($G63=0,0,ROUND(OFFSET(Grunddaten!BP11,El_Produkt,0)*((OFFSET(Grunddaten!$AK$11,El_Produkt,0)-OFFSET(Grunddaten!$Q$11,El_Produkt,0))/100*$G63+$E63),-1))</f>
        <v>0</v>
      </c>
      <c r="AP63" s="477">
        <f ca="1">IF($G63=0,0,ROUND(OFFSET(Grunddaten!BQ11,El_Produkt,0)*((OFFSET(Grunddaten!$AK$11,El_Produkt,0)-OFFSET(Grunddaten!$Q$11,El_Produkt,0))/100*$G63+$E63),-1))</f>
        <v>0</v>
      </c>
      <c r="AQ63" s="477">
        <f ca="1">IF($G63=0,0,ROUND(OFFSET(Grunddaten!BR11,El_Produkt,0)*((OFFSET(Grunddaten!$AK$11,El_Produkt,0)-OFFSET(Grunddaten!$Q$11,El_Produkt,0))/100*$G63+$E63),-1))</f>
        <v>0</v>
      </c>
      <c r="AR63" s="477">
        <f ca="1">IF($G63=0,0,ROUND(OFFSET(Grunddaten!BS11,El_Produkt,0)*((OFFSET(Grunddaten!$AK$11,El_Produkt,0)-OFFSET(Grunddaten!$Q$11,El_Produkt,0))/100*$G63+$E63),-1))</f>
        <v>0</v>
      </c>
      <c r="AS63" s="477">
        <f ca="1">IF($G63=0,0,ROUND(OFFSET(Grunddaten!BT11,El_Produkt,0)*((OFFSET(Grunddaten!$AK$11,El_Produkt,0)-OFFSET(Grunddaten!$Q$11,El_Produkt,0))/100*$G63+$E63),-1))</f>
        <v>0</v>
      </c>
      <c r="AT63" s="477">
        <f ca="1">IF($G63=0,0,ROUND(OFFSET(Grunddaten!BU11,El_Produkt,0)*((OFFSET(Grunddaten!$AK$11,El_Produkt,0)-OFFSET(Grunddaten!$Q$11,El_Produkt,0))/100*$G63+$E63),-1))</f>
        <v>0</v>
      </c>
      <c r="AU63" s="477">
        <f ca="1">IF($G63=0,0,ROUND(OFFSET(Grunddaten!BV11,El_Produkt,0)*((OFFSET(Grunddaten!$AK$11,El_Produkt,0)-OFFSET(Grunddaten!$Q$11,El_Produkt,0))/100*$G63+$E63),-1))</f>
        <v>0</v>
      </c>
      <c r="AV63" s="477">
        <f ca="1">IF($G63=0,0,ROUND(OFFSET(Grunddaten!BW11,El_Produkt,0)*((OFFSET(Grunddaten!$AK$11,El_Produkt,0)-OFFSET(Grunddaten!$Q$11,El_Produkt,0))/100*$G63+$E63),-1))</f>
        <v>0</v>
      </c>
      <c r="AW63" s="477">
        <f ca="1">IF($G63=0,0,ROUND(OFFSET(Grunddaten!BX11,El_Produkt,0)*((OFFSET(Grunddaten!$AK$11,El_Produkt,0)-OFFSET(Grunddaten!$Q$11,El_Produkt,0))/100*$G63+$E63),-1))</f>
        <v>0</v>
      </c>
      <c r="AX63" s="477">
        <f ca="1">IF($G63=0,0,ROUND(OFFSET(Grunddaten!BY11,El_Produkt,0)*((OFFSET(Grunddaten!$AK$11,El_Produkt,0)-OFFSET(Grunddaten!$Q$11,El_Produkt,0))/100*$G63+$E63),-1))</f>
        <v>0</v>
      </c>
      <c r="AY63" s="477">
        <f ca="1">IF($G63=0,0,ROUND(OFFSET(Grunddaten!BZ11,El_Produkt,0)*((OFFSET(Grunddaten!$AK$11,El_Produkt,0)-OFFSET(Grunddaten!$Q$11,El_Produkt,0))/100*$G63+$E63),-1))</f>
        <v>0</v>
      </c>
      <c r="AZ63" s="477">
        <f ca="1">IF($G63=0,0,ROUND(OFFSET(Grunddaten!CA11,El_Produkt,0)*((OFFSET(Grunddaten!$AK$11,El_Produkt,0)-OFFSET(Grunddaten!$Q$11,El_Produkt,0))/100*$G63+$E63),-1))</f>
        <v>0</v>
      </c>
      <c r="BA63" s="477">
        <f ca="1">IF($G63=0,0,ROUND(OFFSET(Grunddaten!CB11,El_Produkt,0)*((OFFSET(Grunddaten!$AK$11,El_Produkt,0)-OFFSET(Grunddaten!$Q$11,El_Produkt,0))/100*$G63+$E63),-1))</f>
        <v>0</v>
      </c>
      <c r="BB63" s="477">
        <f ca="1">IF($G63=0,0,ROUND(OFFSET(Grunddaten!CC11,El_Produkt,0)*((OFFSET(Grunddaten!$AK$11,El_Produkt,0)-OFFSET(Grunddaten!$Q$11,El_Produkt,0))/100*$G63+$E63),-1))</f>
        <v>0</v>
      </c>
      <c r="BC63" s="477">
        <f ca="1">IF($G63=0,0,ROUND(OFFSET(Grunddaten!CD11,El_Produkt,0)*((OFFSET(Grunddaten!$AK$11,El_Produkt,0)-OFFSET(Grunddaten!$Q$11,El_Produkt,0))/100*$G63+$E63),-1))</f>
        <v>0</v>
      </c>
      <c r="BD63" s="477">
        <f ca="1">IF($G63=0,0,ROUND(OFFSET(Grunddaten!CE11,El_Produkt,0)*((OFFSET(Grunddaten!$AK$11,El_Produkt,0)-OFFSET(Grunddaten!$Q$11,El_Produkt,0))/100*$G63+$E63),-1))</f>
        <v>0</v>
      </c>
      <c r="BE63" s="477">
        <f ca="1">IF($G63=0,0,ROUND(OFFSET(Grunddaten!CF11,El_Produkt,0)*((OFFSET(Grunddaten!$AK$11,El_Produkt,0)-OFFSET(Grunddaten!$Q$11,El_Produkt,0))/100*$G63+$E63),-1))</f>
        <v>0</v>
      </c>
      <c r="BF63" s="477">
        <f ca="1">IF($G63=0,0,ROUND(OFFSET(Grunddaten!CG11,El_Produkt,0)*((OFFSET(Grunddaten!$AK$11,El_Produkt,0)-OFFSET(Grunddaten!$Q$11,El_Produkt,0))/100*$G63+$E63),-1))</f>
        <v>0</v>
      </c>
      <c r="BG63" s="477">
        <f ca="1">IF($G63=0,0,ROUND(OFFSET(Grunddaten!CH11,El_Produkt,0)*((OFFSET(Grunddaten!$AK$11,El_Produkt,0)-OFFSET(Grunddaten!$Q$11,El_Produkt,0))/100*$G63+$E63),-1))</f>
        <v>0</v>
      </c>
      <c r="BH63" s="477">
        <f ca="1">IF($G63=0,0,ROUND(OFFSET(Grunddaten!CI11,El_Produkt,0)*((OFFSET(Grunddaten!$AK$11,El_Produkt,0)-OFFSET(Grunddaten!$Q$11,El_Produkt,0))/100*$G63+$E63),-1))</f>
        <v>0</v>
      </c>
      <c r="BI63" s="477">
        <f ca="1">IF($G63=0,0,ROUND(OFFSET(Grunddaten!CJ11,El_Produkt,0)*((OFFSET(Grunddaten!$AK$11,El_Produkt,0)-OFFSET(Grunddaten!$Q$11,El_Produkt,0))/100*$G63+$E63),-1))</f>
        <v>0</v>
      </c>
      <c r="BJ63" s="477">
        <f ca="1">IF($G63=0,0,ROUND(OFFSET(Grunddaten!CK11,El_Produkt,0)*((OFFSET(Grunddaten!$AK$11,El_Produkt,0)-OFFSET(Grunddaten!$Q$11,El_Produkt,0))/100*$G63+$E63),-1))</f>
        <v>0</v>
      </c>
      <c r="BK63" s="477">
        <f ca="1">IF($G63=0,0,ROUND(OFFSET(Grunddaten!CL11,El_Produkt,0)*((OFFSET(Grunddaten!$AK$11,El_Produkt,0)-OFFSET(Grunddaten!$Q$11,El_Produkt,0))/100*$G63+$E63),-1))</f>
        <v>0</v>
      </c>
      <c r="BL63" s="477">
        <f ca="1">IF($G63=0,0,ROUND(OFFSET(Grunddaten!CM11,El_Produkt,0)*((OFFSET(Grunddaten!$AK$11,El_Produkt,0)-OFFSET(Grunddaten!$Q$11,El_Produkt,0))/100*$G63+$E63),-1))</f>
        <v>0</v>
      </c>
      <c r="BM63" s="477">
        <f ca="1">IF($G63=0,0,ROUND(OFFSET(Grunddaten!CN11,El_Produkt,0)*((OFFSET(Grunddaten!$AK$11,El_Produkt,0)-OFFSET(Grunddaten!$Q$11,El_Produkt,0))/100*$G63+$E63),-1))</f>
        <v>0</v>
      </c>
      <c r="BN63" s="477">
        <f ca="1">IF($G63=0,0,ROUND(OFFSET(Grunddaten!CO11,El_Produkt,0)*((OFFSET(Grunddaten!$AK$11,El_Produkt,0)-OFFSET(Grunddaten!$Q$11,El_Produkt,0))/100*$G63+$E63),-1))</f>
        <v>0</v>
      </c>
      <c r="BO63" s="477">
        <f ca="1">IF($G63=0,0,ROUND(OFFSET(Grunddaten!CP11,El_Produkt,0)*((OFFSET(Grunddaten!$AK$11,El_Produkt,0)-OFFSET(Grunddaten!$Q$11,El_Produkt,0))/100*$G63+$E63),-1))</f>
        <v>0</v>
      </c>
      <c r="BP63" s="477">
        <f ca="1">IF($G63=0,0,ROUND(OFFSET(Grunddaten!CQ11,El_Produkt,0)*((OFFSET(Grunddaten!$AK$11,El_Produkt,0)-OFFSET(Grunddaten!$Q$11,El_Produkt,0))/100*$G63+$E63),-1))</f>
        <v>0</v>
      </c>
      <c r="BQ63" s="478">
        <f ca="1">IF($G63=0,0,ROUND(OFFSET(Grunddaten!CR11,El_Produkt,0)*((OFFSET(Grunddaten!$AK$11,El_Produkt,0)-OFFSET(Grunddaten!$Q$11,El_Produkt,0))/100*$G63+$E63),-1))</f>
        <v>0</v>
      </c>
    </row>
    <row r="64" spans="1:69" s="88" customFormat="1" ht="11.25" customHeight="1" x14ac:dyDescent="0.2">
      <c r="A64" s="511" t="s">
        <v>453</v>
      </c>
      <c r="B64" s="1387"/>
      <c r="C64" s="2557">
        <v>0.7</v>
      </c>
      <c r="D64" s="2558"/>
      <c r="E64" s="2473">
        <f>IF(G64,E$61*G64/SUM(G$62:G$65),0)</f>
        <v>0</v>
      </c>
      <c r="F64" s="2474"/>
      <c r="G64" s="2463">
        <f>IF(EV_Var3!$E$67&gt;=0,IF(EV_Var3!$E$67&gt;=(EV_Var3!$E$33 + EV_Var3!$E$37),(EV_Var3!$E$33 + EV_Var3!$E$37),EV_Var3!$E$67),0)*C64</f>
        <v>0</v>
      </c>
      <c r="H64" s="2464"/>
      <c r="I64" s="2465"/>
      <c r="J64" s="2551">
        <f ca="1">OFFSET(Grunddaten!$AL$11,El_Produkt,0)-(1-$R$109)*OFFSET(Grunddaten!$Q$11,El_Produkt,0)</f>
        <v>22.999464000000003</v>
      </c>
      <c r="K64" s="2552"/>
      <c r="L64" s="2525">
        <f t="shared" ca="1" si="4"/>
        <v>0</v>
      </c>
      <c r="M64" s="2526"/>
      <c r="N64" s="2527"/>
      <c r="P64" s="2538" t="s">
        <v>489</v>
      </c>
      <c r="Q64" s="2536">
        <f ca="1">OFFSET(Grunddaten!AT11,MATCH(Projektdaten!$G$20,Grunddaten!$C$11:$C$44,0)-1,-1)</f>
        <v>0</v>
      </c>
      <c r="S64" s="427">
        <f ca="1">IF($G64=0,0,ROUND(OFFSET(Grunddaten!AT11,El_Produkt,0)*((OFFSET(Grunddaten!$AL$11,El_Produkt,0)-OFFSET(Grunddaten!$Q$11,El_Produkt,0))/100*$G64+$E64),-1))</f>
        <v>0</v>
      </c>
      <c r="T64" s="428">
        <f ca="1">IF($G64=0,0,ROUND(OFFSET(Grunddaten!AU11,El_Produkt,0)*((OFFSET(Grunddaten!$AL$11,El_Produkt,0)-OFFSET(Grunddaten!$Q$11,El_Produkt,0))/100*$G64+$E64),-1))</f>
        <v>0</v>
      </c>
      <c r="U64" s="428">
        <f ca="1">IF($G64=0,0,ROUND(OFFSET(Grunddaten!AV11,El_Produkt,0)*((OFFSET(Grunddaten!$AL$11,El_Produkt,0)-OFFSET(Grunddaten!$Q$11,El_Produkt,0))/100*$G64+$E64),-1))</f>
        <v>0</v>
      </c>
      <c r="V64" s="428">
        <f ca="1">IF($G64=0,0,ROUND(OFFSET(Grunddaten!AW11,El_Produkt,0)*((OFFSET(Grunddaten!$AL$11,El_Produkt,0)-OFFSET(Grunddaten!$Q$11,El_Produkt,0))/100*$G64+$E64),-1))</f>
        <v>0</v>
      </c>
      <c r="W64" s="428">
        <f ca="1">IF($G64=0,0,ROUND(OFFSET(Grunddaten!AX11,El_Produkt,0)*((OFFSET(Grunddaten!$AL$11,El_Produkt,0)-OFFSET(Grunddaten!$Q$11,El_Produkt,0))/100*$G64+$E64),-1))</f>
        <v>0</v>
      </c>
      <c r="X64" s="428">
        <f ca="1">IF($G64=0,0,ROUND(OFFSET(Grunddaten!AY11,El_Produkt,0)*((OFFSET(Grunddaten!$AL$11,El_Produkt,0)-OFFSET(Grunddaten!$Q$11,El_Produkt,0))/100*$G64+$E64),-1))</f>
        <v>0</v>
      </c>
      <c r="Y64" s="428">
        <f ca="1">IF($G64=0,0,ROUND(OFFSET(Grunddaten!AZ11,El_Produkt,0)*((OFFSET(Grunddaten!$AL$11,El_Produkt,0)-OFFSET(Grunddaten!$Q$11,El_Produkt,0))/100*$G64+$E64),-1))</f>
        <v>0</v>
      </c>
      <c r="Z64" s="428">
        <f ca="1">IF($G64=0,0,ROUND(OFFSET(Grunddaten!BA11,El_Produkt,0)*((OFFSET(Grunddaten!$AL$11,El_Produkt,0)-OFFSET(Grunddaten!$Q$11,El_Produkt,0))/100*$G64+$E64),-1))</f>
        <v>0</v>
      </c>
      <c r="AA64" s="428">
        <f ca="1">IF($G64=0,0,ROUND(OFFSET(Grunddaten!BB11,El_Produkt,0)*((OFFSET(Grunddaten!$AL$11,El_Produkt,0)-OFFSET(Grunddaten!$Q$11,El_Produkt,0))/100*$G64+$E64),-1))</f>
        <v>0</v>
      </c>
      <c r="AB64" s="473">
        <f ca="1">IF($G64=0,0,ROUND(OFFSET(Grunddaten!BC11,El_Produkt,0)*((OFFSET(Grunddaten!$AL$11,El_Produkt,0)-OFFSET(Grunddaten!$Q$11,El_Produkt,0))/100*$G64+$E64),-1))</f>
        <v>0</v>
      </c>
      <c r="AC64" s="473">
        <f ca="1">IF($G64=0,0,ROUND(OFFSET(Grunddaten!BD11,El_Produkt,0)*((OFFSET(Grunddaten!$AL$11,El_Produkt,0)-OFFSET(Grunddaten!$Q$11,El_Produkt,0))/100*$G64+$E64),-1))</f>
        <v>0</v>
      </c>
      <c r="AD64" s="473">
        <f ca="1">IF($G64=0,0,ROUND(OFFSET(Grunddaten!BE11,El_Produkt,0)*((OFFSET(Grunddaten!$AL$11,El_Produkt,0)-OFFSET(Grunddaten!$Q$11,El_Produkt,0))/100*$G64+$E64),-1))</f>
        <v>0</v>
      </c>
      <c r="AE64" s="473">
        <f ca="1">IF($G64=0,0,ROUND(OFFSET(Grunddaten!BF11,El_Produkt,0)*((OFFSET(Grunddaten!$AL$11,El_Produkt,0)-OFFSET(Grunddaten!$Q$11,El_Produkt,0))/100*$G64+$E64),-1))</f>
        <v>0</v>
      </c>
      <c r="AF64" s="473">
        <f ca="1">IF($G64=0,0,ROUND(OFFSET(Grunddaten!BG11,El_Produkt,0)*((OFFSET(Grunddaten!$AL$11,El_Produkt,0)-OFFSET(Grunddaten!$Q$11,El_Produkt,0))/100*$G64+$E64),-1))</f>
        <v>0</v>
      </c>
      <c r="AG64" s="473">
        <f ca="1">IF($G64=0,0,ROUND(OFFSET(Grunddaten!BH11,El_Produkt,0)*((OFFSET(Grunddaten!$AL$11,El_Produkt,0)-OFFSET(Grunddaten!$Q$11,El_Produkt,0))/100*$G64+$E64),-1))</f>
        <v>0</v>
      </c>
      <c r="AH64" s="474">
        <f ca="1">IF($G64=0,0,ROUND(OFFSET(Grunddaten!BI11,El_Produkt,0)*((OFFSET(Grunddaten!$AL$11,El_Produkt,0)-OFFSET(Grunddaten!$Q$11,El_Produkt,0))/100*$G64+$E64),-1))</f>
        <v>0</v>
      </c>
      <c r="AI64" s="474">
        <f ca="1">IF($G64=0,0,ROUND(OFFSET(Grunddaten!BJ11,El_Produkt,0)*((OFFSET(Grunddaten!$AL$11,El_Produkt,0)-OFFSET(Grunddaten!$Q$11,El_Produkt,0))/100*$G64+$E64),-1))</f>
        <v>0</v>
      </c>
      <c r="AJ64" s="474">
        <f ca="1">IF($G64=0,0,ROUND(OFFSET(Grunddaten!BK11,El_Produkt,0)*((OFFSET(Grunddaten!$AL$11,El_Produkt,0)-OFFSET(Grunddaten!$Q$11,El_Produkt,0))/100*$G64+$E64),-1))</f>
        <v>0</v>
      </c>
      <c r="AK64" s="474">
        <f ca="1">IF($G64=0,0,ROUND(OFFSET(Grunddaten!BL11,El_Produkt,0)*((OFFSET(Grunddaten!$AL$11,El_Produkt,0)-OFFSET(Grunddaten!$Q$11,El_Produkt,0))/100*$G64+$E64),-1))</f>
        <v>0</v>
      </c>
      <c r="AL64" s="474">
        <f ca="1">IF($G64=0,0,ROUND(OFFSET(Grunddaten!BM11,El_Produkt,0)*((OFFSET(Grunddaten!$AL$11,El_Produkt,0)-OFFSET(Grunddaten!$Q$11,El_Produkt,0))/100*$G64+$E64),-1))</f>
        <v>0</v>
      </c>
      <c r="AM64" s="474">
        <f ca="1">IF($G64=0,0,ROUND(OFFSET(Grunddaten!BN11,El_Produkt,0)*((OFFSET(Grunddaten!$AL$11,El_Produkt,0)-OFFSET(Grunddaten!$Q$11,El_Produkt,0))/100*$G64+$E64),-1))</f>
        <v>0</v>
      </c>
      <c r="AN64" s="474">
        <f ca="1">IF($G64=0,0,ROUND(OFFSET(Grunddaten!BO11,El_Produkt,0)*((OFFSET(Grunddaten!$AL$11,El_Produkt,0)-OFFSET(Grunddaten!$Q$11,El_Produkt,0))/100*$G64+$E64),-1))</f>
        <v>0</v>
      </c>
      <c r="AO64" s="474">
        <f ca="1">IF($G64=0,0,ROUND(OFFSET(Grunddaten!BP11,El_Produkt,0)*((OFFSET(Grunddaten!$AL$11,El_Produkt,0)-OFFSET(Grunddaten!$Q$11,El_Produkt,0))/100*$G64+$E64),-1))</f>
        <v>0</v>
      </c>
      <c r="AP64" s="474">
        <f ca="1">IF($G64=0,0,ROUND(OFFSET(Grunddaten!BQ11,El_Produkt,0)*((OFFSET(Grunddaten!$AL$11,El_Produkt,0)-OFFSET(Grunddaten!$Q$11,El_Produkt,0))/100*$G64+$E64),-1))</f>
        <v>0</v>
      </c>
      <c r="AQ64" s="474">
        <f ca="1">IF($G64=0,0,ROUND(OFFSET(Grunddaten!BR11,El_Produkt,0)*((OFFSET(Grunddaten!$AL$11,El_Produkt,0)-OFFSET(Grunddaten!$Q$11,El_Produkt,0))/100*$G64+$E64),-1))</f>
        <v>0</v>
      </c>
      <c r="AR64" s="474">
        <f ca="1">IF($G64=0,0,ROUND(OFFSET(Grunddaten!BS11,El_Produkt,0)*((OFFSET(Grunddaten!$AL$11,El_Produkt,0)-OFFSET(Grunddaten!$Q$11,El_Produkt,0))/100*$G64+$E64),-1))</f>
        <v>0</v>
      </c>
      <c r="AS64" s="474">
        <f ca="1">IF($G64=0,0,ROUND(OFFSET(Grunddaten!BT11,El_Produkt,0)*((OFFSET(Grunddaten!$AL$11,El_Produkt,0)-OFFSET(Grunddaten!$Q$11,El_Produkt,0))/100*$G64+$E64),-1))</f>
        <v>0</v>
      </c>
      <c r="AT64" s="474">
        <f ca="1">IF($G64=0,0,ROUND(OFFSET(Grunddaten!BU11,El_Produkt,0)*((OFFSET(Grunddaten!$AL$11,El_Produkt,0)-OFFSET(Grunddaten!$Q$11,El_Produkt,0))/100*$G64+$E64),-1))</f>
        <v>0</v>
      </c>
      <c r="AU64" s="474">
        <f ca="1">IF($G64=0,0,ROUND(OFFSET(Grunddaten!BV11,El_Produkt,0)*((OFFSET(Grunddaten!$AL$11,El_Produkt,0)-OFFSET(Grunddaten!$Q$11,El_Produkt,0))/100*$G64+$E64),-1))</f>
        <v>0</v>
      </c>
      <c r="AV64" s="474">
        <f ca="1">IF($G64=0,0,ROUND(OFFSET(Grunddaten!BW11,El_Produkt,0)*((OFFSET(Grunddaten!$AL$11,El_Produkt,0)-OFFSET(Grunddaten!$Q$11,El_Produkt,0))/100*$G64+$E64),-1))</f>
        <v>0</v>
      </c>
      <c r="AW64" s="474">
        <f ca="1">IF($G64=0,0,ROUND(OFFSET(Grunddaten!BX11,El_Produkt,0)*((OFFSET(Grunddaten!$AL$11,El_Produkt,0)-OFFSET(Grunddaten!$Q$11,El_Produkt,0))/100*$G64+$E64),-1))</f>
        <v>0</v>
      </c>
      <c r="AX64" s="474">
        <f ca="1">IF($G64=0,0,ROUND(OFFSET(Grunddaten!BY11,El_Produkt,0)*((OFFSET(Grunddaten!$AL$11,El_Produkt,0)-OFFSET(Grunddaten!$Q$11,El_Produkt,0))/100*$G64+$E64),-1))</f>
        <v>0</v>
      </c>
      <c r="AY64" s="474">
        <f ca="1">IF($G64=0,0,ROUND(OFFSET(Grunddaten!BZ11,El_Produkt,0)*((OFFSET(Grunddaten!$AL$11,El_Produkt,0)-OFFSET(Grunddaten!$Q$11,El_Produkt,0))/100*$G64+$E64),-1))</f>
        <v>0</v>
      </c>
      <c r="AZ64" s="474">
        <f ca="1">IF($G64=0,0,ROUND(OFFSET(Grunddaten!CA11,El_Produkt,0)*((OFFSET(Grunddaten!$AL$11,El_Produkt,0)-OFFSET(Grunddaten!$Q$11,El_Produkt,0))/100*$G64+$E64),-1))</f>
        <v>0</v>
      </c>
      <c r="BA64" s="474">
        <f ca="1">IF($G64=0,0,ROUND(OFFSET(Grunddaten!CB11,El_Produkt,0)*((OFFSET(Grunddaten!$AL$11,El_Produkt,0)-OFFSET(Grunddaten!$Q$11,El_Produkt,0))/100*$G64+$E64),-1))</f>
        <v>0</v>
      </c>
      <c r="BB64" s="474">
        <f ca="1">IF($G64=0,0,ROUND(OFFSET(Grunddaten!CC11,El_Produkt,0)*((OFFSET(Grunddaten!$AL$11,El_Produkt,0)-OFFSET(Grunddaten!$Q$11,El_Produkt,0))/100*$G64+$E64),-1))</f>
        <v>0</v>
      </c>
      <c r="BC64" s="474">
        <f ca="1">IF($G64=0,0,ROUND(OFFSET(Grunddaten!CD11,El_Produkt,0)*((OFFSET(Grunddaten!$AL$11,El_Produkt,0)-OFFSET(Grunddaten!$Q$11,El_Produkt,0))/100*$G64+$E64),-1))</f>
        <v>0</v>
      </c>
      <c r="BD64" s="474">
        <f ca="1">IF($G64=0,0,ROUND(OFFSET(Grunddaten!CE11,El_Produkt,0)*((OFFSET(Grunddaten!$AL$11,El_Produkt,0)-OFFSET(Grunddaten!$Q$11,El_Produkt,0))/100*$G64+$E64),-1))</f>
        <v>0</v>
      </c>
      <c r="BE64" s="474">
        <f ca="1">IF($G64=0,0,ROUND(OFFSET(Grunddaten!CF11,El_Produkt,0)*((OFFSET(Grunddaten!$AL$11,El_Produkt,0)-OFFSET(Grunddaten!$Q$11,El_Produkt,0))/100*$G64+$E64),-1))</f>
        <v>0</v>
      </c>
      <c r="BF64" s="474">
        <f ca="1">IF($G64=0,0,ROUND(OFFSET(Grunddaten!CG11,El_Produkt,0)*((OFFSET(Grunddaten!$AL$11,El_Produkt,0)-OFFSET(Grunddaten!$Q$11,El_Produkt,0))/100*$G64+$E64),-1))</f>
        <v>0</v>
      </c>
      <c r="BG64" s="474">
        <f ca="1">IF($G64=0,0,ROUND(OFFSET(Grunddaten!CH11,El_Produkt,0)*((OFFSET(Grunddaten!$AL$11,El_Produkt,0)-OFFSET(Grunddaten!$Q$11,El_Produkt,0))/100*$G64+$E64),-1))</f>
        <v>0</v>
      </c>
      <c r="BH64" s="474">
        <f ca="1">IF($G64=0,0,ROUND(OFFSET(Grunddaten!CI11,El_Produkt,0)*((OFFSET(Grunddaten!$AL$11,El_Produkt,0)-OFFSET(Grunddaten!$Q$11,El_Produkt,0))/100*$G64+$E64),-1))</f>
        <v>0</v>
      </c>
      <c r="BI64" s="474">
        <f ca="1">IF($G64=0,0,ROUND(OFFSET(Grunddaten!CJ11,El_Produkt,0)*((OFFSET(Grunddaten!$AL$11,El_Produkt,0)-OFFSET(Grunddaten!$Q$11,El_Produkt,0))/100*$G64+$E64),-1))</f>
        <v>0</v>
      </c>
      <c r="BJ64" s="474">
        <f ca="1">IF($G64=0,0,ROUND(OFFSET(Grunddaten!CK11,El_Produkt,0)*((OFFSET(Grunddaten!$AL$11,El_Produkt,0)-OFFSET(Grunddaten!$Q$11,El_Produkt,0))/100*$G64+$E64),-1))</f>
        <v>0</v>
      </c>
      <c r="BK64" s="474">
        <f ca="1">IF($G64=0,0,ROUND(OFFSET(Grunddaten!CL11,El_Produkt,0)*((OFFSET(Grunddaten!$AL$11,El_Produkt,0)-OFFSET(Grunddaten!$Q$11,El_Produkt,0))/100*$G64+$E64),-1))</f>
        <v>0</v>
      </c>
      <c r="BL64" s="474">
        <f ca="1">IF($G64=0,0,ROUND(OFFSET(Grunddaten!CM11,El_Produkt,0)*((OFFSET(Grunddaten!$AL$11,El_Produkt,0)-OFFSET(Grunddaten!$Q$11,El_Produkt,0))/100*$G64+$E64),-1))</f>
        <v>0</v>
      </c>
      <c r="BM64" s="474">
        <f ca="1">IF($G64=0,0,ROUND(OFFSET(Grunddaten!CN11,El_Produkt,0)*((OFFSET(Grunddaten!$AL$11,El_Produkt,0)-OFFSET(Grunddaten!$Q$11,El_Produkt,0))/100*$G64+$E64),-1))</f>
        <v>0</v>
      </c>
      <c r="BN64" s="474">
        <f ca="1">IF($G64=0,0,ROUND(OFFSET(Grunddaten!CO11,El_Produkt,0)*((OFFSET(Grunddaten!$AL$11,El_Produkt,0)-OFFSET(Grunddaten!$Q$11,El_Produkt,0))/100*$G64+$E64),-1))</f>
        <v>0</v>
      </c>
      <c r="BO64" s="474">
        <f ca="1">IF($G64=0,0,ROUND(OFFSET(Grunddaten!CP11,El_Produkt,0)*((OFFSET(Grunddaten!$AL$11,El_Produkt,0)-OFFSET(Grunddaten!$Q$11,El_Produkt,0))/100*$G64+$E64),-1))</f>
        <v>0</v>
      </c>
      <c r="BP64" s="474">
        <f ca="1">IF($G64=0,0,ROUND(OFFSET(Grunddaten!CQ11,El_Produkt,0)*((OFFSET(Grunddaten!$AL$11,El_Produkt,0)-OFFSET(Grunddaten!$Q$11,El_Produkt,0))/100*$G64+$E64),-1))</f>
        <v>0</v>
      </c>
      <c r="BQ64" s="475">
        <f ca="1">IF($G64=0,0,ROUND(OFFSET(Grunddaten!CR11,El_Produkt,0)*((OFFSET(Grunddaten!$AL$11,El_Produkt,0)-OFFSET(Grunddaten!$Q$11,El_Produkt,0))/100*$G64+$E64),-1))</f>
        <v>0</v>
      </c>
    </row>
    <row r="65" spans="1:69" s="88" customFormat="1" ht="11.25" customHeight="1" x14ac:dyDescent="0.2">
      <c r="A65" s="512" t="s">
        <v>454</v>
      </c>
      <c r="B65" s="1388"/>
      <c r="C65" s="2559">
        <f>1-C64</f>
        <v>0.30000000000000004</v>
      </c>
      <c r="D65" s="2560"/>
      <c r="E65" s="2475">
        <f>IF(G65,E$61*G65/SUM(G$62:G$65),0)</f>
        <v>0</v>
      </c>
      <c r="F65" s="2476"/>
      <c r="G65" s="2470">
        <f>IF(EV_Var3!$E$67&gt;=0,IF(EV_Var3!$E$67&gt;=(EV_Var3!$E$33 + EV_Var3!$E$37),(EV_Var3!$E$33 + EV_Var3!$E$37),EV_Var3!$E$67),0)*C65</f>
        <v>0</v>
      </c>
      <c r="H65" s="2471"/>
      <c r="I65" s="2472"/>
      <c r="J65" s="2555">
        <f ca="1">OFFSET(Grunddaten!$AM$11,El_Produkt,0)-(1-$R$109)*OFFSET(Grunddaten!$Q$11,El_Produkt,0)</f>
        <v>13.916124</v>
      </c>
      <c r="K65" s="2556"/>
      <c r="L65" s="2531">
        <f t="shared" ca="1" si="4"/>
        <v>0</v>
      </c>
      <c r="M65" s="2532"/>
      <c r="N65" s="2533"/>
      <c r="P65" s="2539"/>
      <c r="Q65" s="2537"/>
      <c r="S65" s="429">
        <f ca="1">IF($G65=0,0,ROUND(OFFSET(Grunddaten!AT11,El_Produkt,0)*((OFFSET(Grunddaten!$AM$11,El_Produkt,0)-OFFSET(Grunddaten!$Q$11,El_Produkt,0))/100*$G65+$E65),-1))</f>
        <v>0</v>
      </c>
      <c r="T65" s="430">
        <f ca="1">IF($G65=0,0,ROUND(OFFSET(Grunddaten!AU11,El_Produkt,0)*((OFFSET(Grunddaten!$AM$11,El_Produkt,0)-OFFSET(Grunddaten!$Q$11,El_Produkt,0))/100*$G65+$E65),-1))</f>
        <v>0</v>
      </c>
      <c r="U65" s="430">
        <f ca="1">IF($G65=0,0,ROUND(OFFSET(Grunddaten!AV11,El_Produkt,0)*((OFFSET(Grunddaten!$AM$11,El_Produkt,0)-OFFSET(Grunddaten!$Q$11,El_Produkt,0))/100*$G65+$E65),-1))</f>
        <v>0</v>
      </c>
      <c r="V65" s="430">
        <f ca="1">IF($G65=0,0,ROUND(OFFSET(Grunddaten!AW11,El_Produkt,0)*((OFFSET(Grunddaten!$AM$11,El_Produkt,0)-OFFSET(Grunddaten!$Q$11,El_Produkt,0))/100*$G65+$E65),-1))</f>
        <v>0</v>
      </c>
      <c r="W65" s="430">
        <f ca="1">IF($G65=0,0,ROUND(OFFSET(Grunddaten!AX11,El_Produkt,0)*((OFFSET(Grunddaten!$AM$11,El_Produkt,0)-OFFSET(Grunddaten!$Q$11,El_Produkt,0))/100*$G65+$E65),-1))</f>
        <v>0</v>
      </c>
      <c r="X65" s="430">
        <f ca="1">IF($G65=0,0,ROUND(OFFSET(Grunddaten!AY11,El_Produkt,0)*((OFFSET(Grunddaten!$AM$11,El_Produkt,0)-OFFSET(Grunddaten!$Q$11,El_Produkt,0))/100*$G65+$E65),-1))</f>
        <v>0</v>
      </c>
      <c r="Y65" s="430">
        <f ca="1">IF($G65=0,0,ROUND(OFFSET(Grunddaten!AZ11,El_Produkt,0)*((OFFSET(Grunddaten!$AM$11,El_Produkt,0)-OFFSET(Grunddaten!$Q$11,El_Produkt,0))/100*$G65+$E65),-1))</f>
        <v>0</v>
      </c>
      <c r="Z65" s="430">
        <f ca="1">IF($G65=0,0,ROUND(OFFSET(Grunddaten!BA11,El_Produkt,0)*((OFFSET(Grunddaten!$AM$11,El_Produkt,0)-OFFSET(Grunddaten!$Q$11,El_Produkt,0))/100*$G65+$E65),-1))</f>
        <v>0</v>
      </c>
      <c r="AA65" s="430">
        <f ca="1">IF($G65=0,0,ROUND(OFFSET(Grunddaten!BB11,El_Produkt,0)*((OFFSET(Grunddaten!$AM$11,El_Produkt,0)-OFFSET(Grunddaten!$Q$11,El_Produkt,0))/100*$G65+$E65),-1))</f>
        <v>0</v>
      </c>
      <c r="AB65" s="476">
        <f ca="1">IF($G65=0,0,ROUND(OFFSET(Grunddaten!BC11,El_Produkt,0)*((OFFSET(Grunddaten!$AM$11,El_Produkt,0)-OFFSET(Grunddaten!$Q$11,El_Produkt,0))/100*$G65+$E65),-1))</f>
        <v>0</v>
      </c>
      <c r="AC65" s="476">
        <f ca="1">IF($G65=0,0,ROUND(OFFSET(Grunddaten!BD11,El_Produkt,0)*((OFFSET(Grunddaten!$AM$11,El_Produkt,0)-OFFSET(Grunddaten!$Q$11,El_Produkt,0))/100*$G65+$E65),-1))</f>
        <v>0</v>
      </c>
      <c r="AD65" s="476">
        <f ca="1">IF($G65=0,0,ROUND(OFFSET(Grunddaten!BE11,El_Produkt,0)*((OFFSET(Grunddaten!$AM$11,El_Produkt,0)-OFFSET(Grunddaten!$Q$11,El_Produkt,0))/100*$G65+$E65),-1))</f>
        <v>0</v>
      </c>
      <c r="AE65" s="476">
        <f ca="1">IF($G65=0,0,ROUND(OFFSET(Grunddaten!BF11,El_Produkt,0)*((OFFSET(Grunddaten!$AM$11,El_Produkt,0)-OFFSET(Grunddaten!$Q$11,El_Produkt,0))/100*$G65+$E65),-1))</f>
        <v>0</v>
      </c>
      <c r="AF65" s="476">
        <f ca="1">IF($G65=0,0,ROUND(OFFSET(Grunddaten!BG11,El_Produkt,0)*((OFFSET(Grunddaten!$AM$11,El_Produkt,0)-OFFSET(Grunddaten!$Q$11,El_Produkt,0))/100*$G65+$E65),-1))</f>
        <v>0</v>
      </c>
      <c r="AG65" s="476">
        <f ca="1">IF($G65=0,0,ROUND(OFFSET(Grunddaten!BH11,El_Produkt,0)*((OFFSET(Grunddaten!$AM$11,El_Produkt,0)-OFFSET(Grunddaten!$Q$11,El_Produkt,0))/100*$G65+$E65),-1))</f>
        <v>0</v>
      </c>
      <c r="AH65" s="477">
        <f ca="1">IF($G65=0,0,ROUND(OFFSET(Grunddaten!BI11,El_Produkt,0)*((OFFSET(Grunddaten!$AM$11,El_Produkt,0)-OFFSET(Grunddaten!$Q$11,El_Produkt,0))/100*$G65+$E65),-1))</f>
        <v>0</v>
      </c>
      <c r="AI65" s="477">
        <f ca="1">IF($G65=0,0,ROUND(OFFSET(Grunddaten!BJ11,El_Produkt,0)*((OFFSET(Grunddaten!$AM$11,El_Produkt,0)-OFFSET(Grunddaten!$Q$11,El_Produkt,0))/100*$G65+$E65),-1))</f>
        <v>0</v>
      </c>
      <c r="AJ65" s="477">
        <f ca="1">IF($G65=0,0,ROUND(OFFSET(Grunddaten!BK11,El_Produkt,0)*((OFFSET(Grunddaten!$AM$11,El_Produkt,0)-OFFSET(Grunddaten!$Q$11,El_Produkt,0))/100*$G65+$E65),-1))</f>
        <v>0</v>
      </c>
      <c r="AK65" s="477">
        <f ca="1">IF($G65=0,0,ROUND(OFFSET(Grunddaten!BL11,El_Produkt,0)*((OFFSET(Grunddaten!$AM$11,El_Produkt,0)-OFFSET(Grunddaten!$Q$11,El_Produkt,0))/100*$G65+$E65),-1))</f>
        <v>0</v>
      </c>
      <c r="AL65" s="477">
        <f ca="1">IF($G65=0,0,ROUND(OFFSET(Grunddaten!BM11,El_Produkt,0)*((OFFSET(Grunddaten!$AM$11,El_Produkt,0)-OFFSET(Grunddaten!$Q$11,El_Produkt,0))/100*$G65+$E65),-1))</f>
        <v>0</v>
      </c>
      <c r="AM65" s="477">
        <f ca="1">IF($G65=0,0,ROUND(OFFSET(Grunddaten!BN11,El_Produkt,0)*((OFFSET(Grunddaten!$AM$11,El_Produkt,0)-OFFSET(Grunddaten!$Q$11,El_Produkt,0))/100*$G65+$E65),-1))</f>
        <v>0</v>
      </c>
      <c r="AN65" s="477">
        <f ca="1">IF($G65=0,0,ROUND(OFFSET(Grunddaten!BO11,El_Produkt,0)*((OFFSET(Grunddaten!$AM$11,El_Produkt,0)-OFFSET(Grunddaten!$Q$11,El_Produkt,0))/100*$G65+$E65),-1))</f>
        <v>0</v>
      </c>
      <c r="AO65" s="477">
        <f ca="1">IF($G65=0,0,ROUND(OFFSET(Grunddaten!BP11,El_Produkt,0)*((OFFSET(Grunddaten!$AM$11,El_Produkt,0)-OFFSET(Grunddaten!$Q$11,El_Produkt,0))/100*$G65+$E65),-1))</f>
        <v>0</v>
      </c>
      <c r="AP65" s="477">
        <f ca="1">IF($G65=0,0,ROUND(OFFSET(Grunddaten!BQ11,El_Produkt,0)*((OFFSET(Grunddaten!$AM$11,El_Produkt,0)-OFFSET(Grunddaten!$Q$11,El_Produkt,0))/100*$G65+$E65),-1))</f>
        <v>0</v>
      </c>
      <c r="AQ65" s="477">
        <f ca="1">IF($G65=0,0,ROUND(OFFSET(Grunddaten!BR11,El_Produkt,0)*((OFFSET(Grunddaten!$AM$11,El_Produkt,0)-OFFSET(Grunddaten!$Q$11,El_Produkt,0))/100*$G65+$E65),-1))</f>
        <v>0</v>
      </c>
      <c r="AR65" s="477">
        <f ca="1">IF($G65=0,0,ROUND(OFFSET(Grunddaten!BS11,El_Produkt,0)*((OFFSET(Grunddaten!$AM$11,El_Produkt,0)-OFFSET(Grunddaten!$Q$11,El_Produkt,0))/100*$G65+$E65),-1))</f>
        <v>0</v>
      </c>
      <c r="AS65" s="477">
        <f ca="1">IF($G65=0,0,ROUND(OFFSET(Grunddaten!BT11,El_Produkt,0)*((OFFSET(Grunddaten!$AM$11,El_Produkt,0)-OFFSET(Grunddaten!$Q$11,El_Produkt,0))/100*$G65+$E65),-1))</f>
        <v>0</v>
      </c>
      <c r="AT65" s="477">
        <f ca="1">IF($G65=0,0,ROUND(OFFSET(Grunddaten!BU11,El_Produkt,0)*((OFFSET(Grunddaten!$AM$11,El_Produkt,0)-OFFSET(Grunddaten!$Q$11,El_Produkt,0))/100*$G65+$E65),-1))</f>
        <v>0</v>
      </c>
      <c r="AU65" s="477">
        <f ca="1">IF($G65=0,0,ROUND(OFFSET(Grunddaten!BV11,El_Produkt,0)*((OFFSET(Grunddaten!$AM$11,El_Produkt,0)-OFFSET(Grunddaten!$Q$11,El_Produkt,0))/100*$G65+$E65),-1))</f>
        <v>0</v>
      </c>
      <c r="AV65" s="477">
        <f ca="1">IF($G65=0,0,ROUND(OFFSET(Grunddaten!BW11,El_Produkt,0)*((OFFSET(Grunddaten!$AM$11,El_Produkt,0)-OFFSET(Grunddaten!$Q$11,El_Produkt,0))/100*$G65+$E65),-1))</f>
        <v>0</v>
      </c>
      <c r="AW65" s="477">
        <f ca="1">IF($G65=0,0,ROUND(OFFSET(Grunddaten!BX11,El_Produkt,0)*((OFFSET(Grunddaten!$AM$11,El_Produkt,0)-OFFSET(Grunddaten!$Q$11,El_Produkt,0))/100*$G65+$E65),-1))</f>
        <v>0</v>
      </c>
      <c r="AX65" s="477">
        <f ca="1">IF($G65=0,0,ROUND(OFFSET(Grunddaten!BY11,El_Produkt,0)*((OFFSET(Grunddaten!$AM$11,El_Produkt,0)-OFFSET(Grunddaten!$Q$11,El_Produkt,0))/100*$G65+$E65),-1))</f>
        <v>0</v>
      </c>
      <c r="AY65" s="477">
        <f ca="1">IF($G65=0,0,ROUND(OFFSET(Grunddaten!BZ11,El_Produkt,0)*((OFFSET(Grunddaten!$AM$11,El_Produkt,0)-OFFSET(Grunddaten!$Q$11,El_Produkt,0))/100*$G65+$E65),-1))</f>
        <v>0</v>
      </c>
      <c r="AZ65" s="477">
        <f ca="1">IF($G65=0,0,ROUND(OFFSET(Grunddaten!CA11,El_Produkt,0)*((OFFSET(Grunddaten!$AM$11,El_Produkt,0)-OFFSET(Grunddaten!$Q$11,El_Produkt,0))/100*$G65+$E65),-1))</f>
        <v>0</v>
      </c>
      <c r="BA65" s="477">
        <f ca="1">IF($G65=0,0,ROUND(OFFSET(Grunddaten!CB11,El_Produkt,0)*((OFFSET(Grunddaten!$AM$11,El_Produkt,0)-OFFSET(Grunddaten!$Q$11,El_Produkt,0))/100*$G65+$E65),-1))</f>
        <v>0</v>
      </c>
      <c r="BB65" s="477">
        <f ca="1">IF($G65=0,0,ROUND(OFFSET(Grunddaten!CC11,El_Produkt,0)*((OFFSET(Grunddaten!$AM$11,El_Produkt,0)-OFFSET(Grunddaten!$Q$11,El_Produkt,0))/100*$G65+$E65),-1))</f>
        <v>0</v>
      </c>
      <c r="BC65" s="477">
        <f ca="1">IF($G65=0,0,ROUND(OFFSET(Grunddaten!CD11,El_Produkt,0)*((OFFSET(Grunddaten!$AM$11,El_Produkt,0)-OFFSET(Grunddaten!$Q$11,El_Produkt,0))/100*$G65+$E65),-1))</f>
        <v>0</v>
      </c>
      <c r="BD65" s="477">
        <f ca="1">IF($G65=0,0,ROUND(OFFSET(Grunddaten!CE11,El_Produkt,0)*((OFFSET(Grunddaten!$AM$11,El_Produkt,0)-OFFSET(Grunddaten!$Q$11,El_Produkt,0))/100*$G65+$E65),-1))</f>
        <v>0</v>
      </c>
      <c r="BE65" s="477">
        <f ca="1">IF($G65=0,0,ROUND(OFFSET(Grunddaten!CF11,El_Produkt,0)*((OFFSET(Grunddaten!$AM$11,El_Produkt,0)-OFFSET(Grunddaten!$Q$11,El_Produkt,0))/100*$G65+$E65),-1))</f>
        <v>0</v>
      </c>
      <c r="BF65" s="477">
        <f ca="1">IF($G65=0,0,ROUND(OFFSET(Grunddaten!CG11,El_Produkt,0)*((OFFSET(Grunddaten!$AM$11,El_Produkt,0)-OFFSET(Grunddaten!$Q$11,El_Produkt,0))/100*$G65+$E65),-1))</f>
        <v>0</v>
      </c>
      <c r="BG65" s="477">
        <f ca="1">IF($G65=0,0,ROUND(OFFSET(Grunddaten!CH11,El_Produkt,0)*((OFFSET(Grunddaten!$AM$11,El_Produkt,0)-OFFSET(Grunddaten!$Q$11,El_Produkt,0))/100*$G65+$E65),-1))</f>
        <v>0</v>
      </c>
      <c r="BH65" s="477">
        <f ca="1">IF($G65=0,0,ROUND(OFFSET(Grunddaten!CI11,El_Produkt,0)*((OFFSET(Grunddaten!$AM$11,El_Produkt,0)-OFFSET(Grunddaten!$Q$11,El_Produkt,0))/100*$G65+$E65),-1))</f>
        <v>0</v>
      </c>
      <c r="BI65" s="477">
        <f ca="1">IF($G65=0,0,ROUND(OFFSET(Grunddaten!CJ11,El_Produkt,0)*((OFFSET(Grunddaten!$AM$11,El_Produkt,0)-OFFSET(Grunddaten!$Q$11,El_Produkt,0))/100*$G65+$E65),-1))</f>
        <v>0</v>
      </c>
      <c r="BJ65" s="477">
        <f ca="1">IF($G65=0,0,ROUND(OFFSET(Grunddaten!CK11,El_Produkt,0)*((OFFSET(Grunddaten!$AM$11,El_Produkt,0)-OFFSET(Grunddaten!$Q$11,El_Produkt,0))/100*$G65+$E65),-1))</f>
        <v>0</v>
      </c>
      <c r="BK65" s="477">
        <f ca="1">IF($G65=0,0,ROUND(OFFSET(Grunddaten!CL11,El_Produkt,0)*((OFFSET(Grunddaten!$AM$11,El_Produkt,0)-OFFSET(Grunddaten!$Q$11,El_Produkt,0))/100*$G65+$E65),-1))</f>
        <v>0</v>
      </c>
      <c r="BL65" s="477">
        <f ca="1">IF($G65=0,0,ROUND(OFFSET(Grunddaten!CM11,El_Produkt,0)*((OFFSET(Grunddaten!$AM$11,El_Produkt,0)-OFFSET(Grunddaten!$Q$11,El_Produkt,0))/100*$G65+$E65),-1))</f>
        <v>0</v>
      </c>
      <c r="BM65" s="477">
        <f ca="1">IF($G65=0,0,ROUND(OFFSET(Grunddaten!CN11,El_Produkt,0)*((OFFSET(Grunddaten!$AM$11,El_Produkt,0)-OFFSET(Grunddaten!$Q$11,El_Produkt,0))/100*$G65+$E65),-1))</f>
        <v>0</v>
      </c>
      <c r="BN65" s="477">
        <f ca="1">IF($G65=0,0,ROUND(OFFSET(Grunddaten!CO11,El_Produkt,0)*((OFFSET(Grunddaten!$AM$11,El_Produkt,0)-OFFSET(Grunddaten!$Q$11,El_Produkt,0))/100*$G65+$E65),-1))</f>
        <v>0</v>
      </c>
      <c r="BO65" s="477">
        <f ca="1">IF($G65=0,0,ROUND(OFFSET(Grunddaten!CP11,El_Produkt,0)*((OFFSET(Grunddaten!$AM$11,El_Produkt,0)-OFFSET(Grunddaten!$Q$11,El_Produkt,0))/100*$G65+$E65),-1))</f>
        <v>0</v>
      </c>
      <c r="BP65" s="477">
        <f ca="1">IF($G65=0,0,ROUND(OFFSET(Grunddaten!CQ11,El_Produkt,0)*((OFFSET(Grunddaten!$AM$11,El_Produkt,0)-OFFSET(Grunddaten!$Q$11,El_Produkt,0))/100*$G65+$E65),-1))</f>
        <v>0</v>
      </c>
      <c r="BQ65" s="478">
        <f ca="1">IF($G65=0,0,ROUND(OFFSET(Grunddaten!CR11,El_Produkt,0)*((OFFSET(Grunddaten!$AM$11,El_Produkt,0)-OFFSET(Grunddaten!$Q$11,El_Produkt,0))/100*$G65+$E65),-1))</f>
        <v>0</v>
      </c>
    </row>
    <row r="66" spans="1:69" s="88" customFormat="1" ht="11.25" customHeight="1" x14ac:dyDescent="0.2">
      <c r="A66" s="511" t="s">
        <v>627</v>
      </c>
      <c r="B66" s="1387"/>
      <c r="C66" s="2557">
        <v>0.9</v>
      </c>
      <c r="D66" s="2558"/>
      <c r="E66" s="2473"/>
      <c r="F66" s="2474"/>
      <c r="G66" s="2463">
        <f>-Berechnungen!$F$55*C66</f>
        <v>0</v>
      </c>
      <c r="H66" s="2464"/>
      <c r="I66" s="2465"/>
      <c r="J66" s="2551">
        <f>Grunddaten!$S$29-(1-$R$109)*Grunddaten!$Q$29</f>
        <v>8.5</v>
      </c>
      <c r="K66" s="2552"/>
      <c r="L66" s="2525">
        <f t="shared" si="4"/>
        <v>0</v>
      </c>
      <c r="M66" s="2526"/>
      <c r="N66" s="2527"/>
      <c r="S66" s="427">
        <f ca="1">ROUND(Grunddaten!AT29*((Grunddaten!$S29-Grunddaten!$Q29)/100*$G66+$E66),-1)</f>
        <v>0</v>
      </c>
      <c r="T66" s="428">
        <f ca="1">ROUND(Grunddaten!AU29*((Grunddaten!$S29-Grunddaten!$Q29)/100*$G66+$E66),-1)</f>
        <v>0</v>
      </c>
      <c r="U66" s="428">
        <f ca="1">ROUND(Grunddaten!AV29*((Grunddaten!$S29-Grunddaten!$Q29)/100*$G66+$E66),-1)</f>
        <v>0</v>
      </c>
      <c r="V66" s="428">
        <f ca="1">ROUND(Grunddaten!AW29*((Grunddaten!$S29-Grunddaten!$Q29)/100*$G66+$E66),-1)</f>
        <v>0</v>
      </c>
      <c r="W66" s="428">
        <f ca="1">ROUND(Grunddaten!AX29*((Grunddaten!$S29-Grunddaten!$Q29)/100*$G66+$E66),-1)</f>
        <v>0</v>
      </c>
      <c r="X66" s="428">
        <f ca="1">ROUND(Grunddaten!AY29*((Grunddaten!$S29-Grunddaten!$Q29)/100*$G66+$E66),-1)</f>
        <v>0</v>
      </c>
      <c r="Y66" s="428">
        <f ca="1">ROUND(Grunddaten!AZ29*((Grunddaten!$S29-Grunddaten!$Q29)/100*$G66+$E66),-1)</f>
        <v>0</v>
      </c>
      <c r="Z66" s="428">
        <f ca="1">ROUND(Grunddaten!BA29*((Grunddaten!$S29-Grunddaten!$Q29)/100*$G66+$E66),-1)</f>
        <v>0</v>
      </c>
      <c r="AA66" s="428">
        <f ca="1">ROUND(Grunddaten!BB29*((Grunddaten!$S29-Grunddaten!$Q29)/100*$G66+$E66),-1)</f>
        <v>0</v>
      </c>
      <c r="AB66" s="473">
        <f ca="1">ROUND(Grunddaten!BC29*((Grunddaten!$S29-Grunddaten!$Q29)/100*$G66+$E66),-1)</f>
        <v>0</v>
      </c>
      <c r="AC66" s="473">
        <f ca="1">ROUND(Grunddaten!BD29*((Grunddaten!$S29-Grunddaten!$Q29)/100*$G66+$E66),-1)</f>
        <v>0</v>
      </c>
      <c r="AD66" s="473">
        <f ca="1">ROUND(Grunddaten!BE29*((Grunddaten!$S29-Grunddaten!$Q29)/100*$G66+$E66),-1)</f>
        <v>0</v>
      </c>
      <c r="AE66" s="473">
        <f ca="1">ROUND(Grunddaten!BF29*((Grunddaten!$S29-Grunddaten!$Q29)/100*$G66+$E66),-1)</f>
        <v>0</v>
      </c>
      <c r="AF66" s="473">
        <f ca="1">ROUND(Grunddaten!BG29*((Grunddaten!$S29-Grunddaten!$Q29)/100*$G66+$E66),-1)</f>
        <v>0</v>
      </c>
      <c r="AG66" s="473">
        <f ca="1">ROUND(Grunddaten!BH29*((Grunddaten!$S29-Grunddaten!$Q29)/100*$G66+$E66),-1)</f>
        <v>0</v>
      </c>
      <c r="AH66" s="474">
        <f ca="1">ROUND(Grunddaten!BI29*((Grunddaten!$S29-Grunddaten!$Q29)/100*$G66+$E66),-1)</f>
        <v>0</v>
      </c>
      <c r="AI66" s="474">
        <f ca="1">ROUND(Grunddaten!BJ29*((Grunddaten!$S29-Grunddaten!$Q29)/100*$G66+$E66),-1)</f>
        <v>0</v>
      </c>
      <c r="AJ66" s="474">
        <f ca="1">ROUND(Grunddaten!BK29*((Grunddaten!$S29-Grunddaten!$Q29)/100*$G66+$E66),-1)</f>
        <v>0</v>
      </c>
      <c r="AK66" s="474">
        <f ca="1">ROUND(Grunddaten!BL29*((Grunddaten!$S29-Grunddaten!$Q29)/100*$G66+$E66),-1)</f>
        <v>0</v>
      </c>
      <c r="AL66" s="474">
        <f ca="1">ROUND(Grunddaten!BM29*((Grunddaten!$S29-Grunddaten!$Q29)/100*$G66+$E66),-1)</f>
        <v>0</v>
      </c>
      <c r="AM66" s="474">
        <f ca="1">ROUND(Grunddaten!BN29*((Grunddaten!$S29-Grunddaten!$Q29)/100*$G66+$E66),-1)</f>
        <v>0</v>
      </c>
      <c r="AN66" s="474">
        <f ca="1">ROUND(Grunddaten!BO29*((Grunddaten!$S29-Grunddaten!$Q29)/100*$G66+$E66),-1)</f>
        <v>0</v>
      </c>
      <c r="AO66" s="474">
        <f ca="1">ROUND(Grunddaten!BP29*((Grunddaten!$S29-Grunddaten!$Q29)/100*$G66+$E66),-1)</f>
        <v>0</v>
      </c>
      <c r="AP66" s="474">
        <f ca="1">ROUND(Grunddaten!BQ29*((Grunddaten!$S29-Grunddaten!$Q29)/100*$G66+$E66),-1)</f>
        <v>0</v>
      </c>
      <c r="AQ66" s="474">
        <f ca="1">ROUND(Grunddaten!BR29*((Grunddaten!$S29-Grunddaten!$Q29)/100*$G66+$E66),-1)</f>
        <v>0</v>
      </c>
      <c r="AR66" s="474">
        <f ca="1">ROUND(Grunddaten!BS29*((Grunddaten!$S29-Grunddaten!$Q29)/100*$G66+$E66),-1)</f>
        <v>0</v>
      </c>
      <c r="AS66" s="474">
        <f ca="1">ROUND(Grunddaten!BT29*((Grunddaten!$S29-Grunddaten!$Q29)/100*$G66+$E66),-1)</f>
        <v>0</v>
      </c>
      <c r="AT66" s="474">
        <f ca="1">ROUND(Grunddaten!BU29*((Grunddaten!$S29-Grunddaten!$Q29)/100*$G66+$E66),-1)</f>
        <v>0</v>
      </c>
      <c r="AU66" s="474">
        <f ca="1">ROUND(Grunddaten!BV29*((Grunddaten!$S29-Grunddaten!$Q29)/100*$G66+$E66),-1)</f>
        <v>0</v>
      </c>
      <c r="AV66" s="474">
        <f ca="1">ROUND(Grunddaten!BW29*((Grunddaten!$S29-Grunddaten!$Q29)/100*$G66+$E66),-1)</f>
        <v>0</v>
      </c>
      <c r="AW66" s="474">
        <f ca="1">ROUND(Grunddaten!BX29*((Grunddaten!$S29-Grunddaten!$Q29)/100*$G66+$E66),-1)</f>
        <v>0</v>
      </c>
      <c r="AX66" s="474">
        <f ca="1">ROUND(Grunddaten!BY29*((Grunddaten!$S29-Grunddaten!$Q29)/100*$G66+$E66),-1)</f>
        <v>0</v>
      </c>
      <c r="AY66" s="474">
        <f ca="1">ROUND(Grunddaten!BZ29*((Grunddaten!$S29-Grunddaten!$Q29)/100*$G66+$E66),-1)</f>
        <v>0</v>
      </c>
      <c r="AZ66" s="474">
        <f ca="1">ROUND(Grunddaten!CA29*((Grunddaten!$S29-Grunddaten!$Q29)/100*$G66+$E66),-1)</f>
        <v>0</v>
      </c>
      <c r="BA66" s="474">
        <f ca="1">ROUND(Grunddaten!CB29*((Grunddaten!$S29-Grunddaten!$Q29)/100*$G66+$E66),-1)</f>
        <v>0</v>
      </c>
      <c r="BB66" s="474">
        <f ca="1">ROUND(Grunddaten!CC29*((Grunddaten!$S29-Grunddaten!$Q29)/100*$G66+$E66),-1)</f>
        <v>0</v>
      </c>
      <c r="BC66" s="474">
        <f ca="1">ROUND(Grunddaten!CD29*((Grunddaten!$S29-Grunddaten!$Q29)/100*$G66+$E66),-1)</f>
        <v>0</v>
      </c>
      <c r="BD66" s="474">
        <f ca="1">ROUND(Grunddaten!CE29*((Grunddaten!$S29-Grunddaten!$Q29)/100*$G66+$E66),-1)</f>
        <v>0</v>
      </c>
      <c r="BE66" s="474">
        <f ca="1">ROUND(Grunddaten!CF29*((Grunddaten!$S29-Grunddaten!$Q29)/100*$G66+$E66),-1)</f>
        <v>0</v>
      </c>
      <c r="BF66" s="474">
        <f ca="1">ROUND(Grunddaten!CG29*((Grunddaten!$S29-Grunddaten!$Q29)/100*$G66+$E66),-1)</f>
        <v>0</v>
      </c>
      <c r="BG66" s="474">
        <f ca="1">ROUND(Grunddaten!CH29*((Grunddaten!$S29-Grunddaten!$Q29)/100*$G66+$E66),-1)</f>
        <v>0</v>
      </c>
      <c r="BH66" s="474">
        <f ca="1">ROUND(Grunddaten!CI29*((Grunddaten!$S29-Grunddaten!$Q29)/100*$G66+$E66),-1)</f>
        <v>0</v>
      </c>
      <c r="BI66" s="474">
        <f ca="1">ROUND(Grunddaten!CJ29*((Grunddaten!$S29-Grunddaten!$Q29)/100*$G66+$E66),-1)</f>
        <v>0</v>
      </c>
      <c r="BJ66" s="474">
        <f ca="1">ROUND(Grunddaten!CK29*((Grunddaten!$S29-Grunddaten!$Q29)/100*$G66+$E66),-1)</f>
        <v>0</v>
      </c>
      <c r="BK66" s="474">
        <f ca="1">ROUND(Grunddaten!CL29*((Grunddaten!$S29-Grunddaten!$Q29)/100*$G66+$E66),-1)</f>
        <v>0</v>
      </c>
      <c r="BL66" s="474">
        <f ca="1">ROUND(Grunddaten!CM29*((Grunddaten!$S29-Grunddaten!$Q29)/100*$G66+$E66),-1)</f>
        <v>0</v>
      </c>
      <c r="BM66" s="474">
        <f ca="1">ROUND(Grunddaten!CN29*((Grunddaten!$S29-Grunddaten!$Q29)/100*$G66+$E66),-1)</f>
        <v>0</v>
      </c>
      <c r="BN66" s="474">
        <f ca="1">ROUND(Grunddaten!CO29*((Grunddaten!$S29-Grunddaten!$Q29)/100*$G66+$E66),-1)</f>
        <v>0</v>
      </c>
      <c r="BO66" s="474">
        <f ca="1">ROUND(Grunddaten!CP29*((Grunddaten!$S29-Grunddaten!$Q29)/100*$G66+$E66),-1)</f>
        <v>0</v>
      </c>
      <c r="BP66" s="474">
        <f ca="1">ROUND(Grunddaten!CQ29*((Grunddaten!$S29-Grunddaten!$Q29)/100*$G66+$E66),-1)</f>
        <v>0</v>
      </c>
      <c r="BQ66" s="475">
        <f ca="1">ROUND(Grunddaten!CR29*((Grunddaten!$S29-Grunddaten!$Q29)/100*$G66+$E66),-1)</f>
        <v>0</v>
      </c>
    </row>
    <row r="67" spans="1:69" s="88" customFormat="1" ht="11.25" customHeight="1" x14ac:dyDescent="0.2">
      <c r="A67" s="512" t="s">
        <v>628</v>
      </c>
      <c r="B67" s="1388"/>
      <c r="C67" s="2559">
        <f>1-C66</f>
        <v>9.9999999999999978E-2</v>
      </c>
      <c r="D67" s="2560"/>
      <c r="E67" s="2475"/>
      <c r="F67" s="2476"/>
      <c r="G67" s="2470">
        <f>-Berechnungen!$F$55*C67</f>
        <v>0</v>
      </c>
      <c r="H67" s="2471"/>
      <c r="I67" s="2472"/>
      <c r="J67" s="2555">
        <f>Grunddaten!$S$30-(1-$R$109)*Grunddaten!$Q$29</f>
        <v>4.45</v>
      </c>
      <c r="K67" s="2556"/>
      <c r="L67" s="2531">
        <f t="shared" si="4"/>
        <v>0</v>
      </c>
      <c r="M67" s="2532"/>
      <c r="N67" s="2533"/>
      <c r="P67" s="268"/>
      <c r="Q67" s="268"/>
      <c r="S67" s="429">
        <f ca="1">ROUND(Grunddaten!AT30*((Grunddaten!$S30-Grunddaten!$Q29)/100*$G67+$E67),-1)</f>
        <v>0</v>
      </c>
      <c r="T67" s="430">
        <f ca="1">ROUND(Grunddaten!AU30*((Grunddaten!$S30-Grunddaten!$Q29)/100*$G67+$E67),-1)</f>
        <v>0</v>
      </c>
      <c r="U67" s="430">
        <f ca="1">ROUND(Grunddaten!AV30*((Grunddaten!$S30-Grunddaten!$Q29)/100*$G67+$E67),-1)</f>
        <v>0</v>
      </c>
      <c r="V67" s="430">
        <f ca="1">ROUND(Grunddaten!AW30*((Grunddaten!$S30-Grunddaten!$Q29)/100*$G67+$E67),-1)</f>
        <v>0</v>
      </c>
      <c r="W67" s="430">
        <f ca="1">ROUND(Grunddaten!AX30*((Grunddaten!$S30-Grunddaten!$Q29)/100*$G67+$E67),-1)</f>
        <v>0</v>
      </c>
      <c r="X67" s="430">
        <f ca="1">ROUND(Grunddaten!AY30*((Grunddaten!$S30-Grunddaten!$Q29)/100*$G67+$E67),-1)</f>
        <v>0</v>
      </c>
      <c r="Y67" s="430">
        <f ca="1">ROUND(Grunddaten!AZ30*((Grunddaten!$S30-Grunddaten!$Q29)/100*$G67+$E67),-1)</f>
        <v>0</v>
      </c>
      <c r="Z67" s="430">
        <f ca="1">ROUND(Grunddaten!BA30*((Grunddaten!$S30-Grunddaten!$Q29)/100*$G67+$E67),-1)</f>
        <v>0</v>
      </c>
      <c r="AA67" s="430">
        <f ca="1">ROUND(Grunddaten!BB30*((Grunddaten!$S30-Grunddaten!$Q29)/100*$G67+$E67),-1)</f>
        <v>0</v>
      </c>
      <c r="AB67" s="476">
        <f ca="1">ROUND(Grunddaten!BC30*((Grunddaten!$S30-Grunddaten!$Q29)/100*$G67+$E67),-1)</f>
        <v>0</v>
      </c>
      <c r="AC67" s="476">
        <f ca="1">ROUND(Grunddaten!BD30*((Grunddaten!$S30-Grunddaten!$Q29)/100*$G67+$E67),-1)</f>
        <v>0</v>
      </c>
      <c r="AD67" s="476">
        <f ca="1">ROUND(Grunddaten!BE30*((Grunddaten!$S30-Grunddaten!$Q29)/100*$G67+$E67),-1)</f>
        <v>0</v>
      </c>
      <c r="AE67" s="476">
        <f ca="1">ROUND(Grunddaten!BF30*((Grunddaten!$S30-Grunddaten!$Q29)/100*$G67+$E67),-1)</f>
        <v>0</v>
      </c>
      <c r="AF67" s="476">
        <f ca="1">ROUND(Grunddaten!BG30*((Grunddaten!$S30-Grunddaten!$Q29)/100*$G67+$E67),-1)</f>
        <v>0</v>
      </c>
      <c r="AG67" s="476">
        <f ca="1">ROUND(Grunddaten!BH30*((Grunddaten!$S30-Grunddaten!$Q29)/100*$G67+$E67),-1)</f>
        <v>0</v>
      </c>
      <c r="AH67" s="477">
        <f ca="1">ROUND(Grunddaten!BI30*((Grunddaten!$S30-Grunddaten!$Q29)/100*$G67+$E67),-1)</f>
        <v>0</v>
      </c>
      <c r="AI67" s="477">
        <f ca="1">ROUND(Grunddaten!BJ30*((Grunddaten!$S30-Grunddaten!$Q29)/100*$G67+$E67),-1)</f>
        <v>0</v>
      </c>
      <c r="AJ67" s="477">
        <f ca="1">ROUND(Grunddaten!BK30*((Grunddaten!$S30-Grunddaten!$Q29)/100*$G67+$E67),-1)</f>
        <v>0</v>
      </c>
      <c r="AK67" s="477">
        <f ca="1">ROUND(Grunddaten!BL30*((Grunddaten!$S30-Grunddaten!$Q29)/100*$G67+$E67),-1)</f>
        <v>0</v>
      </c>
      <c r="AL67" s="477">
        <f ca="1">ROUND(Grunddaten!BM30*((Grunddaten!$S30-Grunddaten!$Q29)/100*$G67+$E67),-1)</f>
        <v>0</v>
      </c>
      <c r="AM67" s="477">
        <f ca="1">ROUND(Grunddaten!BN30*((Grunddaten!$S30-Grunddaten!$Q29)/100*$G67+$E67),-1)</f>
        <v>0</v>
      </c>
      <c r="AN67" s="477">
        <f ca="1">ROUND(Grunddaten!BO30*((Grunddaten!$S30-Grunddaten!$Q29)/100*$G67+$E67),-1)</f>
        <v>0</v>
      </c>
      <c r="AO67" s="477">
        <f ca="1">ROUND(Grunddaten!BP30*((Grunddaten!$S30-Grunddaten!$Q29)/100*$G67+$E67),-1)</f>
        <v>0</v>
      </c>
      <c r="AP67" s="477">
        <f ca="1">ROUND(Grunddaten!BQ30*((Grunddaten!$S30-Grunddaten!$Q29)/100*$G67+$E67),-1)</f>
        <v>0</v>
      </c>
      <c r="AQ67" s="477">
        <f ca="1">ROUND(Grunddaten!BR30*((Grunddaten!$S30-Grunddaten!$Q29)/100*$G67+$E67),-1)</f>
        <v>0</v>
      </c>
      <c r="AR67" s="477">
        <f ca="1">ROUND(Grunddaten!BS30*((Grunddaten!$S30-Grunddaten!$Q29)/100*$G67+$E67),-1)</f>
        <v>0</v>
      </c>
      <c r="AS67" s="477">
        <f ca="1">ROUND(Grunddaten!BT30*((Grunddaten!$S30-Grunddaten!$Q29)/100*$G67+$E67),-1)</f>
        <v>0</v>
      </c>
      <c r="AT67" s="477">
        <f ca="1">ROUND(Grunddaten!BU30*((Grunddaten!$S30-Grunddaten!$Q29)/100*$G67+$E67),-1)</f>
        <v>0</v>
      </c>
      <c r="AU67" s="477">
        <f ca="1">ROUND(Grunddaten!BV30*((Grunddaten!$S30-Grunddaten!$Q29)/100*$G67+$E67),-1)</f>
        <v>0</v>
      </c>
      <c r="AV67" s="477">
        <f ca="1">ROUND(Grunddaten!BW30*((Grunddaten!$S30-Grunddaten!$Q29)/100*$G67+$E67),-1)</f>
        <v>0</v>
      </c>
      <c r="AW67" s="477">
        <f ca="1">ROUND(Grunddaten!BX30*((Grunddaten!$S30-Grunddaten!$Q29)/100*$G67+$E67),-1)</f>
        <v>0</v>
      </c>
      <c r="AX67" s="477">
        <f ca="1">ROUND(Grunddaten!BY30*((Grunddaten!$S30-Grunddaten!$Q29)/100*$G67+$E67),-1)</f>
        <v>0</v>
      </c>
      <c r="AY67" s="477">
        <f ca="1">ROUND(Grunddaten!BZ30*((Grunddaten!$S30-Grunddaten!$Q29)/100*$G67+$E67),-1)</f>
        <v>0</v>
      </c>
      <c r="AZ67" s="477">
        <f ca="1">ROUND(Grunddaten!CA30*((Grunddaten!$S30-Grunddaten!$Q29)/100*$G67+$E67),-1)</f>
        <v>0</v>
      </c>
      <c r="BA67" s="477">
        <f ca="1">ROUND(Grunddaten!CB30*((Grunddaten!$S30-Grunddaten!$Q29)/100*$G67+$E67),-1)</f>
        <v>0</v>
      </c>
      <c r="BB67" s="477">
        <f ca="1">ROUND(Grunddaten!CC30*((Grunddaten!$S30-Grunddaten!$Q29)/100*$G67+$E67),-1)</f>
        <v>0</v>
      </c>
      <c r="BC67" s="477">
        <f ca="1">ROUND(Grunddaten!CD30*((Grunddaten!$S30-Grunddaten!$Q29)/100*$G67+$E67),-1)</f>
        <v>0</v>
      </c>
      <c r="BD67" s="477">
        <f ca="1">ROUND(Grunddaten!CE30*((Grunddaten!$S30-Grunddaten!$Q29)/100*$G67+$E67),-1)</f>
        <v>0</v>
      </c>
      <c r="BE67" s="477">
        <f ca="1">ROUND(Grunddaten!CF30*((Grunddaten!$S30-Grunddaten!$Q29)/100*$G67+$E67),-1)</f>
        <v>0</v>
      </c>
      <c r="BF67" s="477">
        <f ca="1">ROUND(Grunddaten!CG30*((Grunddaten!$S30-Grunddaten!$Q29)/100*$G67+$E67),-1)</f>
        <v>0</v>
      </c>
      <c r="BG67" s="477">
        <f ca="1">ROUND(Grunddaten!CH30*((Grunddaten!$S30-Grunddaten!$Q29)/100*$G67+$E67),-1)</f>
        <v>0</v>
      </c>
      <c r="BH67" s="477">
        <f ca="1">ROUND(Grunddaten!CI30*((Grunddaten!$S30-Grunddaten!$Q29)/100*$G67+$E67),-1)</f>
        <v>0</v>
      </c>
      <c r="BI67" s="477">
        <f ca="1">ROUND(Grunddaten!CJ30*((Grunddaten!$S30-Grunddaten!$Q29)/100*$G67+$E67),-1)</f>
        <v>0</v>
      </c>
      <c r="BJ67" s="477">
        <f ca="1">ROUND(Grunddaten!CK30*((Grunddaten!$S30-Grunddaten!$Q29)/100*$G67+$E67),-1)</f>
        <v>0</v>
      </c>
      <c r="BK67" s="477">
        <f ca="1">ROUND(Grunddaten!CL30*((Grunddaten!$S30-Grunddaten!$Q29)/100*$G67+$E67),-1)</f>
        <v>0</v>
      </c>
      <c r="BL67" s="477">
        <f ca="1">ROUND(Grunddaten!CM30*((Grunddaten!$S30-Grunddaten!$Q29)/100*$G67+$E67),-1)</f>
        <v>0</v>
      </c>
      <c r="BM67" s="477">
        <f ca="1">ROUND(Grunddaten!CN30*((Grunddaten!$S30-Grunddaten!$Q29)/100*$G67+$E67),-1)</f>
        <v>0</v>
      </c>
      <c r="BN67" s="477">
        <f ca="1">ROUND(Grunddaten!CO30*((Grunddaten!$S30-Grunddaten!$Q29)/100*$G67+$E67),-1)</f>
        <v>0</v>
      </c>
      <c r="BO67" s="477">
        <f ca="1">ROUND(Grunddaten!CP30*((Grunddaten!$S30-Grunddaten!$Q29)/100*$G67+$E67),-1)</f>
        <v>0</v>
      </c>
      <c r="BP67" s="477">
        <f ca="1">ROUND(Grunddaten!CQ30*((Grunddaten!$S30-Grunddaten!$Q29)/100*$G67+$E67),-1)</f>
        <v>0</v>
      </c>
      <c r="BQ67" s="478">
        <f ca="1">ROUND(Grunddaten!CR30*((Grunddaten!$S30-Grunddaten!$Q29)/100*$G67+$E67),-1)</f>
        <v>0</v>
      </c>
    </row>
    <row r="68" spans="1:69" s="88" customFormat="1" ht="11.25" customHeight="1" x14ac:dyDescent="0.2">
      <c r="A68" s="511" t="s">
        <v>629</v>
      </c>
      <c r="B68" s="1387"/>
      <c r="C68" s="2557">
        <v>0.7</v>
      </c>
      <c r="D68" s="2558"/>
      <c r="E68" s="2473"/>
      <c r="F68" s="2474"/>
      <c r="G68" s="2463">
        <f>-Berechnungen!$F$54*C68</f>
        <v>0</v>
      </c>
      <c r="H68" s="2464"/>
      <c r="I68" s="2465"/>
      <c r="J68" s="2551">
        <f>Grunddaten!$S$31-(1-$R$109)*Grunddaten!$Q$31</f>
        <v>8.5</v>
      </c>
      <c r="K68" s="2552"/>
      <c r="L68" s="2525">
        <f t="shared" ref="L68:L69" si="5">ROUND(E68+G68*J68/100,-1)</f>
        <v>0</v>
      </c>
      <c r="M68" s="2526"/>
      <c r="N68" s="2527"/>
      <c r="S68" s="427">
        <f ca="1">ROUND(Grunddaten!AT31*((Grunddaten!$S31-Grunddaten!$Q31)/100*$G68+$E68),-1)</f>
        <v>0</v>
      </c>
      <c r="T68" s="428">
        <f ca="1">ROUND(Grunddaten!AU31*((Grunddaten!$S31-Grunddaten!$Q31)/100*$G68+$E68),-1)</f>
        <v>0</v>
      </c>
      <c r="U68" s="428">
        <f ca="1">ROUND(Grunddaten!AV31*((Grunddaten!$S31-Grunddaten!$Q31)/100*$G68+$E68),-1)</f>
        <v>0</v>
      </c>
      <c r="V68" s="428">
        <f ca="1">ROUND(Grunddaten!AW31*((Grunddaten!$S31-Grunddaten!$Q31)/100*$G68+$E68),-1)</f>
        <v>0</v>
      </c>
      <c r="W68" s="428">
        <f ca="1">ROUND(Grunddaten!AX31*((Grunddaten!$S31-Grunddaten!$Q31)/100*$G68+$E68),-1)</f>
        <v>0</v>
      </c>
      <c r="X68" s="428">
        <f ca="1">ROUND(Grunddaten!AY31*((Grunddaten!$S31-Grunddaten!$Q31)/100*$G68+$E68),-1)</f>
        <v>0</v>
      </c>
      <c r="Y68" s="428">
        <f ca="1">ROUND(Grunddaten!AZ31*((Grunddaten!$S31-Grunddaten!$Q31)/100*$G68+$E68),-1)</f>
        <v>0</v>
      </c>
      <c r="Z68" s="428">
        <f ca="1">ROUND(Grunddaten!BA31*((Grunddaten!$S31-Grunddaten!$Q31)/100*$G68+$E68),-1)</f>
        <v>0</v>
      </c>
      <c r="AA68" s="428">
        <f ca="1">ROUND(Grunddaten!BB31*((Grunddaten!$S31-Grunddaten!$Q31)/100*$G68+$E68),-1)</f>
        <v>0</v>
      </c>
      <c r="AB68" s="473">
        <f ca="1">ROUND(Grunddaten!BC31*((Grunddaten!$S31-Grunddaten!$Q31)/100*$G68+$E68),-1)</f>
        <v>0</v>
      </c>
      <c r="AC68" s="473">
        <f ca="1">ROUND(Grunddaten!BD31*((Grunddaten!$S31-Grunddaten!$Q31)/100*$G68+$E68),-1)</f>
        <v>0</v>
      </c>
      <c r="AD68" s="473">
        <f ca="1">ROUND(Grunddaten!BE31*((Grunddaten!$S31-Grunddaten!$Q31)/100*$G68+$E68),-1)</f>
        <v>0</v>
      </c>
      <c r="AE68" s="473">
        <f ca="1">ROUND(Grunddaten!BF31*((Grunddaten!$S31-Grunddaten!$Q31)/100*$G68+$E68),-1)</f>
        <v>0</v>
      </c>
      <c r="AF68" s="473">
        <f ca="1">ROUND(Grunddaten!BG31*((Grunddaten!$S31-Grunddaten!$Q31)/100*$G68+$E68),-1)</f>
        <v>0</v>
      </c>
      <c r="AG68" s="473">
        <f ca="1">ROUND(Grunddaten!BH31*((Grunddaten!$S31-Grunddaten!$Q31)/100*$G68+$E68),-1)</f>
        <v>0</v>
      </c>
      <c r="AH68" s="474">
        <f ca="1">ROUND(Grunddaten!BI31*((Grunddaten!$S31-Grunddaten!$Q31)/100*$G68+$E68),-1)</f>
        <v>0</v>
      </c>
      <c r="AI68" s="474">
        <f ca="1">ROUND(Grunddaten!BJ31*((Grunddaten!$S31-Grunddaten!$Q31)/100*$G68+$E68),-1)</f>
        <v>0</v>
      </c>
      <c r="AJ68" s="474">
        <f ca="1">ROUND(Grunddaten!BK31*((Grunddaten!$S31-Grunddaten!$Q31)/100*$G68+$E68),-1)</f>
        <v>0</v>
      </c>
      <c r="AK68" s="474">
        <f ca="1">ROUND(Grunddaten!BL31*((Grunddaten!$S31-Grunddaten!$Q31)/100*$G68+$E68),-1)</f>
        <v>0</v>
      </c>
      <c r="AL68" s="474">
        <f ca="1">ROUND(Grunddaten!BM31*((Grunddaten!$S31-Grunddaten!$Q31)/100*$G68+$E68),-1)</f>
        <v>0</v>
      </c>
      <c r="AM68" s="474">
        <f ca="1">ROUND(Grunddaten!BN31*((Grunddaten!$S31-Grunddaten!$Q31)/100*$G68+$E68),-1)</f>
        <v>0</v>
      </c>
      <c r="AN68" s="474">
        <f ca="1">ROUND(Grunddaten!BO31*((Grunddaten!$S31-Grunddaten!$Q31)/100*$G68+$E68),-1)</f>
        <v>0</v>
      </c>
      <c r="AO68" s="474">
        <f ca="1">ROUND(Grunddaten!BP31*((Grunddaten!$S31-Grunddaten!$Q31)/100*$G68+$E68),-1)</f>
        <v>0</v>
      </c>
      <c r="AP68" s="474">
        <f ca="1">ROUND(Grunddaten!BQ31*((Grunddaten!$S31-Grunddaten!$Q31)/100*$G68+$E68),-1)</f>
        <v>0</v>
      </c>
      <c r="AQ68" s="474">
        <f ca="1">ROUND(Grunddaten!BR31*((Grunddaten!$S31-Grunddaten!$Q31)/100*$G68+$E68),-1)</f>
        <v>0</v>
      </c>
      <c r="AR68" s="474">
        <f ca="1">ROUND(Grunddaten!BS31*((Grunddaten!$S31-Grunddaten!$Q31)/100*$G68+$E68),-1)</f>
        <v>0</v>
      </c>
      <c r="AS68" s="474">
        <f ca="1">ROUND(Grunddaten!BT31*((Grunddaten!$S31-Grunddaten!$Q31)/100*$G68+$E68),-1)</f>
        <v>0</v>
      </c>
      <c r="AT68" s="474">
        <f ca="1">ROUND(Grunddaten!BU31*((Grunddaten!$S31-Grunddaten!$Q31)/100*$G68+$E68),-1)</f>
        <v>0</v>
      </c>
      <c r="AU68" s="474">
        <f ca="1">ROUND(Grunddaten!BV31*((Grunddaten!$S31-Grunddaten!$Q31)/100*$G68+$E68),-1)</f>
        <v>0</v>
      </c>
      <c r="AV68" s="474">
        <f ca="1">ROUND(Grunddaten!BW31*((Grunddaten!$S31-Grunddaten!$Q31)/100*$G68+$E68),-1)</f>
        <v>0</v>
      </c>
      <c r="AW68" s="474">
        <f ca="1">ROUND(Grunddaten!BX31*((Grunddaten!$S31-Grunddaten!$Q31)/100*$G68+$E68),-1)</f>
        <v>0</v>
      </c>
      <c r="AX68" s="474">
        <f ca="1">ROUND(Grunddaten!BY31*((Grunddaten!$S31-Grunddaten!$Q31)/100*$G68+$E68),-1)</f>
        <v>0</v>
      </c>
      <c r="AY68" s="474">
        <f ca="1">ROUND(Grunddaten!BZ31*((Grunddaten!$S31-Grunddaten!$Q31)/100*$G68+$E68),-1)</f>
        <v>0</v>
      </c>
      <c r="AZ68" s="474">
        <f ca="1">ROUND(Grunddaten!CA31*((Grunddaten!$S31-Grunddaten!$Q31)/100*$G68+$E68),-1)</f>
        <v>0</v>
      </c>
      <c r="BA68" s="474">
        <f ca="1">ROUND(Grunddaten!CB31*((Grunddaten!$S31-Grunddaten!$Q31)/100*$G68+$E68),-1)</f>
        <v>0</v>
      </c>
      <c r="BB68" s="474">
        <f ca="1">ROUND(Grunddaten!CC31*((Grunddaten!$S31-Grunddaten!$Q31)/100*$G68+$E68),-1)</f>
        <v>0</v>
      </c>
      <c r="BC68" s="474">
        <f ca="1">ROUND(Grunddaten!CD31*((Grunddaten!$S31-Grunddaten!$Q31)/100*$G68+$E68),-1)</f>
        <v>0</v>
      </c>
      <c r="BD68" s="474">
        <f ca="1">ROUND(Grunddaten!CE31*((Grunddaten!$S31-Grunddaten!$Q31)/100*$G68+$E68),-1)</f>
        <v>0</v>
      </c>
      <c r="BE68" s="474">
        <f ca="1">ROUND(Grunddaten!CF31*((Grunddaten!$S31-Grunddaten!$Q31)/100*$G68+$E68),-1)</f>
        <v>0</v>
      </c>
      <c r="BF68" s="474">
        <f ca="1">ROUND(Grunddaten!CG31*((Grunddaten!$S31-Grunddaten!$Q31)/100*$G68+$E68),-1)</f>
        <v>0</v>
      </c>
      <c r="BG68" s="474">
        <f ca="1">ROUND(Grunddaten!CH31*((Grunddaten!$S31-Grunddaten!$Q31)/100*$G68+$E68),-1)</f>
        <v>0</v>
      </c>
      <c r="BH68" s="474">
        <f ca="1">ROUND(Grunddaten!CI31*((Grunddaten!$S31-Grunddaten!$Q31)/100*$G68+$E68),-1)</f>
        <v>0</v>
      </c>
      <c r="BI68" s="474">
        <f ca="1">ROUND(Grunddaten!CJ31*((Grunddaten!$S31-Grunddaten!$Q31)/100*$G68+$E68),-1)</f>
        <v>0</v>
      </c>
      <c r="BJ68" s="474">
        <f ca="1">ROUND(Grunddaten!CK31*((Grunddaten!$S31-Grunddaten!$Q31)/100*$G68+$E68),-1)</f>
        <v>0</v>
      </c>
      <c r="BK68" s="474">
        <f ca="1">ROUND(Grunddaten!CL31*((Grunddaten!$S31-Grunddaten!$Q31)/100*$G68+$E68),-1)</f>
        <v>0</v>
      </c>
      <c r="BL68" s="474">
        <f ca="1">ROUND(Grunddaten!CM31*((Grunddaten!$S31-Grunddaten!$Q31)/100*$G68+$E68),-1)</f>
        <v>0</v>
      </c>
      <c r="BM68" s="474">
        <f ca="1">ROUND(Grunddaten!CN31*((Grunddaten!$S31-Grunddaten!$Q31)/100*$G68+$E68),-1)</f>
        <v>0</v>
      </c>
      <c r="BN68" s="474">
        <f ca="1">ROUND(Grunddaten!CO31*((Grunddaten!$S31-Grunddaten!$Q31)/100*$G68+$E68),-1)</f>
        <v>0</v>
      </c>
      <c r="BO68" s="474">
        <f ca="1">ROUND(Grunddaten!CP31*((Grunddaten!$S31-Grunddaten!$Q31)/100*$G68+$E68),-1)</f>
        <v>0</v>
      </c>
      <c r="BP68" s="474">
        <f ca="1">ROUND(Grunddaten!CQ31*((Grunddaten!$S31-Grunddaten!$Q31)/100*$G68+$E68),-1)</f>
        <v>0</v>
      </c>
      <c r="BQ68" s="475">
        <f ca="1">ROUND(Grunddaten!CR31*((Grunddaten!$S31-Grunddaten!$Q31)/100*$G68+$E68),-1)</f>
        <v>0</v>
      </c>
    </row>
    <row r="69" spans="1:69" s="88" customFormat="1" ht="11.25" customHeight="1" x14ac:dyDescent="0.2">
      <c r="A69" s="512" t="s">
        <v>630</v>
      </c>
      <c r="B69" s="1388"/>
      <c r="C69" s="2559">
        <f>1-C68</f>
        <v>0.30000000000000004</v>
      </c>
      <c r="D69" s="2560"/>
      <c r="E69" s="2475"/>
      <c r="F69" s="2476"/>
      <c r="G69" s="2470">
        <f>-Berechnungen!$F$54*C69</f>
        <v>0</v>
      </c>
      <c r="H69" s="2471"/>
      <c r="I69" s="2472"/>
      <c r="J69" s="2555">
        <f>Grunddaten!$S$32-(1-$R$109)*Grunddaten!$Q$31</f>
        <v>4.45</v>
      </c>
      <c r="K69" s="2556"/>
      <c r="L69" s="2531">
        <f t="shared" si="5"/>
        <v>0</v>
      </c>
      <c r="M69" s="2532"/>
      <c r="N69" s="2533"/>
      <c r="P69" s="1359"/>
      <c r="Q69" s="1359"/>
      <c r="S69" s="429">
        <f ca="1">ROUND(Grunddaten!AT32*((Grunddaten!$S32-Grunddaten!$Q31)/100*$G69+$E69),-1)</f>
        <v>0</v>
      </c>
      <c r="T69" s="430">
        <f ca="1">ROUND(Grunddaten!AU32*((Grunddaten!$S32-Grunddaten!$Q31)/100*$G69+$E69),-1)</f>
        <v>0</v>
      </c>
      <c r="U69" s="430">
        <f ca="1">ROUND(Grunddaten!AV32*((Grunddaten!$S32-Grunddaten!$Q31)/100*$G69+$E69),-1)</f>
        <v>0</v>
      </c>
      <c r="V69" s="430">
        <f ca="1">ROUND(Grunddaten!AW32*((Grunddaten!$S32-Grunddaten!$Q31)/100*$G69+$E69),-1)</f>
        <v>0</v>
      </c>
      <c r="W69" s="430">
        <f ca="1">ROUND(Grunddaten!AX32*((Grunddaten!$S32-Grunddaten!$Q31)/100*$G69+$E69),-1)</f>
        <v>0</v>
      </c>
      <c r="X69" s="430">
        <f ca="1">ROUND(Grunddaten!AY32*((Grunddaten!$S32-Grunddaten!$Q31)/100*$G69+$E69),-1)</f>
        <v>0</v>
      </c>
      <c r="Y69" s="430">
        <f ca="1">ROUND(Grunddaten!AZ32*((Grunddaten!$S32-Grunddaten!$Q31)/100*$G69+$E69),-1)</f>
        <v>0</v>
      </c>
      <c r="Z69" s="430">
        <f ca="1">ROUND(Grunddaten!BA32*((Grunddaten!$S32-Grunddaten!$Q31)/100*$G69+$E69),-1)</f>
        <v>0</v>
      </c>
      <c r="AA69" s="430">
        <f ca="1">ROUND(Grunddaten!BB32*((Grunddaten!$S32-Grunddaten!$Q31)/100*$G69+$E69),-1)</f>
        <v>0</v>
      </c>
      <c r="AB69" s="476">
        <f ca="1">ROUND(Grunddaten!BC32*((Grunddaten!$S32-Grunddaten!$Q31)/100*$G69+$E69),-1)</f>
        <v>0</v>
      </c>
      <c r="AC69" s="476">
        <f ca="1">ROUND(Grunddaten!BD32*((Grunddaten!$S32-Grunddaten!$Q31)/100*$G69+$E69),-1)</f>
        <v>0</v>
      </c>
      <c r="AD69" s="476">
        <f ca="1">ROUND(Grunddaten!BE32*((Grunddaten!$S32-Grunddaten!$Q31)/100*$G69+$E69),-1)</f>
        <v>0</v>
      </c>
      <c r="AE69" s="476">
        <f ca="1">ROUND(Grunddaten!BF32*((Grunddaten!$S32-Grunddaten!$Q31)/100*$G69+$E69),-1)</f>
        <v>0</v>
      </c>
      <c r="AF69" s="476">
        <f ca="1">ROUND(Grunddaten!BG32*((Grunddaten!$S32-Grunddaten!$Q31)/100*$G69+$E69),-1)</f>
        <v>0</v>
      </c>
      <c r="AG69" s="476">
        <f ca="1">ROUND(Grunddaten!BH32*((Grunddaten!$S32-Grunddaten!$Q31)/100*$G69+$E69),-1)</f>
        <v>0</v>
      </c>
      <c r="AH69" s="477">
        <f ca="1">ROUND(Grunddaten!BI32*((Grunddaten!$S32-Grunddaten!$Q31)/100*$G69+$E69),-1)</f>
        <v>0</v>
      </c>
      <c r="AI69" s="477">
        <f ca="1">ROUND(Grunddaten!BJ32*((Grunddaten!$S32-Grunddaten!$Q31)/100*$G69+$E69),-1)</f>
        <v>0</v>
      </c>
      <c r="AJ69" s="477">
        <f ca="1">ROUND(Grunddaten!BK32*((Grunddaten!$S32-Grunddaten!$Q31)/100*$G69+$E69),-1)</f>
        <v>0</v>
      </c>
      <c r="AK69" s="477">
        <f ca="1">ROUND(Grunddaten!BL32*((Grunddaten!$S32-Grunddaten!$Q31)/100*$G69+$E69),-1)</f>
        <v>0</v>
      </c>
      <c r="AL69" s="477">
        <f ca="1">ROUND(Grunddaten!BM32*((Grunddaten!$S32-Grunddaten!$Q31)/100*$G69+$E69),-1)</f>
        <v>0</v>
      </c>
      <c r="AM69" s="477">
        <f ca="1">ROUND(Grunddaten!BN32*((Grunddaten!$S32-Grunddaten!$Q31)/100*$G69+$E69),-1)</f>
        <v>0</v>
      </c>
      <c r="AN69" s="477">
        <f ca="1">ROUND(Grunddaten!BO32*((Grunddaten!$S32-Grunddaten!$Q31)/100*$G69+$E69),-1)</f>
        <v>0</v>
      </c>
      <c r="AO69" s="477">
        <f ca="1">ROUND(Grunddaten!BP32*((Grunddaten!$S32-Grunddaten!$Q31)/100*$G69+$E69),-1)</f>
        <v>0</v>
      </c>
      <c r="AP69" s="477">
        <f ca="1">ROUND(Grunddaten!BQ32*((Grunddaten!$S32-Grunddaten!$Q31)/100*$G69+$E69),-1)</f>
        <v>0</v>
      </c>
      <c r="AQ69" s="477">
        <f ca="1">ROUND(Grunddaten!BR32*((Grunddaten!$S32-Grunddaten!$Q31)/100*$G69+$E69),-1)</f>
        <v>0</v>
      </c>
      <c r="AR69" s="477">
        <f ca="1">ROUND(Grunddaten!BS32*((Grunddaten!$S32-Grunddaten!$Q31)/100*$G69+$E69),-1)</f>
        <v>0</v>
      </c>
      <c r="AS69" s="477">
        <f ca="1">ROUND(Grunddaten!BT32*((Grunddaten!$S32-Grunddaten!$Q31)/100*$G69+$E69),-1)</f>
        <v>0</v>
      </c>
      <c r="AT69" s="477">
        <f ca="1">ROUND(Grunddaten!BU32*((Grunddaten!$S32-Grunddaten!$Q31)/100*$G69+$E69),-1)</f>
        <v>0</v>
      </c>
      <c r="AU69" s="477">
        <f ca="1">ROUND(Grunddaten!BV32*((Grunddaten!$S32-Grunddaten!$Q31)/100*$G69+$E69),-1)</f>
        <v>0</v>
      </c>
      <c r="AV69" s="477">
        <f ca="1">ROUND(Grunddaten!BW32*((Grunddaten!$S32-Grunddaten!$Q31)/100*$G69+$E69),-1)</f>
        <v>0</v>
      </c>
      <c r="AW69" s="477">
        <f ca="1">ROUND(Grunddaten!BX32*((Grunddaten!$S32-Grunddaten!$Q31)/100*$G69+$E69),-1)</f>
        <v>0</v>
      </c>
      <c r="AX69" s="477">
        <f ca="1">ROUND(Grunddaten!BY32*((Grunddaten!$S32-Grunddaten!$Q31)/100*$G69+$E69),-1)</f>
        <v>0</v>
      </c>
      <c r="AY69" s="477">
        <f ca="1">ROUND(Grunddaten!BZ32*((Grunddaten!$S32-Grunddaten!$Q31)/100*$G69+$E69),-1)</f>
        <v>0</v>
      </c>
      <c r="AZ69" s="477">
        <f ca="1">ROUND(Grunddaten!CA32*((Grunddaten!$S32-Grunddaten!$Q31)/100*$G69+$E69),-1)</f>
        <v>0</v>
      </c>
      <c r="BA69" s="477">
        <f ca="1">ROUND(Grunddaten!CB32*((Grunddaten!$S32-Grunddaten!$Q31)/100*$G69+$E69),-1)</f>
        <v>0</v>
      </c>
      <c r="BB69" s="477">
        <f ca="1">ROUND(Grunddaten!CC32*((Grunddaten!$S32-Grunddaten!$Q31)/100*$G69+$E69),-1)</f>
        <v>0</v>
      </c>
      <c r="BC69" s="477">
        <f ca="1">ROUND(Grunddaten!CD32*((Grunddaten!$S32-Grunddaten!$Q31)/100*$G69+$E69),-1)</f>
        <v>0</v>
      </c>
      <c r="BD69" s="477">
        <f ca="1">ROUND(Grunddaten!CE32*((Grunddaten!$S32-Grunddaten!$Q31)/100*$G69+$E69),-1)</f>
        <v>0</v>
      </c>
      <c r="BE69" s="477">
        <f ca="1">ROUND(Grunddaten!CF32*((Grunddaten!$S32-Grunddaten!$Q31)/100*$G69+$E69),-1)</f>
        <v>0</v>
      </c>
      <c r="BF69" s="477">
        <f ca="1">ROUND(Grunddaten!CG32*((Grunddaten!$S32-Grunddaten!$Q31)/100*$G69+$E69),-1)</f>
        <v>0</v>
      </c>
      <c r="BG69" s="477">
        <f ca="1">ROUND(Grunddaten!CH32*((Grunddaten!$S32-Grunddaten!$Q31)/100*$G69+$E69),-1)</f>
        <v>0</v>
      </c>
      <c r="BH69" s="477">
        <f ca="1">ROUND(Grunddaten!CI32*((Grunddaten!$S32-Grunddaten!$Q31)/100*$G69+$E69),-1)</f>
        <v>0</v>
      </c>
      <c r="BI69" s="477">
        <f ca="1">ROUND(Grunddaten!CJ32*((Grunddaten!$S32-Grunddaten!$Q31)/100*$G69+$E69),-1)</f>
        <v>0</v>
      </c>
      <c r="BJ69" s="477">
        <f ca="1">ROUND(Grunddaten!CK32*((Grunddaten!$S32-Grunddaten!$Q31)/100*$G69+$E69),-1)</f>
        <v>0</v>
      </c>
      <c r="BK69" s="477">
        <f ca="1">ROUND(Grunddaten!CL32*((Grunddaten!$S32-Grunddaten!$Q31)/100*$G69+$E69),-1)</f>
        <v>0</v>
      </c>
      <c r="BL69" s="477">
        <f ca="1">ROUND(Grunddaten!CM32*((Grunddaten!$S32-Grunddaten!$Q31)/100*$G69+$E69),-1)</f>
        <v>0</v>
      </c>
      <c r="BM69" s="477">
        <f ca="1">ROUND(Grunddaten!CN32*((Grunddaten!$S32-Grunddaten!$Q31)/100*$G69+$E69),-1)</f>
        <v>0</v>
      </c>
      <c r="BN69" s="477">
        <f ca="1">ROUND(Grunddaten!CO32*((Grunddaten!$S32-Grunddaten!$Q31)/100*$G69+$E69),-1)</f>
        <v>0</v>
      </c>
      <c r="BO69" s="477">
        <f ca="1">ROUND(Grunddaten!CP32*((Grunddaten!$S32-Grunddaten!$Q31)/100*$G69+$E69),-1)</f>
        <v>0</v>
      </c>
      <c r="BP69" s="477">
        <f ca="1">ROUND(Grunddaten!CQ32*((Grunddaten!$S32-Grunddaten!$Q31)/100*$G69+$E69),-1)</f>
        <v>0</v>
      </c>
      <c r="BQ69" s="478">
        <f ca="1">ROUND(Grunddaten!CR32*((Grunddaten!$S32-Grunddaten!$Q31)/100*$G69+$E69),-1)</f>
        <v>0</v>
      </c>
    </row>
    <row r="70" spans="1:69" s="88" customFormat="1" ht="11.25" customHeight="1" x14ac:dyDescent="0.2">
      <c r="A70" s="513" t="str">
        <f>Grunddaten!C45</f>
        <v>Holzpellets</v>
      </c>
      <c r="B70" s="1377"/>
      <c r="C70" s="2468"/>
      <c r="D70" s="2469"/>
      <c r="E70" s="2459"/>
      <c r="F70" s="2460"/>
      <c r="G70" s="2456">
        <f ca="1">SUMIF(EV_Var3!$A$10:$B$73,$A70,EV_Var3!$E$10:$E$73)</f>
        <v>0</v>
      </c>
      <c r="H70" s="2457"/>
      <c r="I70" s="2458"/>
      <c r="J70" s="2479">
        <f>Grunddaten!S45-(1-$R$109)*Grunddaten!Q45</f>
        <v>6.8688000000000011</v>
      </c>
      <c r="K70" s="2480"/>
      <c r="L70" s="2645">
        <f t="shared" ca="1" si="4"/>
        <v>0</v>
      </c>
      <c r="M70" s="2646"/>
      <c r="N70" s="2647"/>
      <c r="P70" s="268"/>
      <c r="Q70" s="268"/>
      <c r="S70" s="479">
        <f ca="1">ROUND(Grunddaten!AT45*((Grunddaten!$S45-Grunddaten!$Q45)/100*$G70+$E70),-1)</f>
        <v>0</v>
      </c>
      <c r="T70" s="480">
        <f ca="1">ROUND(Grunddaten!AU45*((Grunddaten!$S45-Grunddaten!$Q45)/100*$G70+$E70),-1)</f>
        <v>0</v>
      </c>
      <c r="U70" s="480">
        <f ca="1">ROUND(Grunddaten!AV45*((Grunddaten!$S45-Grunddaten!$Q45)/100*$G70+$E70),-1)</f>
        <v>0</v>
      </c>
      <c r="V70" s="480">
        <f ca="1">ROUND(Grunddaten!AW45*((Grunddaten!$S45-Grunddaten!$Q45)/100*$G70+$E70),-1)</f>
        <v>0</v>
      </c>
      <c r="W70" s="480">
        <f ca="1">ROUND(Grunddaten!AX45*((Grunddaten!$S45-Grunddaten!$Q45)/100*$G70+$E70),-1)</f>
        <v>0</v>
      </c>
      <c r="X70" s="480">
        <f ca="1">ROUND(Grunddaten!AY45*((Grunddaten!$S45-Grunddaten!$Q45)/100*$G70+$E70),-1)</f>
        <v>0</v>
      </c>
      <c r="Y70" s="480">
        <f ca="1">ROUND(Grunddaten!AZ45*((Grunddaten!$S45-Grunddaten!$Q45)/100*$G70+$E70),-1)</f>
        <v>0</v>
      </c>
      <c r="Z70" s="480">
        <f ca="1">ROUND(Grunddaten!BA45*((Grunddaten!$S45-Grunddaten!$Q45)/100*$G70+$E70),-1)</f>
        <v>0</v>
      </c>
      <c r="AA70" s="480">
        <f ca="1">ROUND(Grunddaten!BB45*((Grunddaten!$S45-Grunddaten!$Q45)/100*$G70+$E70),-1)</f>
        <v>0</v>
      </c>
      <c r="AB70" s="481">
        <f ca="1">ROUND(Grunddaten!BC45*((Grunddaten!$S45-Grunddaten!$Q45)/100*$G70+$E70),-1)</f>
        <v>0</v>
      </c>
      <c r="AC70" s="481">
        <f ca="1">ROUND(Grunddaten!BD45*((Grunddaten!$S45-Grunddaten!$Q45)/100*$G70+$E70),-1)</f>
        <v>0</v>
      </c>
      <c r="AD70" s="481">
        <f ca="1">ROUND(Grunddaten!BE45*((Grunddaten!$S45-Grunddaten!$Q45)/100*$G70+$E70),-1)</f>
        <v>0</v>
      </c>
      <c r="AE70" s="481">
        <f ca="1">ROUND(Grunddaten!BF45*((Grunddaten!$S45-Grunddaten!$Q45)/100*$G70+$E70),-1)</f>
        <v>0</v>
      </c>
      <c r="AF70" s="481">
        <f ca="1">ROUND(Grunddaten!BG45*((Grunddaten!$S45-Grunddaten!$Q45)/100*$G70+$E70),-1)</f>
        <v>0</v>
      </c>
      <c r="AG70" s="481">
        <f ca="1">ROUND(Grunddaten!BH45*((Grunddaten!$S45-Grunddaten!$Q45)/100*$G70+$E70),-1)</f>
        <v>0</v>
      </c>
      <c r="AH70" s="482">
        <f ca="1">ROUND(Grunddaten!BI45*((Grunddaten!$S45-Grunddaten!$Q45)/100*$G70+$E70),-1)</f>
        <v>0</v>
      </c>
      <c r="AI70" s="482">
        <f ca="1">ROUND(Grunddaten!BJ45*((Grunddaten!$S45-Grunddaten!$Q45)/100*$G70+$E70),-1)</f>
        <v>0</v>
      </c>
      <c r="AJ70" s="482">
        <f ca="1">ROUND(Grunddaten!BK45*((Grunddaten!$S45-Grunddaten!$Q45)/100*$G70+$E70),-1)</f>
        <v>0</v>
      </c>
      <c r="AK70" s="482">
        <f ca="1">ROUND(Grunddaten!BL45*((Grunddaten!$S45-Grunddaten!$Q45)/100*$G70+$E70),-1)</f>
        <v>0</v>
      </c>
      <c r="AL70" s="482">
        <f ca="1">ROUND(Grunddaten!BM45*((Grunddaten!$S45-Grunddaten!$Q45)/100*$G70+$E70),-1)</f>
        <v>0</v>
      </c>
      <c r="AM70" s="482">
        <f ca="1">ROUND(Grunddaten!BN45*((Grunddaten!$S45-Grunddaten!$Q45)/100*$G70+$E70),-1)</f>
        <v>0</v>
      </c>
      <c r="AN70" s="482">
        <f ca="1">ROUND(Grunddaten!BO45*((Grunddaten!$S45-Grunddaten!$Q45)/100*$G70+$E70),-1)</f>
        <v>0</v>
      </c>
      <c r="AO70" s="482">
        <f ca="1">ROUND(Grunddaten!BP45*((Grunddaten!$S45-Grunddaten!$Q45)/100*$G70+$E70),-1)</f>
        <v>0</v>
      </c>
      <c r="AP70" s="482">
        <f ca="1">ROUND(Grunddaten!BQ45*((Grunddaten!$S45-Grunddaten!$Q45)/100*$G70+$E70),-1)</f>
        <v>0</v>
      </c>
      <c r="AQ70" s="482">
        <f ca="1">ROUND(Grunddaten!BR45*((Grunddaten!$S45-Grunddaten!$Q45)/100*$G70+$E70),-1)</f>
        <v>0</v>
      </c>
      <c r="AR70" s="482">
        <f ca="1">ROUND(Grunddaten!BS45*((Grunddaten!$S45-Grunddaten!$Q45)/100*$G70+$E70),-1)</f>
        <v>0</v>
      </c>
      <c r="AS70" s="482">
        <f ca="1">ROUND(Grunddaten!BT45*((Grunddaten!$S45-Grunddaten!$Q45)/100*$G70+$E70),-1)</f>
        <v>0</v>
      </c>
      <c r="AT70" s="482">
        <f ca="1">ROUND(Grunddaten!BU45*((Grunddaten!$S45-Grunddaten!$Q45)/100*$G70+$E70),-1)</f>
        <v>0</v>
      </c>
      <c r="AU70" s="482">
        <f ca="1">ROUND(Grunddaten!BV45*((Grunddaten!$S45-Grunddaten!$Q45)/100*$G70+$E70),-1)</f>
        <v>0</v>
      </c>
      <c r="AV70" s="482">
        <f ca="1">ROUND(Grunddaten!BW45*((Grunddaten!$S45-Grunddaten!$Q45)/100*$G70+$E70),-1)</f>
        <v>0</v>
      </c>
      <c r="AW70" s="482">
        <f ca="1">ROUND(Grunddaten!BX45*((Grunddaten!$S45-Grunddaten!$Q45)/100*$G70+$E70),-1)</f>
        <v>0</v>
      </c>
      <c r="AX70" s="482">
        <f ca="1">ROUND(Grunddaten!BY45*((Grunddaten!$S45-Grunddaten!$Q45)/100*$G70+$E70),-1)</f>
        <v>0</v>
      </c>
      <c r="AY70" s="482">
        <f ca="1">ROUND(Grunddaten!BZ45*((Grunddaten!$S45-Grunddaten!$Q45)/100*$G70+$E70),-1)</f>
        <v>0</v>
      </c>
      <c r="AZ70" s="482">
        <f ca="1">ROUND(Grunddaten!CA45*((Grunddaten!$S45-Grunddaten!$Q45)/100*$G70+$E70),-1)</f>
        <v>0</v>
      </c>
      <c r="BA70" s="482">
        <f ca="1">ROUND(Grunddaten!CB45*((Grunddaten!$S45-Grunddaten!$Q45)/100*$G70+$E70),-1)</f>
        <v>0</v>
      </c>
      <c r="BB70" s="482">
        <f ca="1">ROUND(Grunddaten!CC45*((Grunddaten!$S45-Grunddaten!$Q45)/100*$G70+$E70),-1)</f>
        <v>0</v>
      </c>
      <c r="BC70" s="482">
        <f ca="1">ROUND(Grunddaten!CD45*((Grunddaten!$S45-Grunddaten!$Q45)/100*$G70+$E70),-1)</f>
        <v>0</v>
      </c>
      <c r="BD70" s="482">
        <f ca="1">ROUND(Grunddaten!CE45*((Grunddaten!$S45-Grunddaten!$Q45)/100*$G70+$E70),-1)</f>
        <v>0</v>
      </c>
      <c r="BE70" s="482">
        <f ca="1">ROUND(Grunddaten!CF45*((Grunddaten!$S45-Grunddaten!$Q45)/100*$G70+$E70),-1)</f>
        <v>0</v>
      </c>
      <c r="BF70" s="482">
        <f ca="1">ROUND(Grunddaten!CG45*((Grunddaten!$S45-Grunddaten!$Q45)/100*$G70+$E70),-1)</f>
        <v>0</v>
      </c>
      <c r="BG70" s="482">
        <f ca="1">ROUND(Grunddaten!CH45*((Grunddaten!$S45-Grunddaten!$Q45)/100*$G70+$E70),-1)</f>
        <v>0</v>
      </c>
      <c r="BH70" s="482">
        <f ca="1">ROUND(Grunddaten!CI45*((Grunddaten!$S45-Grunddaten!$Q45)/100*$G70+$E70),-1)</f>
        <v>0</v>
      </c>
      <c r="BI70" s="482">
        <f ca="1">ROUND(Grunddaten!CJ45*((Grunddaten!$S45-Grunddaten!$Q45)/100*$G70+$E70),-1)</f>
        <v>0</v>
      </c>
      <c r="BJ70" s="482">
        <f ca="1">ROUND(Grunddaten!CK45*((Grunddaten!$S45-Grunddaten!$Q45)/100*$G70+$E70),-1)</f>
        <v>0</v>
      </c>
      <c r="BK70" s="482">
        <f ca="1">ROUND(Grunddaten!CL45*((Grunddaten!$S45-Grunddaten!$Q45)/100*$G70+$E70),-1)</f>
        <v>0</v>
      </c>
      <c r="BL70" s="482">
        <f ca="1">ROUND(Grunddaten!CM45*((Grunddaten!$S45-Grunddaten!$Q45)/100*$G70+$E70),-1)</f>
        <v>0</v>
      </c>
      <c r="BM70" s="482">
        <f ca="1">ROUND(Grunddaten!CN45*((Grunddaten!$S45-Grunddaten!$Q45)/100*$G70+$E70),-1)</f>
        <v>0</v>
      </c>
      <c r="BN70" s="482">
        <f ca="1">ROUND(Grunddaten!CO45*((Grunddaten!$S45-Grunddaten!$Q45)/100*$G70+$E70),-1)</f>
        <v>0</v>
      </c>
      <c r="BO70" s="482">
        <f ca="1">ROUND(Grunddaten!CP45*((Grunddaten!$S45-Grunddaten!$Q45)/100*$G70+$E70),-1)</f>
        <v>0</v>
      </c>
      <c r="BP70" s="482">
        <f ca="1">ROUND(Grunddaten!CQ45*((Grunddaten!$S45-Grunddaten!$Q45)/100*$G70+$E70),-1)</f>
        <v>0</v>
      </c>
      <c r="BQ70" s="483">
        <f ca="1">ROUND(Grunddaten!CR45*((Grunddaten!$S45-Grunddaten!$Q45)/100*$G70+$E70),-1)</f>
        <v>0</v>
      </c>
    </row>
    <row r="71" spans="1:69" s="88" customFormat="1" ht="11.25" customHeight="1" x14ac:dyDescent="0.2">
      <c r="A71" s="513" t="str">
        <f>Grunddaten!C46</f>
        <v>Holzschnitzel</v>
      </c>
      <c r="B71" s="1377"/>
      <c r="C71" s="2468"/>
      <c r="D71" s="2469"/>
      <c r="E71" s="2459"/>
      <c r="F71" s="2460"/>
      <c r="G71" s="2456">
        <f ca="1">SUMIF(EV_Var3!$A$10:$B$73,$A71,EV_Var3!$E$10:$E$73)</f>
        <v>0</v>
      </c>
      <c r="H71" s="2457"/>
      <c r="I71" s="2458"/>
      <c r="J71" s="2479">
        <f>Grunddaten!S46-(1-$R$109)*Grunddaten!Q46</f>
        <v>4.5999999999999996</v>
      </c>
      <c r="K71" s="2480"/>
      <c r="L71" s="2645">
        <f t="shared" ca="1" si="4"/>
        <v>0</v>
      </c>
      <c r="M71" s="2646"/>
      <c r="N71" s="2647"/>
      <c r="P71" s="268"/>
      <c r="Q71" s="268"/>
      <c r="S71" s="479">
        <f ca="1">ROUND(Grunddaten!AT46*((Grunddaten!$S46-Grunddaten!$Q46)/100*$G71+$E71),-1)</f>
        <v>0</v>
      </c>
      <c r="T71" s="480">
        <f ca="1">ROUND(Grunddaten!AU46*((Grunddaten!$S46-Grunddaten!$Q46)/100*$G71+$E71),-1)</f>
        <v>0</v>
      </c>
      <c r="U71" s="480">
        <f ca="1">ROUND(Grunddaten!AV46*((Grunddaten!$S46-Grunddaten!$Q46)/100*$G71+$E71),-1)</f>
        <v>0</v>
      </c>
      <c r="V71" s="480">
        <f ca="1">ROUND(Grunddaten!AW46*((Grunddaten!$S46-Grunddaten!$Q46)/100*$G71+$E71),-1)</f>
        <v>0</v>
      </c>
      <c r="W71" s="480">
        <f ca="1">ROUND(Grunddaten!AX46*((Grunddaten!$S46-Grunddaten!$Q46)/100*$G71+$E71),-1)</f>
        <v>0</v>
      </c>
      <c r="X71" s="480">
        <f ca="1">ROUND(Grunddaten!AY46*((Grunddaten!$S46-Grunddaten!$Q46)/100*$G71+$E71),-1)</f>
        <v>0</v>
      </c>
      <c r="Y71" s="480">
        <f ca="1">ROUND(Grunddaten!AZ46*((Grunddaten!$S46-Grunddaten!$Q46)/100*$G71+$E71),-1)</f>
        <v>0</v>
      </c>
      <c r="Z71" s="480">
        <f ca="1">ROUND(Grunddaten!BA46*((Grunddaten!$S46-Grunddaten!$Q46)/100*$G71+$E71),-1)</f>
        <v>0</v>
      </c>
      <c r="AA71" s="480">
        <f ca="1">ROUND(Grunddaten!BB46*((Grunddaten!$S46-Grunddaten!$Q46)/100*$G71+$E71),-1)</f>
        <v>0</v>
      </c>
      <c r="AB71" s="481">
        <f ca="1">ROUND(Grunddaten!BC46*((Grunddaten!$S46-Grunddaten!$Q46)/100*$G71+$E71),-1)</f>
        <v>0</v>
      </c>
      <c r="AC71" s="481">
        <f ca="1">ROUND(Grunddaten!BD46*((Grunddaten!$S46-Grunddaten!$Q46)/100*$G71+$E71),-1)</f>
        <v>0</v>
      </c>
      <c r="AD71" s="481">
        <f ca="1">ROUND(Grunddaten!BE46*((Grunddaten!$S46-Grunddaten!$Q46)/100*$G71+$E71),-1)</f>
        <v>0</v>
      </c>
      <c r="AE71" s="481">
        <f ca="1">ROUND(Grunddaten!BF46*((Grunddaten!$S46-Grunddaten!$Q46)/100*$G71+$E71),-1)</f>
        <v>0</v>
      </c>
      <c r="AF71" s="481">
        <f ca="1">ROUND(Grunddaten!BG46*((Grunddaten!$S46-Grunddaten!$Q46)/100*$G71+$E71),-1)</f>
        <v>0</v>
      </c>
      <c r="AG71" s="481">
        <f ca="1">ROUND(Grunddaten!BH46*((Grunddaten!$S46-Grunddaten!$Q46)/100*$G71+$E71),-1)</f>
        <v>0</v>
      </c>
      <c r="AH71" s="482">
        <f ca="1">ROUND(Grunddaten!BI46*((Grunddaten!$S46-Grunddaten!$Q46)/100*$G71+$E71),-1)</f>
        <v>0</v>
      </c>
      <c r="AI71" s="482">
        <f ca="1">ROUND(Grunddaten!BJ46*((Grunddaten!$S46-Grunddaten!$Q46)/100*$G71+$E71),-1)</f>
        <v>0</v>
      </c>
      <c r="AJ71" s="482">
        <f ca="1">ROUND(Grunddaten!BK46*((Grunddaten!$S46-Grunddaten!$Q46)/100*$G71+$E71),-1)</f>
        <v>0</v>
      </c>
      <c r="AK71" s="482">
        <f ca="1">ROUND(Grunddaten!BL46*((Grunddaten!$S46-Grunddaten!$Q46)/100*$G71+$E71),-1)</f>
        <v>0</v>
      </c>
      <c r="AL71" s="482">
        <f ca="1">ROUND(Grunddaten!BM46*((Grunddaten!$S46-Grunddaten!$Q46)/100*$G71+$E71),-1)</f>
        <v>0</v>
      </c>
      <c r="AM71" s="482">
        <f ca="1">ROUND(Grunddaten!BN46*((Grunddaten!$S46-Grunddaten!$Q46)/100*$G71+$E71),-1)</f>
        <v>0</v>
      </c>
      <c r="AN71" s="482">
        <f ca="1">ROUND(Grunddaten!BO46*((Grunddaten!$S46-Grunddaten!$Q46)/100*$G71+$E71),-1)</f>
        <v>0</v>
      </c>
      <c r="AO71" s="482">
        <f ca="1">ROUND(Grunddaten!BP46*((Grunddaten!$S46-Grunddaten!$Q46)/100*$G71+$E71),-1)</f>
        <v>0</v>
      </c>
      <c r="AP71" s="482">
        <f ca="1">ROUND(Grunddaten!BQ46*((Grunddaten!$S46-Grunddaten!$Q46)/100*$G71+$E71),-1)</f>
        <v>0</v>
      </c>
      <c r="AQ71" s="482">
        <f ca="1">ROUND(Grunddaten!BR46*((Grunddaten!$S46-Grunddaten!$Q46)/100*$G71+$E71),-1)</f>
        <v>0</v>
      </c>
      <c r="AR71" s="482">
        <f ca="1">ROUND(Grunddaten!BS46*((Grunddaten!$S46-Grunddaten!$Q46)/100*$G71+$E71),-1)</f>
        <v>0</v>
      </c>
      <c r="AS71" s="482">
        <f ca="1">ROUND(Grunddaten!BT46*((Grunddaten!$S46-Grunddaten!$Q46)/100*$G71+$E71),-1)</f>
        <v>0</v>
      </c>
      <c r="AT71" s="482">
        <f ca="1">ROUND(Grunddaten!BU46*((Grunddaten!$S46-Grunddaten!$Q46)/100*$G71+$E71),-1)</f>
        <v>0</v>
      </c>
      <c r="AU71" s="482">
        <f ca="1">ROUND(Grunddaten!BV46*((Grunddaten!$S46-Grunddaten!$Q46)/100*$G71+$E71),-1)</f>
        <v>0</v>
      </c>
      <c r="AV71" s="482">
        <f ca="1">ROUND(Grunddaten!BW46*((Grunddaten!$S46-Grunddaten!$Q46)/100*$G71+$E71),-1)</f>
        <v>0</v>
      </c>
      <c r="AW71" s="482">
        <f ca="1">ROUND(Grunddaten!BX46*((Grunddaten!$S46-Grunddaten!$Q46)/100*$G71+$E71),-1)</f>
        <v>0</v>
      </c>
      <c r="AX71" s="482">
        <f ca="1">ROUND(Grunddaten!BY46*((Grunddaten!$S46-Grunddaten!$Q46)/100*$G71+$E71),-1)</f>
        <v>0</v>
      </c>
      <c r="AY71" s="482">
        <f ca="1">ROUND(Grunddaten!BZ46*((Grunddaten!$S46-Grunddaten!$Q46)/100*$G71+$E71),-1)</f>
        <v>0</v>
      </c>
      <c r="AZ71" s="482">
        <f ca="1">ROUND(Grunddaten!CA46*((Grunddaten!$S46-Grunddaten!$Q46)/100*$G71+$E71),-1)</f>
        <v>0</v>
      </c>
      <c r="BA71" s="482">
        <f ca="1">ROUND(Grunddaten!CB46*((Grunddaten!$S46-Grunddaten!$Q46)/100*$G71+$E71),-1)</f>
        <v>0</v>
      </c>
      <c r="BB71" s="482">
        <f ca="1">ROUND(Grunddaten!CC46*((Grunddaten!$S46-Grunddaten!$Q46)/100*$G71+$E71),-1)</f>
        <v>0</v>
      </c>
      <c r="BC71" s="482">
        <f ca="1">ROUND(Grunddaten!CD46*((Grunddaten!$S46-Grunddaten!$Q46)/100*$G71+$E71),-1)</f>
        <v>0</v>
      </c>
      <c r="BD71" s="482">
        <f ca="1">ROUND(Grunddaten!CE46*((Grunddaten!$S46-Grunddaten!$Q46)/100*$G71+$E71),-1)</f>
        <v>0</v>
      </c>
      <c r="BE71" s="482">
        <f ca="1">ROUND(Grunddaten!CF46*((Grunddaten!$S46-Grunddaten!$Q46)/100*$G71+$E71),-1)</f>
        <v>0</v>
      </c>
      <c r="BF71" s="482">
        <f ca="1">ROUND(Grunddaten!CG46*((Grunddaten!$S46-Grunddaten!$Q46)/100*$G71+$E71),-1)</f>
        <v>0</v>
      </c>
      <c r="BG71" s="482">
        <f ca="1">ROUND(Grunddaten!CH46*((Grunddaten!$S46-Grunddaten!$Q46)/100*$G71+$E71),-1)</f>
        <v>0</v>
      </c>
      <c r="BH71" s="482">
        <f ca="1">ROUND(Grunddaten!CI46*((Grunddaten!$S46-Grunddaten!$Q46)/100*$G71+$E71),-1)</f>
        <v>0</v>
      </c>
      <c r="BI71" s="482">
        <f ca="1">ROUND(Grunddaten!CJ46*((Grunddaten!$S46-Grunddaten!$Q46)/100*$G71+$E71),-1)</f>
        <v>0</v>
      </c>
      <c r="BJ71" s="482">
        <f ca="1">ROUND(Grunddaten!CK46*((Grunddaten!$S46-Grunddaten!$Q46)/100*$G71+$E71),-1)</f>
        <v>0</v>
      </c>
      <c r="BK71" s="482">
        <f ca="1">ROUND(Grunddaten!CL46*((Grunddaten!$S46-Grunddaten!$Q46)/100*$G71+$E71),-1)</f>
        <v>0</v>
      </c>
      <c r="BL71" s="482">
        <f ca="1">ROUND(Grunddaten!CM46*((Grunddaten!$S46-Grunddaten!$Q46)/100*$G71+$E71),-1)</f>
        <v>0</v>
      </c>
      <c r="BM71" s="482">
        <f ca="1">ROUND(Grunddaten!CN46*((Grunddaten!$S46-Grunddaten!$Q46)/100*$G71+$E71),-1)</f>
        <v>0</v>
      </c>
      <c r="BN71" s="482">
        <f ca="1">ROUND(Grunddaten!CO46*((Grunddaten!$S46-Grunddaten!$Q46)/100*$G71+$E71),-1)</f>
        <v>0</v>
      </c>
      <c r="BO71" s="482">
        <f ca="1">ROUND(Grunddaten!CP46*((Grunddaten!$S46-Grunddaten!$Q46)/100*$G71+$E71),-1)</f>
        <v>0</v>
      </c>
      <c r="BP71" s="482">
        <f ca="1">ROUND(Grunddaten!CQ46*((Grunddaten!$S46-Grunddaten!$Q46)/100*$G71+$E71),-1)</f>
        <v>0</v>
      </c>
      <c r="BQ71" s="483">
        <f ca="1">ROUND(Grunddaten!CR46*((Grunddaten!$S46-Grunddaten!$Q46)/100*$G71+$E71),-1)</f>
        <v>0</v>
      </c>
    </row>
    <row r="72" spans="1:69" s="88" customFormat="1" ht="11.25" customHeight="1" x14ac:dyDescent="0.2">
      <c r="A72" s="513" t="str">
        <f>Berechnungen!A30</f>
        <v>Biogas</v>
      </c>
      <c r="B72" s="1377"/>
      <c r="C72" s="2468"/>
      <c r="D72" s="2469"/>
      <c r="E72" s="2459">
        <f xml:space="preserve"> (IF(EV_Var3!$A$19=$A72,EV_Var3!$H$19,0) + IF(EV_Var3!$A$23=$A72,EV_Var3!$H$23,0) + IF(EV_Var3!$A$28=$A72,(EV_Var3!$H$27-EV_Var3!$AF$23),0) + IF(EV_Var3!$A$59=$A72,EV_Var3!$H$59,0)) * VLOOKUP(Projektdaten!G24,Grunddaten!C47:AI48,33,FALSE)</f>
        <v>0</v>
      </c>
      <c r="F72" s="2460"/>
      <c r="G72" s="2456">
        <f ca="1">SUMIF(EV_Var3!$A$10:$B$73,$A72,EV_Var3!$E$10:$E$73)</f>
        <v>0</v>
      </c>
      <c r="H72" s="2457"/>
      <c r="I72" s="2458"/>
      <c r="J72" s="2461">
        <f>VLOOKUP(Projektdaten!G24,Grunddaten!C47:AI48,17,FALSE) - (1-$R$109)*VLOOKUP(Projektdaten!G24,Grunddaten!C47:AI48,15,FALSE)</f>
        <v>14.256000000000002</v>
      </c>
      <c r="K72" s="2462"/>
      <c r="L72" s="2645">
        <f t="shared" ca="1" si="4"/>
        <v>0</v>
      </c>
      <c r="M72" s="2646"/>
      <c r="N72" s="2647"/>
      <c r="P72" s="268"/>
      <c r="Q72" s="268"/>
      <c r="S72" s="479">
        <f ca="1">ROUND(Grunddaten!AT47*((Grunddaten!$S47-Grunddaten!$Q47)/100*$G72+$E72),-1)</f>
        <v>0</v>
      </c>
      <c r="T72" s="480">
        <f ca="1">ROUND(Grunddaten!AU47*((Grunddaten!$S47-Grunddaten!$Q47)/100*$G72+$E72),-1)</f>
        <v>0</v>
      </c>
      <c r="U72" s="480">
        <f ca="1">ROUND(Grunddaten!AV47*((Grunddaten!$S47-Grunddaten!$Q47)/100*$G72+$E72),-1)</f>
        <v>0</v>
      </c>
      <c r="V72" s="480">
        <f ca="1">ROUND(Grunddaten!AW47*((Grunddaten!$S47-Grunddaten!$Q47)/100*$G72+$E72),-1)</f>
        <v>0</v>
      </c>
      <c r="W72" s="480">
        <f ca="1">ROUND(Grunddaten!AX47*((Grunddaten!$S47-Grunddaten!$Q47)/100*$G72+$E72),-1)</f>
        <v>0</v>
      </c>
      <c r="X72" s="480">
        <f ca="1">ROUND(Grunddaten!AY47*((Grunddaten!$S47-Grunddaten!$Q47)/100*$G72+$E72),-1)</f>
        <v>0</v>
      </c>
      <c r="Y72" s="480">
        <f ca="1">ROUND(Grunddaten!AZ47*((Grunddaten!$S47-Grunddaten!$Q47)/100*$G72+$E72),-1)</f>
        <v>0</v>
      </c>
      <c r="Z72" s="480">
        <f ca="1">ROUND(Grunddaten!BA47*((Grunddaten!$S47-Grunddaten!$Q47)/100*$G72+$E72),-1)</f>
        <v>0</v>
      </c>
      <c r="AA72" s="480">
        <f ca="1">ROUND(Grunddaten!BB47*((Grunddaten!$S47-Grunddaten!$Q47)/100*$G72+$E72),-1)</f>
        <v>0</v>
      </c>
      <c r="AB72" s="480">
        <f ca="1">ROUND(Grunddaten!BC47*((Grunddaten!$S47-Grunddaten!$Q47)/100*$G72+$E72),-1)</f>
        <v>0</v>
      </c>
      <c r="AC72" s="480">
        <f ca="1">ROUND(Grunddaten!BD47*((Grunddaten!$S47-Grunddaten!$Q47)/100*$G72+$E72),-1)</f>
        <v>0</v>
      </c>
      <c r="AD72" s="480">
        <f ca="1">ROUND(Grunddaten!BE47*((Grunddaten!$S47-Grunddaten!$Q47)/100*$G72+$E72),-1)</f>
        <v>0</v>
      </c>
      <c r="AE72" s="480">
        <f ca="1">ROUND(Grunddaten!BF47*((Grunddaten!$S47-Grunddaten!$Q47)/100*$G72+$E72),-1)</f>
        <v>0</v>
      </c>
      <c r="AF72" s="480">
        <f ca="1">ROUND(Grunddaten!BG47*((Grunddaten!$S47-Grunddaten!$Q47)/100*$G72+$E72),-1)</f>
        <v>0</v>
      </c>
      <c r="AG72" s="480">
        <f ca="1">ROUND(Grunddaten!BH47*((Grunddaten!$S47-Grunddaten!$Q47)/100*$G72+$E72),-1)</f>
        <v>0</v>
      </c>
      <c r="AH72" s="480">
        <f ca="1">ROUND(Grunddaten!BI47*((Grunddaten!$S47-Grunddaten!$Q47)/100*$G72+$E72),-1)</f>
        <v>0</v>
      </c>
      <c r="AI72" s="480">
        <f ca="1">ROUND(Grunddaten!BJ47*((Grunddaten!$S47-Grunddaten!$Q47)/100*$G72+$E72),-1)</f>
        <v>0</v>
      </c>
      <c r="AJ72" s="480">
        <f ca="1">ROUND(Grunddaten!BK47*((Grunddaten!$S47-Grunddaten!$Q47)/100*$G72+$E72),-1)</f>
        <v>0</v>
      </c>
      <c r="AK72" s="480">
        <f ca="1">ROUND(Grunddaten!BL47*((Grunddaten!$S47-Grunddaten!$Q47)/100*$G72+$E72),-1)</f>
        <v>0</v>
      </c>
      <c r="AL72" s="480">
        <f ca="1">ROUND(Grunddaten!BM47*((Grunddaten!$S47-Grunddaten!$Q47)/100*$G72+$E72),-1)</f>
        <v>0</v>
      </c>
      <c r="AM72" s="480">
        <f ca="1">ROUND(Grunddaten!BN47*((Grunddaten!$S47-Grunddaten!$Q47)/100*$G72+$E72),-1)</f>
        <v>0</v>
      </c>
      <c r="AN72" s="480">
        <f ca="1">ROUND(Grunddaten!BO47*((Grunddaten!$S47-Grunddaten!$Q47)/100*$G72+$E72),-1)</f>
        <v>0</v>
      </c>
      <c r="AO72" s="480">
        <f ca="1">ROUND(Grunddaten!BP47*((Grunddaten!$S47-Grunddaten!$Q47)/100*$G72+$E72),-1)</f>
        <v>0</v>
      </c>
      <c r="AP72" s="480">
        <f ca="1">ROUND(Grunddaten!BQ47*((Grunddaten!$S47-Grunddaten!$Q47)/100*$G72+$E72),-1)</f>
        <v>0</v>
      </c>
      <c r="AQ72" s="480">
        <f ca="1">ROUND(Grunddaten!BR47*((Grunddaten!$S47-Grunddaten!$Q47)/100*$G72+$E72),-1)</f>
        <v>0</v>
      </c>
      <c r="AR72" s="480">
        <f ca="1">ROUND(Grunddaten!BS47*((Grunddaten!$S47-Grunddaten!$Q47)/100*$G72+$E72),-1)</f>
        <v>0</v>
      </c>
      <c r="AS72" s="480">
        <f ca="1">ROUND(Grunddaten!BT47*((Grunddaten!$S47-Grunddaten!$Q47)/100*$G72+$E72),-1)</f>
        <v>0</v>
      </c>
      <c r="AT72" s="480">
        <f ca="1">ROUND(Grunddaten!BU47*((Grunddaten!$S47-Grunddaten!$Q47)/100*$G72+$E72),-1)</f>
        <v>0</v>
      </c>
      <c r="AU72" s="480">
        <f ca="1">ROUND(Grunddaten!BV47*((Grunddaten!$S47-Grunddaten!$Q47)/100*$G72+$E72),-1)</f>
        <v>0</v>
      </c>
      <c r="AV72" s="480">
        <f ca="1">ROUND(Grunddaten!BW47*((Grunddaten!$S47-Grunddaten!$Q47)/100*$G72+$E72),-1)</f>
        <v>0</v>
      </c>
      <c r="AW72" s="480">
        <f ca="1">ROUND(Grunddaten!BX47*((Grunddaten!$S47-Grunddaten!$Q47)/100*$G72+$E72),-1)</f>
        <v>0</v>
      </c>
      <c r="AX72" s="480">
        <f ca="1">ROUND(Grunddaten!BY47*((Grunddaten!$S47-Grunddaten!$Q47)/100*$G72+$E72),-1)</f>
        <v>0</v>
      </c>
      <c r="AY72" s="480">
        <f ca="1">ROUND(Grunddaten!BZ47*((Grunddaten!$S47-Grunddaten!$Q47)/100*$G72+$E72),-1)</f>
        <v>0</v>
      </c>
      <c r="AZ72" s="480">
        <f ca="1">ROUND(Grunddaten!CA47*((Grunddaten!$S47-Grunddaten!$Q47)/100*$G72+$E72),-1)</f>
        <v>0</v>
      </c>
      <c r="BA72" s="480">
        <f ca="1">ROUND(Grunddaten!CB47*((Grunddaten!$S47-Grunddaten!$Q47)/100*$G72+$E72),-1)</f>
        <v>0</v>
      </c>
      <c r="BB72" s="480">
        <f ca="1">ROUND(Grunddaten!CC47*((Grunddaten!$S47-Grunddaten!$Q47)/100*$G72+$E72),-1)</f>
        <v>0</v>
      </c>
      <c r="BC72" s="480">
        <f ca="1">ROUND(Grunddaten!CD47*((Grunddaten!$S47-Grunddaten!$Q47)/100*$G72+$E72),-1)</f>
        <v>0</v>
      </c>
      <c r="BD72" s="480">
        <f ca="1">ROUND(Grunddaten!CE47*((Grunddaten!$S47-Grunddaten!$Q47)/100*$G72+$E72),-1)</f>
        <v>0</v>
      </c>
      <c r="BE72" s="480">
        <f ca="1">ROUND(Grunddaten!CF47*((Grunddaten!$S47-Grunddaten!$Q47)/100*$G72+$E72),-1)</f>
        <v>0</v>
      </c>
      <c r="BF72" s="480">
        <f ca="1">ROUND(Grunddaten!CG47*((Grunddaten!$S47-Grunddaten!$Q47)/100*$G72+$E72),-1)</f>
        <v>0</v>
      </c>
      <c r="BG72" s="480">
        <f ca="1">ROUND(Grunddaten!CH47*((Grunddaten!$S47-Grunddaten!$Q47)/100*$G72+$E72),-1)</f>
        <v>0</v>
      </c>
      <c r="BH72" s="480">
        <f ca="1">ROUND(Grunddaten!CI47*((Grunddaten!$S47-Grunddaten!$Q47)/100*$G72+$E72),-1)</f>
        <v>0</v>
      </c>
      <c r="BI72" s="480">
        <f ca="1">ROUND(Grunddaten!CJ47*((Grunddaten!$S47-Grunddaten!$Q47)/100*$G72+$E72),-1)</f>
        <v>0</v>
      </c>
      <c r="BJ72" s="480">
        <f ca="1">ROUND(Grunddaten!CK47*((Grunddaten!$S47-Grunddaten!$Q47)/100*$G72+$E72),-1)</f>
        <v>0</v>
      </c>
      <c r="BK72" s="480">
        <f ca="1">ROUND(Grunddaten!CL47*((Grunddaten!$S47-Grunddaten!$Q47)/100*$G72+$E72),-1)</f>
        <v>0</v>
      </c>
      <c r="BL72" s="480">
        <f ca="1">ROUND(Grunddaten!CM47*((Grunddaten!$S47-Grunddaten!$Q47)/100*$G72+$E72),-1)</f>
        <v>0</v>
      </c>
      <c r="BM72" s="480">
        <f ca="1">ROUND(Grunddaten!CN47*((Grunddaten!$S47-Grunddaten!$Q47)/100*$G72+$E72),-1)</f>
        <v>0</v>
      </c>
      <c r="BN72" s="480">
        <f ca="1">ROUND(Grunddaten!CO47*((Grunddaten!$S47-Grunddaten!$Q47)/100*$G72+$E72),-1)</f>
        <v>0</v>
      </c>
      <c r="BO72" s="480">
        <f ca="1">ROUND(Grunddaten!CP47*((Grunddaten!$S47-Grunddaten!$Q47)/100*$G72+$E72),-1)</f>
        <v>0</v>
      </c>
      <c r="BP72" s="480">
        <f ca="1">ROUND(Grunddaten!CQ47*((Grunddaten!$S47-Grunddaten!$Q47)/100*$G72+$E72),-1)</f>
        <v>0</v>
      </c>
      <c r="BQ72" s="484">
        <f ca="1">ROUND(Grunddaten!CR47*((Grunddaten!$S47-Grunddaten!$Q47)/100*$G72+$E72),-1)</f>
        <v>0</v>
      </c>
    </row>
    <row r="73" spans="1:69" s="88" customFormat="1" ht="11.25" customHeight="1" x14ac:dyDescent="0.2">
      <c r="A73" s="513" t="str">
        <f>Grunddaten!C49</f>
        <v>Erdgas</v>
      </c>
      <c r="B73" s="1377"/>
      <c r="C73" s="2468"/>
      <c r="D73" s="2469"/>
      <c r="E73" s="2459">
        <f xml:space="preserve"> (IF(EV_Var3!$A$19=$A73,EV_Var3!$H$19,0) + IF(EV_Var3!$A$23=$A73,EV_Var3!$H$23,0) + IF(EV_Var3!$A$28=$A73,(EV_Var3!$H$27-EV_Var3!$AF$23),0) + IF(EV_Var3!$A$59=$A73,EV_Var3!$H$59,0)) * Grunddaten!$AI49</f>
        <v>0</v>
      </c>
      <c r="F73" s="2460"/>
      <c r="G73" s="2456">
        <f ca="1">SUMIF(EV_Var3!$A$10:$B$73,$A73,EV_Var3!$E$10:$E$73)</f>
        <v>0</v>
      </c>
      <c r="H73" s="2457"/>
      <c r="I73" s="2458"/>
      <c r="J73" s="2479">
        <f>Grunddaten!S49-(1-$R$109)*Grunddaten!Q49</f>
        <v>6.0696000000000003</v>
      </c>
      <c r="K73" s="2480"/>
      <c r="L73" s="2645">
        <f t="shared" ca="1" si="4"/>
        <v>0</v>
      </c>
      <c r="M73" s="2646"/>
      <c r="N73" s="2647"/>
      <c r="P73" s="268"/>
      <c r="Q73" s="268"/>
      <c r="S73" s="479">
        <f ca="1">ROUND(Grunddaten!AT49*((Grunddaten!$S49-Grunddaten!$Q49)/100*$G73+$E73),-1)</f>
        <v>0</v>
      </c>
      <c r="T73" s="480">
        <f ca="1">ROUND(Grunddaten!AU49*((Grunddaten!$S49-Grunddaten!$Q49)/100*$G73+$E73),-1)</f>
        <v>0</v>
      </c>
      <c r="U73" s="480">
        <f ca="1">ROUND(Grunddaten!AV49*((Grunddaten!$S49-Grunddaten!$Q49)/100*$G73+$E73),-1)</f>
        <v>0</v>
      </c>
      <c r="V73" s="480">
        <f ca="1">ROUND(Grunddaten!AW49*((Grunddaten!$S49-Grunddaten!$Q49)/100*$G73+$E73),-1)</f>
        <v>0</v>
      </c>
      <c r="W73" s="480">
        <f ca="1">ROUND(Grunddaten!AX49*((Grunddaten!$S49-Grunddaten!$Q49)/100*$G73+$E73),-1)</f>
        <v>0</v>
      </c>
      <c r="X73" s="480">
        <f ca="1">ROUND(Grunddaten!AY49*((Grunddaten!$S49-Grunddaten!$Q49)/100*$G73+$E73),-1)</f>
        <v>0</v>
      </c>
      <c r="Y73" s="480">
        <f ca="1">ROUND(Grunddaten!AZ49*((Grunddaten!$S49-Grunddaten!$Q49)/100*$G73+$E73),-1)</f>
        <v>0</v>
      </c>
      <c r="Z73" s="480">
        <f ca="1">ROUND(Grunddaten!BA49*((Grunddaten!$S49-Grunddaten!$Q49)/100*$G73+$E73),-1)</f>
        <v>0</v>
      </c>
      <c r="AA73" s="480">
        <f ca="1">ROUND(Grunddaten!BB49*((Grunddaten!$S49-Grunddaten!$Q49)/100*$G73+$E73),-1)</f>
        <v>0</v>
      </c>
      <c r="AB73" s="481">
        <f ca="1">ROUND(Grunddaten!BC49*((Grunddaten!$S49-Grunddaten!$Q49)/100*$G73+$E73),-1)</f>
        <v>0</v>
      </c>
      <c r="AC73" s="481">
        <f ca="1">ROUND(Grunddaten!BD49*((Grunddaten!$S49-Grunddaten!$Q49)/100*$G73+$E73),-1)</f>
        <v>0</v>
      </c>
      <c r="AD73" s="481">
        <f ca="1">ROUND(Grunddaten!BE49*((Grunddaten!$S49-Grunddaten!$Q49)/100*$G73+$E73),-1)</f>
        <v>0</v>
      </c>
      <c r="AE73" s="481">
        <f ca="1">ROUND(Grunddaten!BF49*((Grunddaten!$S49-Grunddaten!$Q49)/100*$G73+$E73),-1)</f>
        <v>0</v>
      </c>
      <c r="AF73" s="481">
        <f ca="1">ROUND(Grunddaten!BG49*((Grunddaten!$S49-Grunddaten!$Q49)/100*$G73+$E73),-1)</f>
        <v>0</v>
      </c>
      <c r="AG73" s="481">
        <f ca="1">ROUND(Grunddaten!BH49*((Grunddaten!$S49-Grunddaten!$Q49)/100*$G73+$E73),-1)</f>
        <v>0</v>
      </c>
      <c r="AH73" s="482">
        <f ca="1">ROUND(Grunddaten!BI49*((Grunddaten!$S49-Grunddaten!$Q49)/100*$G73+$E73),-1)</f>
        <v>0</v>
      </c>
      <c r="AI73" s="482">
        <f ca="1">ROUND(Grunddaten!BJ49*((Grunddaten!$S49-Grunddaten!$Q49)/100*$G73+$E73),-1)</f>
        <v>0</v>
      </c>
      <c r="AJ73" s="482">
        <f ca="1">ROUND(Grunddaten!BK49*((Grunddaten!$S49-Grunddaten!$Q49)/100*$G73+$E73),-1)</f>
        <v>0</v>
      </c>
      <c r="AK73" s="482">
        <f ca="1">ROUND(Grunddaten!BL49*((Grunddaten!$S49-Grunddaten!$Q49)/100*$G73+$E73),-1)</f>
        <v>0</v>
      </c>
      <c r="AL73" s="482">
        <f ca="1">ROUND(Grunddaten!BM49*((Grunddaten!$S49-Grunddaten!$Q49)/100*$G73+$E73),-1)</f>
        <v>0</v>
      </c>
      <c r="AM73" s="482">
        <f ca="1">ROUND(Grunddaten!BN49*((Grunddaten!$S49-Grunddaten!$Q49)/100*$G73+$E73),-1)</f>
        <v>0</v>
      </c>
      <c r="AN73" s="482">
        <f ca="1">ROUND(Grunddaten!BO49*((Grunddaten!$S49-Grunddaten!$Q49)/100*$G73+$E73),-1)</f>
        <v>0</v>
      </c>
      <c r="AO73" s="482">
        <f ca="1">ROUND(Grunddaten!BP49*((Grunddaten!$S49-Grunddaten!$Q49)/100*$G73+$E73),-1)</f>
        <v>0</v>
      </c>
      <c r="AP73" s="482">
        <f ca="1">ROUND(Grunddaten!BQ49*((Grunddaten!$S49-Grunddaten!$Q49)/100*$G73+$E73),-1)</f>
        <v>0</v>
      </c>
      <c r="AQ73" s="482">
        <f ca="1">ROUND(Grunddaten!BR49*((Grunddaten!$S49-Grunddaten!$Q49)/100*$G73+$E73),-1)</f>
        <v>0</v>
      </c>
      <c r="AR73" s="482">
        <f ca="1">ROUND(Grunddaten!BS49*((Grunddaten!$S49-Grunddaten!$Q49)/100*$G73+$E73),-1)</f>
        <v>0</v>
      </c>
      <c r="AS73" s="482">
        <f ca="1">ROUND(Grunddaten!BT49*((Grunddaten!$S49-Grunddaten!$Q49)/100*$G73+$E73),-1)</f>
        <v>0</v>
      </c>
      <c r="AT73" s="482">
        <f ca="1">ROUND(Grunddaten!BU49*((Grunddaten!$S49-Grunddaten!$Q49)/100*$G73+$E73),-1)</f>
        <v>0</v>
      </c>
      <c r="AU73" s="482">
        <f ca="1">ROUND(Grunddaten!BV49*((Grunddaten!$S49-Grunddaten!$Q49)/100*$G73+$E73),-1)</f>
        <v>0</v>
      </c>
      <c r="AV73" s="482">
        <f ca="1">ROUND(Grunddaten!BW49*((Grunddaten!$S49-Grunddaten!$Q49)/100*$G73+$E73),-1)</f>
        <v>0</v>
      </c>
      <c r="AW73" s="482">
        <f ca="1">ROUND(Grunddaten!BX49*((Grunddaten!$S49-Grunddaten!$Q49)/100*$G73+$E73),-1)</f>
        <v>0</v>
      </c>
      <c r="AX73" s="482">
        <f ca="1">ROUND(Grunddaten!BY49*((Grunddaten!$S49-Grunddaten!$Q49)/100*$G73+$E73),-1)</f>
        <v>0</v>
      </c>
      <c r="AY73" s="482">
        <f ca="1">ROUND(Grunddaten!BZ49*((Grunddaten!$S49-Grunddaten!$Q49)/100*$G73+$E73),-1)</f>
        <v>0</v>
      </c>
      <c r="AZ73" s="482">
        <f ca="1">ROUND(Grunddaten!CA49*((Grunddaten!$S49-Grunddaten!$Q49)/100*$G73+$E73),-1)</f>
        <v>0</v>
      </c>
      <c r="BA73" s="482">
        <f ca="1">ROUND(Grunddaten!CB49*((Grunddaten!$S49-Grunddaten!$Q49)/100*$G73+$E73),-1)</f>
        <v>0</v>
      </c>
      <c r="BB73" s="482">
        <f ca="1">ROUND(Grunddaten!CC49*((Grunddaten!$S49-Grunddaten!$Q49)/100*$G73+$E73),-1)</f>
        <v>0</v>
      </c>
      <c r="BC73" s="482">
        <f ca="1">ROUND(Grunddaten!CD49*((Grunddaten!$S49-Grunddaten!$Q49)/100*$G73+$E73),-1)</f>
        <v>0</v>
      </c>
      <c r="BD73" s="482">
        <f ca="1">ROUND(Grunddaten!CE49*((Grunddaten!$S49-Grunddaten!$Q49)/100*$G73+$E73),-1)</f>
        <v>0</v>
      </c>
      <c r="BE73" s="482">
        <f ca="1">ROUND(Grunddaten!CF49*((Grunddaten!$S49-Grunddaten!$Q49)/100*$G73+$E73),-1)</f>
        <v>0</v>
      </c>
      <c r="BF73" s="482">
        <f ca="1">ROUND(Grunddaten!CG49*((Grunddaten!$S49-Grunddaten!$Q49)/100*$G73+$E73),-1)</f>
        <v>0</v>
      </c>
      <c r="BG73" s="482">
        <f ca="1">ROUND(Grunddaten!CH49*((Grunddaten!$S49-Grunddaten!$Q49)/100*$G73+$E73),-1)</f>
        <v>0</v>
      </c>
      <c r="BH73" s="482">
        <f ca="1">ROUND(Grunddaten!CI49*((Grunddaten!$S49-Grunddaten!$Q49)/100*$G73+$E73),-1)</f>
        <v>0</v>
      </c>
      <c r="BI73" s="482">
        <f ca="1">ROUND(Grunddaten!CJ49*((Grunddaten!$S49-Grunddaten!$Q49)/100*$G73+$E73),-1)</f>
        <v>0</v>
      </c>
      <c r="BJ73" s="482">
        <f ca="1">ROUND(Grunddaten!CK49*((Grunddaten!$S49-Grunddaten!$Q49)/100*$G73+$E73),-1)</f>
        <v>0</v>
      </c>
      <c r="BK73" s="482">
        <f ca="1">ROUND(Grunddaten!CL49*((Grunddaten!$S49-Grunddaten!$Q49)/100*$G73+$E73),-1)</f>
        <v>0</v>
      </c>
      <c r="BL73" s="482">
        <f ca="1">ROUND(Grunddaten!CM49*((Grunddaten!$S49-Grunddaten!$Q49)/100*$G73+$E73),-1)</f>
        <v>0</v>
      </c>
      <c r="BM73" s="482">
        <f ca="1">ROUND(Grunddaten!CN49*((Grunddaten!$S49-Grunddaten!$Q49)/100*$G73+$E73),-1)</f>
        <v>0</v>
      </c>
      <c r="BN73" s="482">
        <f ca="1">ROUND(Grunddaten!CO49*((Grunddaten!$S49-Grunddaten!$Q49)/100*$G73+$E73),-1)</f>
        <v>0</v>
      </c>
      <c r="BO73" s="482">
        <f ca="1">ROUND(Grunddaten!CP49*((Grunddaten!$S49-Grunddaten!$Q49)/100*$G73+$E73),-1)</f>
        <v>0</v>
      </c>
      <c r="BP73" s="482">
        <f ca="1">ROUND(Grunddaten!CQ49*((Grunddaten!$S49-Grunddaten!$Q49)/100*$G73+$E73),-1)</f>
        <v>0</v>
      </c>
      <c r="BQ73" s="483">
        <f ca="1">ROUND(Grunddaten!CR49*((Grunddaten!$S49-Grunddaten!$Q49)/100*$G73+$E73),-1)</f>
        <v>0</v>
      </c>
    </row>
    <row r="74" spans="1:69" s="88" customFormat="1" ht="11.25" customHeight="1" x14ac:dyDescent="0.2">
      <c r="A74" s="513" t="str">
        <f>Grunddaten!C50</f>
        <v>Heizöl EL</v>
      </c>
      <c r="B74" s="1377"/>
      <c r="C74" s="2468"/>
      <c r="D74" s="2469"/>
      <c r="E74" s="2459"/>
      <c r="F74" s="2460"/>
      <c r="G74" s="2456">
        <f ca="1">SUMIF(EV_Var3!$A$10:$B$73,$A74,EV_Var3!$E$10:$E$73)</f>
        <v>0</v>
      </c>
      <c r="H74" s="2457"/>
      <c r="I74" s="2458"/>
      <c r="J74" s="2479">
        <f>Grunddaten!S50-(1-$R$109)*Grunddaten!Q50</f>
        <v>7.6100840336134441</v>
      </c>
      <c r="K74" s="2480"/>
      <c r="L74" s="2645">
        <f t="shared" ca="1" si="4"/>
        <v>0</v>
      </c>
      <c r="M74" s="2646"/>
      <c r="N74" s="2647"/>
      <c r="P74" s="268"/>
      <c r="Q74" s="268"/>
      <c r="S74" s="479">
        <f ca="1">ROUND(Grunddaten!AT50*((Grunddaten!$S50-Grunddaten!$Q50)/100*$G74+$E74),-1)</f>
        <v>0</v>
      </c>
      <c r="T74" s="480">
        <f ca="1">ROUND(Grunddaten!AU50*((Grunddaten!$S50-Grunddaten!$Q50)/100*$G74+$E74),-1)</f>
        <v>0</v>
      </c>
      <c r="U74" s="480">
        <f ca="1">ROUND(Grunddaten!AV50*((Grunddaten!$S50-Grunddaten!$Q50)/100*$G74+$E74),-1)</f>
        <v>0</v>
      </c>
      <c r="V74" s="480">
        <f ca="1">ROUND(Grunddaten!AW50*((Grunddaten!$S50-Grunddaten!$Q50)/100*$G74+$E74),-1)</f>
        <v>0</v>
      </c>
      <c r="W74" s="480">
        <f ca="1">ROUND(Grunddaten!AX50*((Grunddaten!$S50-Grunddaten!$Q50)/100*$G74+$E74),-1)</f>
        <v>0</v>
      </c>
      <c r="X74" s="480">
        <f ca="1">ROUND(Grunddaten!AY50*((Grunddaten!$S50-Grunddaten!$Q50)/100*$G74+$E74),-1)</f>
        <v>0</v>
      </c>
      <c r="Y74" s="480">
        <f ca="1">ROUND(Grunddaten!AZ50*((Grunddaten!$S50-Grunddaten!$Q50)/100*$G74+$E74),-1)</f>
        <v>0</v>
      </c>
      <c r="Z74" s="480">
        <f ca="1">ROUND(Grunddaten!BA50*((Grunddaten!$S50-Grunddaten!$Q50)/100*$G74+$E74),-1)</f>
        <v>0</v>
      </c>
      <c r="AA74" s="480">
        <f ca="1">ROUND(Grunddaten!BB50*((Grunddaten!$S50-Grunddaten!$Q50)/100*$G74+$E74),-1)</f>
        <v>0</v>
      </c>
      <c r="AB74" s="481">
        <f ca="1">ROUND(Grunddaten!BC50*((Grunddaten!$S50-Grunddaten!$Q50)/100*$G74+$E74),-1)</f>
        <v>0</v>
      </c>
      <c r="AC74" s="481">
        <f ca="1">ROUND(Grunddaten!BD50*((Grunddaten!$S50-Grunddaten!$Q50)/100*$G74+$E74),-1)</f>
        <v>0</v>
      </c>
      <c r="AD74" s="481">
        <f ca="1">ROUND(Grunddaten!BE50*((Grunddaten!$S50-Grunddaten!$Q50)/100*$G74+$E74),-1)</f>
        <v>0</v>
      </c>
      <c r="AE74" s="481">
        <f ca="1">ROUND(Grunddaten!BF50*((Grunddaten!$S50-Grunddaten!$Q50)/100*$G74+$E74),-1)</f>
        <v>0</v>
      </c>
      <c r="AF74" s="481">
        <f ca="1">ROUND(Grunddaten!BG50*((Grunddaten!$S50-Grunddaten!$Q50)/100*$G74+$E74),-1)</f>
        <v>0</v>
      </c>
      <c r="AG74" s="481">
        <f ca="1">ROUND(Grunddaten!BH50*((Grunddaten!$S50-Grunddaten!$Q50)/100*$G74+$E74),-1)</f>
        <v>0</v>
      </c>
      <c r="AH74" s="482">
        <f ca="1">ROUND(Grunddaten!BI50*((Grunddaten!$S50-Grunddaten!$Q50)/100*$G74+$E74),-1)</f>
        <v>0</v>
      </c>
      <c r="AI74" s="482">
        <f ca="1">ROUND(Grunddaten!BJ50*((Grunddaten!$S50-Grunddaten!$Q50)/100*$G74+$E74),-1)</f>
        <v>0</v>
      </c>
      <c r="AJ74" s="482">
        <f ca="1">ROUND(Grunddaten!BK50*((Grunddaten!$S50-Grunddaten!$Q50)/100*$G74+$E74),-1)</f>
        <v>0</v>
      </c>
      <c r="AK74" s="482">
        <f ca="1">ROUND(Grunddaten!BL50*((Grunddaten!$S50-Grunddaten!$Q50)/100*$G74+$E74),-1)</f>
        <v>0</v>
      </c>
      <c r="AL74" s="482">
        <f ca="1">ROUND(Grunddaten!BM50*((Grunddaten!$S50-Grunddaten!$Q50)/100*$G74+$E74),-1)</f>
        <v>0</v>
      </c>
      <c r="AM74" s="482">
        <f ca="1">ROUND(Grunddaten!BN50*((Grunddaten!$S50-Grunddaten!$Q50)/100*$G74+$E74),-1)</f>
        <v>0</v>
      </c>
      <c r="AN74" s="482">
        <f ca="1">ROUND(Grunddaten!BO50*((Grunddaten!$S50-Grunddaten!$Q50)/100*$G74+$E74),-1)</f>
        <v>0</v>
      </c>
      <c r="AO74" s="482">
        <f ca="1">ROUND(Grunddaten!BP50*((Grunddaten!$S50-Grunddaten!$Q50)/100*$G74+$E74),-1)</f>
        <v>0</v>
      </c>
      <c r="AP74" s="482">
        <f ca="1">ROUND(Grunddaten!BQ50*((Grunddaten!$S50-Grunddaten!$Q50)/100*$G74+$E74),-1)</f>
        <v>0</v>
      </c>
      <c r="AQ74" s="482">
        <f ca="1">ROUND(Grunddaten!BR50*((Grunddaten!$S50-Grunddaten!$Q50)/100*$G74+$E74),-1)</f>
        <v>0</v>
      </c>
      <c r="AR74" s="482">
        <f ca="1">ROUND(Grunddaten!BS50*((Grunddaten!$S50-Grunddaten!$Q50)/100*$G74+$E74),-1)</f>
        <v>0</v>
      </c>
      <c r="AS74" s="482">
        <f ca="1">ROUND(Grunddaten!BT50*((Grunddaten!$S50-Grunddaten!$Q50)/100*$G74+$E74),-1)</f>
        <v>0</v>
      </c>
      <c r="AT74" s="482">
        <f ca="1">ROUND(Grunddaten!BU50*((Grunddaten!$S50-Grunddaten!$Q50)/100*$G74+$E74),-1)</f>
        <v>0</v>
      </c>
      <c r="AU74" s="482">
        <f ca="1">ROUND(Grunddaten!BV50*((Grunddaten!$S50-Grunddaten!$Q50)/100*$G74+$E74),-1)</f>
        <v>0</v>
      </c>
      <c r="AV74" s="482">
        <f ca="1">ROUND(Grunddaten!BW50*((Grunddaten!$S50-Grunddaten!$Q50)/100*$G74+$E74),-1)</f>
        <v>0</v>
      </c>
      <c r="AW74" s="482">
        <f ca="1">ROUND(Grunddaten!BX50*((Grunddaten!$S50-Grunddaten!$Q50)/100*$G74+$E74),-1)</f>
        <v>0</v>
      </c>
      <c r="AX74" s="482">
        <f ca="1">ROUND(Grunddaten!BY50*((Grunddaten!$S50-Grunddaten!$Q50)/100*$G74+$E74),-1)</f>
        <v>0</v>
      </c>
      <c r="AY74" s="482">
        <f ca="1">ROUND(Grunddaten!BZ50*((Grunddaten!$S50-Grunddaten!$Q50)/100*$G74+$E74),-1)</f>
        <v>0</v>
      </c>
      <c r="AZ74" s="482">
        <f ca="1">ROUND(Grunddaten!CA50*((Grunddaten!$S50-Grunddaten!$Q50)/100*$G74+$E74),-1)</f>
        <v>0</v>
      </c>
      <c r="BA74" s="482">
        <f ca="1">ROUND(Grunddaten!CB50*((Grunddaten!$S50-Grunddaten!$Q50)/100*$G74+$E74),-1)</f>
        <v>0</v>
      </c>
      <c r="BB74" s="482">
        <f ca="1">ROUND(Grunddaten!CC50*((Grunddaten!$S50-Grunddaten!$Q50)/100*$G74+$E74),-1)</f>
        <v>0</v>
      </c>
      <c r="BC74" s="482">
        <f ca="1">ROUND(Grunddaten!CD50*((Grunddaten!$S50-Grunddaten!$Q50)/100*$G74+$E74),-1)</f>
        <v>0</v>
      </c>
      <c r="BD74" s="482">
        <f ca="1">ROUND(Grunddaten!CE50*((Grunddaten!$S50-Grunddaten!$Q50)/100*$G74+$E74),-1)</f>
        <v>0</v>
      </c>
      <c r="BE74" s="482">
        <f ca="1">ROUND(Grunddaten!CF50*((Grunddaten!$S50-Grunddaten!$Q50)/100*$G74+$E74),-1)</f>
        <v>0</v>
      </c>
      <c r="BF74" s="482">
        <f ca="1">ROUND(Grunddaten!CG50*((Grunddaten!$S50-Grunddaten!$Q50)/100*$G74+$E74),-1)</f>
        <v>0</v>
      </c>
      <c r="BG74" s="482">
        <f ca="1">ROUND(Grunddaten!CH50*((Grunddaten!$S50-Grunddaten!$Q50)/100*$G74+$E74),-1)</f>
        <v>0</v>
      </c>
      <c r="BH74" s="482">
        <f ca="1">ROUND(Grunddaten!CI50*((Grunddaten!$S50-Grunddaten!$Q50)/100*$G74+$E74),-1)</f>
        <v>0</v>
      </c>
      <c r="BI74" s="482">
        <f ca="1">ROUND(Grunddaten!CJ50*((Grunddaten!$S50-Grunddaten!$Q50)/100*$G74+$E74),-1)</f>
        <v>0</v>
      </c>
      <c r="BJ74" s="482">
        <f ca="1">ROUND(Grunddaten!CK50*((Grunddaten!$S50-Grunddaten!$Q50)/100*$G74+$E74),-1)</f>
        <v>0</v>
      </c>
      <c r="BK74" s="482">
        <f ca="1">ROUND(Grunddaten!CL50*((Grunddaten!$S50-Grunddaten!$Q50)/100*$G74+$E74),-1)</f>
        <v>0</v>
      </c>
      <c r="BL74" s="482">
        <f ca="1">ROUND(Grunddaten!CM50*((Grunddaten!$S50-Grunddaten!$Q50)/100*$G74+$E74),-1)</f>
        <v>0</v>
      </c>
      <c r="BM74" s="482">
        <f ca="1">ROUND(Grunddaten!CN50*((Grunddaten!$S50-Grunddaten!$Q50)/100*$G74+$E74),-1)</f>
        <v>0</v>
      </c>
      <c r="BN74" s="482">
        <f ca="1">ROUND(Grunddaten!CO50*((Grunddaten!$S50-Grunddaten!$Q50)/100*$G74+$E74),-1)</f>
        <v>0</v>
      </c>
      <c r="BO74" s="482">
        <f ca="1">ROUND(Grunddaten!CP50*((Grunddaten!$S50-Grunddaten!$Q50)/100*$G74+$E74),-1)</f>
        <v>0</v>
      </c>
      <c r="BP74" s="482">
        <f ca="1">ROUND(Grunddaten!CQ50*((Grunddaten!$S50-Grunddaten!$Q50)/100*$G74+$E74),-1)</f>
        <v>0</v>
      </c>
      <c r="BQ74" s="483">
        <f ca="1">ROUND(Grunddaten!CR50*((Grunddaten!$S50-Grunddaten!$Q50)/100*$G74+$E74),-1)</f>
        <v>0</v>
      </c>
    </row>
    <row r="75" spans="1:69" s="88" customFormat="1" ht="11.25" customHeight="1" x14ac:dyDescent="0.2">
      <c r="A75" s="549" t="str">
        <f>Grunddaten!$C$51</f>
        <v>Brennstoff XY</v>
      </c>
      <c r="B75" s="1389"/>
      <c r="C75" s="2468"/>
      <c r="D75" s="2469"/>
      <c r="E75" s="2459">
        <f xml:space="preserve"> (IF(EV_Var3!$A$19=$A75,EV_Var3!$H$19,0) + IF(EV_Var3!$A$23=$A75,EV_Var3!$H$23,0) + IF(EV_Var3!$A$28=$A75,(EV_Var3!$H$27-EV_Var3!$AF$23),0) + IF(EV_Var3!$A$59=$A75,EV_Var3!$H$59,0)) * Grunddaten!$AI51</f>
        <v>0</v>
      </c>
      <c r="F75" s="2460"/>
      <c r="G75" s="2456">
        <f ca="1">SUMIF(EV_Var3!$A$10:$B$73,$A75,EV_Var3!$E$10:$E$73)</f>
        <v>0</v>
      </c>
      <c r="H75" s="2457"/>
      <c r="I75" s="2458"/>
      <c r="J75" s="2479">
        <f>Grunddaten!S51-(1-$R$109)*Grunddaten!Q51</f>
        <v>0</v>
      </c>
      <c r="K75" s="2480"/>
      <c r="L75" s="2645">
        <f t="shared" ca="1" si="4"/>
        <v>0</v>
      </c>
      <c r="M75" s="2646"/>
      <c r="N75" s="2647"/>
      <c r="P75" s="268"/>
      <c r="Q75" s="268"/>
      <c r="S75" s="479">
        <f ca="1">ROUND(Grunddaten!AT51*((Grunddaten!$S51-Grunddaten!$Q51)/100*$G75+$E75),-1)</f>
        <v>0</v>
      </c>
      <c r="T75" s="480">
        <f ca="1">ROUND(Grunddaten!AU51*((Grunddaten!$S51-Grunddaten!$Q51)/100*$G75+$E75),-1)</f>
        <v>0</v>
      </c>
      <c r="U75" s="480">
        <f ca="1">ROUND(Grunddaten!AV51*((Grunddaten!$S51-Grunddaten!$Q51)/100*$G75+$E75),-1)</f>
        <v>0</v>
      </c>
      <c r="V75" s="480">
        <f ca="1">ROUND(Grunddaten!AW51*((Grunddaten!$S51-Grunddaten!$Q51)/100*$G75+$E75),-1)</f>
        <v>0</v>
      </c>
      <c r="W75" s="480">
        <f ca="1">ROUND(Grunddaten!AX51*((Grunddaten!$S51-Grunddaten!$Q51)/100*$G75+$E75),-1)</f>
        <v>0</v>
      </c>
      <c r="X75" s="480">
        <f ca="1">ROUND(Grunddaten!AY51*((Grunddaten!$S51-Grunddaten!$Q51)/100*$G75+$E75),-1)</f>
        <v>0</v>
      </c>
      <c r="Y75" s="480">
        <f ca="1">ROUND(Grunddaten!AZ51*((Grunddaten!$S51-Grunddaten!$Q51)/100*$G75+$E75),-1)</f>
        <v>0</v>
      </c>
      <c r="Z75" s="480">
        <f ca="1">ROUND(Grunddaten!BA51*((Grunddaten!$S51-Grunddaten!$Q51)/100*$G75+$E75),-1)</f>
        <v>0</v>
      </c>
      <c r="AA75" s="480">
        <f ca="1">ROUND(Grunddaten!BB51*((Grunddaten!$S51-Grunddaten!$Q51)/100*$G75+$E75),-1)</f>
        <v>0</v>
      </c>
      <c r="AB75" s="481">
        <f ca="1">ROUND(Grunddaten!BC51*((Grunddaten!$S51-Grunddaten!$Q51)/100*$G75+$E75),-1)</f>
        <v>0</v>
      </c>
      <c r="AC75" s="481">
        <f ca="1">ROUND(Grunddaten!BD51*((Grunddaten!$S51-Grunddaten!$Q51)/100*$G75+$E75),-1)</f>
        <v>0</v>
      </c>
      <c r="AD75" s="481">
        <f ca="1">ROUND(Grunddaten!BE51*((Grunddaten!$S51-Grunddaten!$Q51)/100*$G75+$E75),-1)</f>
        <v>0</v>
      </c>
      <c r="AE75" s="481">
        <f ca="1">ROUND(Grunddaten!BF51*((Grunddaten!$S51-Grunddaten!$Q51)/100*$G75+$E75),-1)</f>
        <v>0</v>
      </c>
      <c r="AF75" s="481">
        <f ca="1">ROUND(Grunddaten!BG51*((Grunddaten!$S51-Grunddaten!$Q51)/100*$G75+$E75),-1)</f>
        <v>0</v>
      </c>
      <c r="AG75" s="481">
        <f ca="1">ROUND(Grunddaten!BH51*((Grunddaten!$S51-Grunddaten!$Q51)/100*$G75+$E75),-1)</f>
        <v>0</v>
      </c>
      <c r="AH75" s="482">
        <f ca="1">ROUND(Grunddaten!BI51*((Grunddaten!$S51-Grunddaten!$Q51)/100*$G75+$E75),-1)</f>
        <v>0</v>
      </c>
      <c r="AI75" s="482">
        <f ca="1">ROUND(Grunddaten!BJ51*((Grunddaten!$S51-Grunddaten!$Q51)/100*$G75+$E75),-1)</f>
        <v>0</v>
      </c>
      <c r="AJ75" s="482">
        <f ca="1">ROUND(Grunddaten!BK51*((Grunddaten!$S51-Grunddaten!$Q51)/100*$G75+$E75),-1)</f>
        <v>0</v>
      </c>
      <c r="AK75" s="482">
        <f ca="1">ROUND(Grunddaten!BL51*((Grunddaten!$S51-Grunddaten!$Q51)/100*$G75+$E75),-1)</f>
        <v>0</v>
      </c>
      <c r="AL75" s="482">
        <f ca="1">ROUND(Grunddaten!BM51*((Grunddaten!$S51-Grunddaten!$Q51)/100*$G75+$E75),-1)</f>
        <v>0</v>
      </c>
      <c r="AM75" s="482">
        <f ca="1">ROUND(Grunddaten!BN51*((Grunddaten!$S51-Grunddaten!$Q51)/100*$G75+$E75),-1)</f>
        <v>0</v>
      </c>
      <c r="AN75" s="482">
        <f ca="1">ROUND(Grunddaten!BO51*((Grunddaten!$S51-Grunddaten!$Q51)/100*$G75+$E75),-1)</f>
        <v>0</v>
      </c>
      <c r="AO75" s="482">
        <f ca="1">ROUND(Grunddaten!BP51*((Grunddaten!$S51-Grunddaten!$Q51)/100*$G75+$E75),-1)</f>
        <v>0</v>
      </c>
      <c r="AP75" s="482">
        <f ca="1">ROUND(Grunddaten!BQ51*((Grunddaten!$S51-Grunddaten!$Q51)/100*$G75+$E75),-1)</f>
        <v>0</v>
      </c>
      <c r="AQ75" s="482">
        <f ca="1">ROUND(Grunddaten!BR51*((Grunddaten!$S51-Grunddaten!$Q51)/100*$G75+$E75),-1)</f>
        <v>0</v>
      </c>
      <c r="AR75" s="482">
        <f ca="1">ROUND(Grunddaten!BS51*((Grunddaten!$S51-Grunddaten!$Q51)/100*$G75+$E75),-1)</f>
        <v>0</v>
      </c>
      <c r="AS75" s="482">
        <f ca="1">ROUND(Grunddaten!BT51*((Grunddaten!$S51-Grunddaten!$Q51)/100*$G75+$E75),-1)</f>
        <v>0</v>
      </c>
      <c r="AT75" s="482">
        <f ca="1">ROUND(Grunddaten!BU51*((Grunddaten!$S51-Grunddaten!$Q51)/100*$G75+$E75),-1)</f>
        <v>0</v>
      </c>
      <c r="AU75" s="482">
        <f ca="1">ROUND(Grunddaten!BV51*((Grunddaten!$S51-Grunddaten!$Q51)/100*$G75+$E75),-1)</f>
        <v>0</v>
      </c>
      <c r="AV75" s="482">
        <f ca="1">ROUND(Grunddaten!BW51*((Grunddaten!$S51-Grunddaten!$Q51)/100*$G75+$E75),-1)</f>
        <v>0</v>
      </c>
      <c r="AW75" s="482">
        <f ca="1">ROUND(Grunddaten!BX51*((Grunddaten!$S51-Grunddaten!$Q51)/100*$G75+$E75),-1)</f>
        <v>0</v>
      </c>
      <c r="AX75" s="482">
        <f ca="1">ROUND(Grunddaten!BY51*((Grunddaten!$S51-Grunddaten!$Q51)/100*$G75+$E75),-1)</f>
        <v>0</v>
      </c>
      <c r="AY75" s="482">
        <f ca="1">ROUND(Grunddaten!BZ51*((Grunddaten!$S51-Grunddaten!$Q51)/100*$G75+$E75),-1)</f>
        <v>0</v>
      </c>
      <c r="AZ75" s="482">
        <f ca="1">ROUND(Grunddaten!CA51*((Grunddaten!$S51-Grunddaten!$Q51)/100*$G75+$E75),-1)</f>
        <v>0</v>
      </c>
      <c r="BA75" s="482">
        <f ca="1">ROUND(Grunddaten!CB51*((Grunddaten!$S51-Grunddaten!$Q51)/100*$G75+$E75),-1)</f>
        <v>0</v>
      </c>
      <c r="BB75" s="482">
        <f ca="1">ROUND(Grunddaten!CC51*((Grunddaten!$S51-Grunddaten!$Q51)/100*$G75+$E75),-1)</f>
        <v>0</v>
      </c>
      <c r="BC75" s="482">
        <f ca="1">ROUND(Grunddaten!CD51*((Grunddaten!$S51-Grunddaten!$Q51)/100*$G75+$E75),-1)</f>
        <v>0</v>
      </c>
      <c r="BD75" s="482">
        <f ca="1">ROUND(Grunddaten!CE51*((Grunddaten!$S51-Grunddaten!$Q51)/100*$G75+$E75),-1)</f>
        <v>0</v>
      </c>
      <c r="BE75" s="482">
        <f ca="1">ROUND(Grunddaten!CF51*((Grunddaten!$S51-Grunddaten!$Q51)/100*$G75+$E75),-1)</f>
        <v>0</v>
      </c>
      <c r="BF75" s="482">
        <f ca="1">ROUND(Grunddaten!CG51*((Grunddaten!$S51-Grunddaten!$Q51)/100*$G75+$E75),-1)</f>
        <v>0</v>
      </c>
      <c r="BG75" s="482">
        <f ca="1">ROUND(Grunddaten!CH51*((Grunddaten!$S51-Grunddaten!$Q51)/100*$G75+$E75),-1)</f>
        <v>0</v>
      </c>
      <c r="BH75" s="482">
        <f ca="1">ROUND(Grunddaten!CI51*((Grunddaten!$S51-Grunddaten!$Q51)/100*$G75+$E75),-1)</f>
        <v>0</v>
      </c>
      <c r="BI75" s="482">
        <f ca="1">ROUND(Grunddaten!CJ51*((Grunddaten!$S51-Grunddaten!$Q51)/100*$G75+$E75),-1)</f>
        <v>0</v>
      </c>
      <c r="BJ75" s="482">
        <f ca="1">ROUND(Grunddaten!CK51*((Grunddaten!$S51-Grunddaten!$Q51)/100*$G75+$E75),-1)</f>
        <v>0</v>
      </c>
      <c r="BK75" s="482">
        <f ca="1">ROUND(Grunddaten!CL51*((Grunddaten!$S51-Grunddaten!$Q51)/100*$G75+$E75),-1)</f>
        <v>0</v>
      </c>
      <c r="BL75" s="482">
        <f ca="1">ROUND(Grunddaten!CM51*((Grunddaten!$S51-Grunddaten!$Q51)/100*$G75+$E75),-1)</f>
        <v>0</v>
      </c>
      <c r="BM75" s="482">
        <f ca="1">ROUND(Grunddaten!CN51*((Grunddaten!$S51-Grunddaten!$Q51)/100*$G75+$E75),-1)</f>
        <v>0</v>
      </c>
      <c r="BN75" s="482">
        <f ca="1">ROUND(Grunddaten!CO51*((Grunddaten!$S51-Grunddaten!$Q51)/100*$G75+$E75),-1)</f>
        <v>0</v>
      </c>
      <c r="BO75" s="482">
        <f ca="1">ROUND(Grunddaten!CP51*((Grunddaten!$S51-Grunddaten!$Q51)/100*$G75+$E75),-1)</f>
        <v>0</v>
      </c>
      <c r="BP75" s="482">
        <f ca="1">ROUND(Grunddaten!CQ51*((Grunddaten!$S51-Grunddaten!$Q51)/100*$G75+$E75),-1)</f>
        <v>0</v>
      </c>
      <c r="BQ75" s="483">
        <f ca="1">ROUND(Grunddaten!CR51*((Grunddaten!$S51-Grunddaten!$Q51)/100*$G75+$E75),-1)</f>
        <v>0</v>
      </c>
    </row>
    <row r="76" spans="1:69" s="88" customFormat="1" ht="11.25" customHeight="1" x14ac:dyDescent="0.2">
      <c r="A76" s="513" t="str">
        <f>Grunddaten!A52</f>
        <v>Fernwärme</v>
      </c>
      <c r="B76" s="1377"/>
      <c r="C76" s="2468"/>
      <c r="D76" s="2469"/>
      <c r="E76" s="2459">
        <f xml:space="preserve"> VLOOKUP(Projektdaten!$G$22,Grunddaten!$C$52:$AI$54,33,FALSE) * IF(Grunddaten!$AM$55=Grunddaten!$AK$54,SQRT(EV_Var3!$AF$30/1000)*1000,EV_Var3!$AF$30)</f>
        <v>0</v>
      </c>
      <c r="F76" s="2460"/>
      <c r="G76" s="2456">
        <f ca="1">SUMIF(EV_Var3!$A$10:$B$73,$A76,EV_Var3!$E$10:$E$73)</f>
        <v>0</v>
      </c>
      <c r="H76" s="2457"/>
      <c r="I76" s="2458"/>
      <c r="J76" s="2461">
        <f ca="1">OFFSET(Grunddaten!$S$52,FW_Produkt,0)-(1-R109)*OFFSET(Grunddaten!$Q$52,FW_Produkt,0)</f>
        <v>8.0487999999999982</v>
      </c>
      <c r="K76" s="2462"/>
      <c r="L76" s="2645">
        <f t="shared" ca="1" si="4"/>
        <v>0</v>
      </c>
      <c r="M76" s="2646"/>
      <c r="N76" s="2647"/>
      <c r="P76" s="268"/>
      <c r="Q76" s="268"/>
      <c r="S76" s="479">
        <f ca="1">ROUND(OFFSET(Grunddaten!AT52,FW_Produkt,0)*((OFFSET(Grunddaten!$S52,FW_Produkt,0)-OFFSET(Grunddaten!$Q52,FW_Produkt,0))/100*$G76+$E76),-1)</f>
        <v>0</v>
      </c>
      <c r="T76" s="480">
        <f ca="1">ROUND(OFFSET(Grunddaten!AU52,FW_Produkt,0)*((OFFSET(Grunddaten!$S52,FW_Produkt,0)-OFFSET(Grunddaten!$Q52,FW_Produkt,0))/100*$G76+$E76),-1)</f>
        <v>0</v>
      </c>
      <c r="U76" s="480">
        <f ca="1">ROUND(OFFSET(Grunddaten!AV52,FW_Produkt,0)*((OFFSET(Grunddaten!$S52,FW_Produkt,0)-OFFSET(Grunddaten!$Q52,FW_Produkt,0))/100*$G76+$E76),-1)</f>
        <v>0</v>
      </c>
      <c r="V76" s="480">
        <f ca="1">ROUND(OFFSET(Grunddaten!AW52,FW_Produkt,0)*((OFFSET(Grunddaten!$S52,FW_Produkt,0)-OFFSET(Grunddaten!$Q52,FW_Produkt,0))/100*$G76+$E76),-1)</f>
        <v>0</v>
      </c>
      <c r="W76" s="480">
        <f ca="1">ROUND(OFFSET(Grunddaten!AX52,FW_Produkt,0)*((OFFSET(Grunddaten!$S52,FW_Produkt,0)-OFFSET(Grunddaten!$Q52,FW_Produkt,0))/100*$G76+$E76),-1)</f>
        <v>0</v>
      </c>
      <c r="X76" s="480">
        <f ca="1">ROUND(OFFSET(Grunddaten!AY52,FW_Produkt,0)*((OFFSET(Grunddaten!$S52,FW_Produkt,0)-OFFSET(Grunddaten!$Q52,FW_Produkt,0))/100*$G76+$E76),-1)</f>
        <v>0</v>
      </c>
      <c r="Y76" s="480">
        <f ca="1">ROUND(OFFSET(Grunddaten!AZ52,FW_Produkt,0)*((OFFSET(Grunddaten!$S52,FW_Produkt,0)-OFFSET(Grunddaten!$Q52,FW_Produkt,0))/100*$G76+$E76),-1)</f>
        <v>0</v>
      </c>
      <c r="Z76" s="480">
        <f ca="1">ROUND(OFFSET(Grunddaten!BA52,FW_Produkt,0)*((OFFSET(Grunddaten!$S52,FW_Produkt,0)-OFFSET(Grunddaten!$Q52,FW_Produkt,0))/100*$G76+$E76),-1)</f>
        <v>0</v>
      </c>
      <c r="AA76" s="480">
        <f ca="1">ROUND(OFFSET(Grunddaten!BB52,FW_Produkt,0)*((OFFSET(Grunddaten!$S52,FW_Produkt,0)-OFFSET(Grunddaten!$Q52,FW_Produkt,0))/100*$G76+$E76),-1)</f>
        <v>0</v>
      </c>
      <c r="AB76" s="480">
        <f ca="1">ROUND(OFFSET(Grunddaten!BC52,FW_Produkt,0)*((OFFSET(Grunddaten!$S52,FW_Produkt,0)-OFFSET(Grunddaten!$Q52,FW_Produkt,0))/100*$G76+$E76),-1)</f>
        <v>0</v>
      </c>
      <c r="AC76" s="480">
        <f ca="1">ROUND(OFFSET(Grunddaten!BD52,FW_Produkt,0)*((OFFSET(Grunddaten!$S52,FW_Produkt,0)-OFFSET(Grunddaten!$Q52,FW_Produkt,0))/100*$G76+$E76),-1)</f>
        <v>0</v>
      </c>
      <c r="AD76" s="480">
        <f ca="1">ROUND(OFFSET(Grunddaten!BE52,FW_Produkt,0)*((OFFSET(Grunddaten!$S52,FW_Produkt,0)-OFFSET(Grunddaten!$Q52,FW_Produkt,0))/100*$G76+$E76),-1)</f>
        <v>0</v>
      </c>
      <c r="AE76" s="480">
        <f ca="1">ROUND(OFFSET(Grunddaten!BF52,FW_Produkt,0)*((OFFSET(Grunddaten!$S52,FW_Produkt,0)-OFFSET(Grunddaten!$Q52,FW_Produkt,0))/100*$G76+$E76),-1)</f>
        <v>0</v>
      </c>
      <c r="AF76" s="480">
        <f ca="1">ROUND(OFFSET(Grunddaten!BG52,FW_Produkt,0)*((OFFSET(Grunddaten!$S52,FW_Produkt,0)-OFFSET(Grunddaten!$Q52,FW_Produkt,0))/100*$G76+$E76),-1)</f>
        <v>0</v>
      </c>
      <c r="AG76" s="480">
        <f ca="1">ROUND(OFFSET(Grunddaten!BH52,FW_Produkt,0)*((OFFSET(Grunddaten!$S52,FW_Produkt,0)-OFFSET(Grunddaten!$Q52,FW_Produkt,0))/100*$G76+$E76),-1)</f>
        <v>0</v>
      </c>
      <c r="AH76" s="480">
        <f ca="1">ROUND(OFFSET(Grunddaten!BI52,FW_Produkt,0)*((OFFSET(Grunddaten!$S52,FW_Produkt,0)-OFFSET(Grunddaten!$Q52,FW_Produkt,0))/100*$G76+$E76),-1)</f>
        <v>0</v>
      </c>
      <c r="AI76" s="480">
        <f ca="1">ROUND(OFFSET(Grunddaten!BJ52,FW_Produkt,0)*((OFFSET(Grunddaten!$S52,FW_Produkt,0)-OFFSET(Grunddaten!$Q52,FW_Produkt,0))/100*$G76+$E76),-1)</f>
        <v>0</v>
      </c>
      <c r="AJ76" s="480">
        <f ca="1">ROUND(OFFSET(Grunddaten!BK52,FW_Produkt,0)*((OFFSET(Grunddaten!$S52,FW_Produkt,0)-OFFSET(Grunddaten!$Q52,FW_Produkt,0))/100*$G76+$E76),-1)</f>
        <v>0</v>
      </c>
      <c r="AK76" s="480">
        <f ca="1">ROUND(OFFSET(Grunddaten!BL52,FW_Produkt,0)*((OFFSET(Grunddaten!$S52,FW_Produkt,0)-OFFSET(Grunddaten!$Q52,FW_Produkt,0))/100*$G76+$E76),-1)</f>
        <v>0</v>
      </c>
      <c r="AL76" s="480">
        <f ca="1">ROUND(OFFSET(Grunddaten!BM52,FW_Produkt,0)*((OFFSET(Grunddaten!$S52,FW_Produkt,0)-OFFSET(Grunddaten!$Q52,FW_Produkt,0))/100*$G76+$E76),-1)</f>
        <v>0</v>
      </c>
      <c r="AM76" s="480">
        <f ca="1">ROUND(OFFSET(Grunddaten!BN52,FW_Produkt,0)*((OFFSET(Grunddaten!$S52,FW_Produkt,0)-OFFSET(Grunddaten!$Q52,FW_Produkt,0))/100*$G76+$E76),-1)</f>
        <v>0</v>
      </c>
      <c r="AN76" s="480">
        <f ca="1">ROUND(OFFSET(Grunddaten!BO52,FW_Produkt,0)*((OFFSET(Grunddaten!$S52,FW_Produkt,0)-OFFSET(Grunddaten!$Q52,FW_Produkt,0))/100*$G76+$E76),-1)</f>
        <v>0</v>
      </c>
      <c r="AO76" s="480">
        <f ca="1">ROUND(OFFSET(Grunddaten!BP52,FW_Produkt,0)*((OFFSET(Grunddaten!$S52,FW_Produkt,0)-OFFSET(Grunddaten!$Q52,FW_Produkt,0))/100*$G76+$E76),-1)</f>
        <v>0</v>
      </c>
      <c r="AP76" s="480">
        <f ca="1">ROUND(OFFSET(Grunddaten!BQ52,FW_Produkt,0)*((OFFSET(Grunddaten!$S52,FW_Produkt,0)-OFFSET(Grunddaten!$Q52,FW_Produkt,0))/100*$G76+$E76),-1)</f>
        <v>0</v>
      </c>
      <c r="AQ76" s="480">
        <f ca="1">ROUND(OFFSET(Grunddaten!BR52,FW_Produkt,0)*((OFFSET(Grunddaten!$S52,FW_Produkt,0)-OFFSET(Grunddaten!$Q52,FW_Produkt,0))/100*$G76+$E76),-1)</f>
        <v>0</v>
      </c>
      <c r="AR76" s="480">
        <f ca="1">ROUND(OFFSET(Grunddaten!BS52,FW_Produkt,0)*((OFFSET(Grunddaten!$S52,FW_Produkt,0)-OFFSET(Grunddaten!$Q52,FW_Produkt,0))/100*$G76+$E76),-1)</f>
        <v>0</v>
      </c>
      <c r="AS76" s="480">
        <f ca="1">ROUND(OFFSET(Grunddaten!BT52,FW_Produkt,0)*((OFFSET(Grunddaten!$S52,FW_Produkt,0)-OFFSET(Grunddaten!$Q52,FW_Produkt,0))/100*$G76+$E76),-1)</f>
        <v>0</v>
      </c>
      <c r="AT76" s="480">
        <f ca="1">ROUND(OFFSET(Grunddaten!BU52,FW_Produkt,0)*((OFFSET(Grunddaten!$S52,FW_Produkt,0)-OFFSET(Grunddaten!$Q52,FW_Produkt,0))/100*$G76+$E76),-1)</f>
        <v>0</v>
      </c>
      <c r="AU76" s="480">
        <f ca="1">ROUND(OFFSET(Grunddaten!BV52,FW_Produkt,0)*((OFFSET(Grunddaten!$S52,FW_Produkt,0)-OFFSET(Grunddaten!$Q52,FW_Produkt,0))/100*$G76+$E76),-1)</f>
        <v>0</v>
      </c>
      <c r="AV76" s="480">
        <f ca="1">ROUND(OFFSET(Grunddaten!BW52,FW_Produkt,0)*((OFFSET(Grunddaten!$S52,FW_Produkt,0)-OFFSET(Grunddaten!$Q52,FW_Produkt,0))/100*$G76+$E76),-1)</f>
        <v>0</v>
      </c>
      <c r="AW76" s="480">
        <f ca="1">ROUND(OFFSET(Grunddaten!BX52,FW_Produkt,0)*((OFFSET(Grunddaten!$S52,FW_Produkt,0)-OFFSET(Grunddaten!$Q52,FW_Produkt,0))/100*$G76+$E76),-1)</f>
        <v>0</v>
      </c>
      <c r="AX76" s="480">
        <f ca="1">ROUND(OFFSET(Grunddaten!BY52,FW_Produkt,0)*((OFFSET(Grunddaten!$S52,FW_Produkt,0)-OFFSET(Grunddaten!$Q52,FW_Produkt,0))/100*$G76+$E76),-1)</f>
        <v>0</v>
      </c>
      <c r="AY76" s="480">
        <f ca="1">ROUND(OFFSET(Grunddaten!BZ52,FW_Produkt,0)*((OFFSET(Grunddaten!$S52,FW_Produkt,0)-OFFSET(Grunddaten!$Q52,FW_Produkt,0))/100*$G76+$E76),-1)</f>
        <v>0</v>
      </c>
      <c r="AZ76" s="480">
        <f ca="1">ROUND(OFFSET(Grunddaten!CA52,FW_Produkt,0)*((OFFSET(Grunddaten!$S52,FW_Produkt,0)-OFFSET(Grunddaten!$Q52,FW_Produkt,0))/100*$G76+$E76),-1)</f>
        <v>0</v>
      </c>
      <c r="BA76" s="480">
        <f ca="1">ROUND(OFFSET(Grunddaten!CB52,FW_Produkt,0)*((OFFSET(Grunddaten!$S52,FW_Produkt,0)-OFFSET(Grunddaten!$Q52,FW_Produkt,0))/100*$G76+$E76),-1)</f>
        <v>0</v>
      </c>
      <c r="BB76" s="480">
        <f ca="1">ROUND(OFFSET(Grunddaten!CC52,FW_Produkt,0)*((OFFSET(Grunddaten!$S52,FW_Produkt,0)-OFFSET(Grunddaten!$Q52,FW_Produkt,0))/100*$G76+$E76),-1)</f>
        <v>0</v>
      </c>
      <c r="BC76" s="480">
        <f ca="1">ROUND(OFFSET(Grunddaten!CD52,FW_Produkt,0)*((OFFSET(Grunddaten!$S52,FW_Produkt,0)-OFFSET(Grunddaten!$Q52,FW_Produkt,0))/100*$G76+$E76),-1)</f>
        <v>0</v>
      </c>
      <c r="BD76" s="480">
        <f ca="1">ROUND(OFFSET(Grunddaten!CE52,FW_Produkt,0)*((OFFSET(Grunddaten!$S52,FW_Produkt,0)-OFFSET(Grunddaten!$Q52,FW_Produkt,0))/100*$G76+$E76),-1)</f>
        <v>0</v>
      </c>
      <c r="BE76" s="480">
        <f ca="1">ROUND(OFFSET(Grunddaten!CF52,FW_Produkt,0)*((OFFSET(Grunddaten!$S52,FW_Produkt,0)-OFFSET(Grunddaten!$Q52,FW_Produkt,0))/100*$G76+$E76),-1)</f>
        <v>0</v>
      </c>
      <c r="BF76" s="480">
        <f ca="1">ROUND(OFFSET(Grunddaten!CG52,FW_Produkt,0)*((OFFSET(Grunddaten!$S52,FW_Produkt,0)-OFFSET(Grunddaten!$Q52,FW_Produkt,0))/100*$G76+$E76),-1)</f>
        <v>0</v>
      </c>
      <c r="BG76" s="480">
        <f ca="1">ROUND(OFFSET(Grunddaten!CH52,FW_Produkt,0)*((OFFSET(Grunddaten!$S52,FW_Produkt,0)-OFFSET(Grunddaten!$Q52,FW_Produkt,0))/100*$G76+$E76),-1)</f>
        <v>0</v>
      </c>
      <c r="BH76" s="480">
        <f ca="1">ROUND(OFFSET(Grunddaten!CI52,FW_Produkt,0)*((OFFSET(Grunddaten!$S52,FW_Produkt,0)-OFFSET(Grunddaten!$Q52,FW_Produkt,0))/100*$G76+$E76),-1)</f>
        <v>0</v>
      </c>
      <c r="BI76" s="480">
        <f ca="1">ROUND(OFFSET(Grunddaten!CJ52,FW_Produkt,0)*((OFFSET(Grunddaten!$S52,FW_Produkt,0)-OFFSET(Grunddaten!$Q52,FW_Produkt,0))/100*$G76+$E76),-1)</f>
        <v>0</v>
      </c>
      <c r="BJ76" s="480">
        <f ca="1">ROUND(OFFSET(Grunddaten!CK52,FW_Produkt,0)*((OFFSET(Grunddaten!$S52,FW_Produkt,0)-OFFSET(Grunddaten!$Q52,FW_Produkt,0))/100*$G76+$E76),-1)</f>
        <v>0</v>
      </c>
      <c r="BK76" s="480">
        <f ca="1">ROUND(OFFSET(Grunddaten!CL52,FW_Produkt,0)*((OFFSET(Grunddaten!$S52,FW_Produkt,0)-OFFSET(Grunddaten!$Q52,FW_Produkt,0))/100*$G76+$E76),-1)</f>
        <v>0</v>
      </c>
      <c r="BL76" s="480">
        <f ca="1">ROUND(OFFSET(Grunddaten!CM52,FW_Produkt,0)*((OFFSET(Grunddaten!$S52,FW_Produkt,0)-OFFSET(Grunddaten!$Q52,FW_Produkt,0))/100*$G76+$E76),-1)</f>
        <v>0</v>
      </c>
      <c r="BM76" s="480">
        <f ca="1">ROUND(OFFSET(Grunddaten!CN52,FW_Produkt,0)*((OFFSET(Grunddaten!$S52,FW_Produkt,0)-OFFSET(Grunddaten!$Q52,FW_Produkt,0))/100*$G76+$E76),-1)</f>
        <v>0</v>
      </c>
      <c r="BN76" s="480">
        <f ca="1">ROUND(OFFSET(Grunddaten!CO52,FW_Produkt,0)*((OFFSET(Grunddaten!$S52,FW_Produkt,0)-OFFSET(Grunddaten!$Q52,FW_Produkt,0))/100*$G76+$E76),-1)</f>
        <v>0</v>
      </c>
      <c r="BO76" s="480">
        <f ca="1">ROUND(OFFSET(Grunddaten!CP52,FW_Produkt,0)*((OFFSET(Grunddaten!$S52,FW_Produkt,0)-OFFSET(Grunddaten!$Q52,FW_Produkt,0))/100*$G76+$E76),-1)</f>
        <v>0</v>
      </c>
      <c r="BP76" s="480">
        <f ca="1">ROUND(OFFSET(Grunddaten!CQ52,FW_Produkt,0)*((OFFSET(Grunddaten!$S52,FW_Produkt,0)-OFFSET(Grunddaten!$Q52,FW_Produkt,0))/100*$G76+$E76),-1)</f>
        <v>0</v>
      </c>
      <c r="BQ76" s="484">
        <f ca="1">ROUND(OFFSET(Grunddaten!CR52,FW_Produkt,0)*((OFFSET(Grunddaten!$S52,FW_Produkt,0)-OFFSET(Grunddaten!$Q52,FW_Produkt,0))/100*$G76+$E76),-1)</f>
        <v>0</v>
      </c>
    </row>
    <row r="77" spans="1:69" s="88" customFormat="1" ht="11.25" customHeight="1" x14ac:dyDescent="0.2">
      <c r="A77" s="549" t="str">
        <f>Grunddaten!C55</f>
        <v>Wärmeverbund XY</v>
      </c>
      <c r="B77" s="1389"/>
      <c r="C77" s="2468"/>
      <c r="D77" s="2469"/>
      <c r="E77" s="2459">
        <f xml:space="preserve"> ( EV_Var3!I12 + IF(EV_Var3!$A$26=$A77,EV_Var3!$AF$23,0) + IF(EV_Var3!$A$31=$A77,EV_Var3!$AF$24,0) + IF(EV_Var3!$A$35=$A77,EV_Var3!$AF$25) ) * Grunddaten!$AI$55</f>
        <v>0</v>
      </c>
      <c r="F77" s="2460"/>
      <c r="G77" s="2456">
        <f ca="1">SUMIF(EV_Var3!$A$10:$B$73,$A77,EV_Var3!$E$10:$E$73)</f>
        <v>0</v>
      </c>
      <c r="H77" s="2457"/>
      <c r="I77" s="2458"/>
      <c r="J77" s="2479">
        <f>Grunddaten!S55-(1-$R$109)*Grunddaten!Q55</f>
        <v>0</v>
      </c>
      <c r="K77" s="2480"/>
      <c r="L77" s="2525">
        <f t="shared" ref="L77" ca="1" si="6">ROUND(E77+G77*J77/100,-1)</f>
        <v>0</v>
      </c>
      <c r="M77" s="2526"/>
      <c r="N77" s="2527"/>
      <c r="P77" s="1259"/>
      <c r="Q77" s="1259"/>
      <c r="S77" s="427">
        <f ca="1">ROUND(Grunddaten!AT55*((Grunddaten!$S55-Grunddaten!$Q55)/100*$G77+$E77),-1)</f>
        <v>0</v>
      </c>
      <c r="T77" s="428">
        <f ca="1">ROUND(Grunddaten!AU55*((Grunddaten!$S55-Grunddaten!$Q55)/100*$G77+$E77),-1)</f>
        <v>0</v>
      </c>
      <c r="U77" s="428">
        <f ca="1">ROUND(Grunddaten!AV55*((Grunddaten!$S55-Grunddaten!$Q55)/100*$G77+$E77),-1)</f>
        <v>0</v>
      </c>
      <c r="V77" s="428">
        <f ca="1">ROUND(Grunddaten!AW55*((Grunddaten!$S55-Grunddaten!$Q55)/100*$G77+$E77),-1)</f>
        <v>0</v>
      </c>
      <c r="W77" s="428">
        <f ca="1">ROUND(Grunddaten!AX55*((Grunddaten!$S55-Grunddaten!$Q55)/100*$G77+$E77),-1)</f>
        <v>0</v>
      </c>
      <c r="X77" s="428">
        <f ca="1">ROUND(Grunddaten!AY55*((Grunddaten!$S55-Grunddaten!$Q55)/100*$G77+$E77),-1)</f>
        <v>0</v>
      </c>
      <c r="Y77" s="428">
        <f ca="1">ROUND(Grunddaten!AZ55*((Grunddaten!$S55-Grunddaten!$Q55)/100*$G77+$E77),-1)</f>
        <v>0</v>
      </c>
      <c r="Z77" s="428">
        <f ca="1">ROUND(Grunddaten!BA55*((Grunddaten!$S55-Grunddaten!$Q55)/100*$G77+$E77),-1)</f>
        <v>0</v>
      </c>
      <c r="AA77" s="428">
        <f ca="1">ROUND(Grunddaten!BB55*((Grunddaten!$S55-Grunddaten!$Q55)/100*$G77+$E77),-1)</f>
        <v>0</v>
      </c>
      <c r="AB77" s="473">
        <f ca="1">ROUND(Grunddaten!BC55*((Grunddaten!$S55-Grunddaten!$Q55)/100*$G77+$E77),-1)</f>
        <v>0</v>
      </c>
      <c r="AC77" s="473">
        <f ca="1">ROUND(Grunddaten!BD55*((Grunddaten!$S55-Grunddaten!$Q55)/100*$G77+$E77),-1)</f>
        <v>0</v>
      </c>
      <c r="AD77" s="473">
        <f ca="1">ROUND(Grunddaten!BE55*((Grunddaten!$S55-Grunddaten!$Q55)/100*$G77+$E77),-1)</f>
        <v>0</v>
      </c>
      <c r="AE77" s="473">
        <f ca="1">ROUND(Grunddaten!BF55*((Grunddaten!$S55-Grunddaten!$Q55)/100*$G77+$E77),-1)</f>
        <v>0</v>
      </c>
      <c r="AF77" s="473">
        <f ca="1">ROUND(Grunddaten!BG55*((Grunddaten!$S55-Grunddaten!$Q55)/100*$G77+$E77),-1)</f>
        <v>0</v>
      </c>
      <c r="AG77" s="473">
        <f ca="1">ROUND(Grunddaten!BH55*((Grunddaten!$S55-Grunddaten!$Q55)/100*$G77+$E77),-1)</f>
        <v>0</v>
      </c>
      <c r="AH77" s="474">
        <f ca="1">ROUND(Grunddaten!BI55*((Grunddaten!$S55-Grunddaten!$Q55)/100*$G77+$E77),-1)</f>
        <v>0</v>
      </c>
      <c r="AI77" s="474">
        <f ca="1">ROUND(Grunddaten!BJ55*((Grunddaten!$S55-Grunddaten!$Q55)/100*$G77+$E77),-1)</f>
        <v>0</v>
      </c>
      <c r="AJ77" s="474">
        <f ca="1">ROUND(Grunddaten!BK55*((Grunddaten!$S55-Grunddaten!$Q55)/100*$G77+$E77),-1)</f>
        <v>0</v>
      </c>
      <c r="AK77" s="474">
        <f ca="1">ROUND(Grunddaten!BL55*((Grunddaten!$S55-Grunddaten!$Q55)/100*$G77+$E77),-1)</f>
        <v>0</v>
      </c>
      <c r="AL77" s="474">
        <f ca="1">ROUND(Grunddaten!BM55*((Grunddaten!$S55-Grunddaten!$Q55)/100*$G77+$E77),-1)</f>
        <v>0</v>
      </c>
      <c r="AM77" s="474">
        <f ca="1">ROUND(Grunddaten!BN55*((Grunddaten!$S55-Grunddaten!$Q55)/100*$G77+$E77),-1)</f>
        <v>0</v>
      </c>
      <c r="AN77" s="474">
        <f ca="1">ROUND(Grunddaten!BO55*((Grunddaten!$S55-Grunddaten!$Q55)/100*$G77+$E77),-1)</f>
        <v>0</v>
      </c>
      <c r="AO77" s="474">
        <f ca="1">ROUND(Grunddaten!BP55*((Grunddaten!$S55-Grunddaten!$Q55)/100*$G77+$E77),-1)</f>
        <v>0</v>
      </c>
      <c r="AP77" s="474">
        <f ca="1">ROUND(Grunddaten!BQ55*((Grunddaten!$S55-Grunddaten!$Q55)/100*$G77+$E77),-1)</f>
        <v>0</v>
      </c>
      <c r="AQ77" s="474">
        <f ca="1">ROUND(Grunddaten!BR55*((Grunddaten!$S55-Grunddaten!$Q55)/100*$G77+$E77),-1)</f>
        <v>0</v>
      </c>
      <c r="AR77" s="474">
        <f ca="1">ROUND(Grunddaten!BS55*((Grunddaten!$S55-Grunddaten!$Q55)/100*$G77+$E77),-1)</f>
        <v>0</v>
      </c>
      <c r="AS77" s="474">
        <f ca="1">ROUND(Grunddaten!BT55*((Grunddaten!$S55-Grunddaten!$Q55)/100*$G77+$E77),-1)</f>
        <v>0</v>
      </c>
      <c r="AT77" s="474">
        <f ca="1">ROUND(Grunddaten!BU55*((Grunddaten!$S55-Grunddaten!$Q55)/100*$G77+$E77),-1)</f>
        <v>0</v>
      </c>
      <c r="AU77" s="474">
        <f ca="1">ROUND(Grunddaten!BV55*((Grunddaten!$S55-Grunddaten!$Q55)/100*$G77+$E77),-1)</f>
        <v>0</v>
      </c>
      <c r="AV77" s="474">
        <f ca="1">ROUND(Grunddaten!BW55*((Grunddaten!$S55-Grunddaten!$Q55)/100*$G77+$E77),-1)</f>
        <v>0</v>
      </c>
      <c r="AW77" s="474">
        <f ca="1">ROUND(Grunddaten!BX55*((Grunddaten!$S55-Grunddaten!$Q55)/100*$G77+$E77),-1)</f>
        <v>0</v>
      </c>
      <c r="AX77" s="474">
        <f ca="1">ROUND(Grunddaten!BY55*((Grunddaten!$S55-Grunddaten!$Q55)/100*$G77+$E77),-1)</f>
        <v>0</v>
      </c>
      <c r="AY77" s="474">
        <f ca="1">ROUND(Grunddaten!BZ55*((Grunddaten!$S55-Grunddaten!$Q55)/100*$G77+$E77),-1)</f>
        <v>0</v>
      </c>
      <c r="AZ77" s="474">
        <f ca="1">ROUND(Grunddaten!CA55*((Grunddaten!$S55-Grunddaten!$Q55)/100*$G77+$E77),-1)</f>
        <v>0</v>
      </c>
      <c r="BA77" s="474">
        <f ca="1">ROUND(Grunddaten!CB55*((Grunddaten!$S55-Grunddaten!$Q55)/100*$G77+$E77),-1)</f>
        <v>0</v>
      </c>
      <c r="BB77" s="474">
        <f ca="1">ROUND(Grunddaten!CC55*((Grunddaten!$S55-Grunddaten!$Q55)/100*$G77+$E77),-1)</f>
        <v>0</v>
      </c>
      <c r="BC77" s="474">
        <f ca="1">ROUND(Grunddaten!CD55*((Grunddaten!$S55-Grunddaten!$Q55)/100*$G77+$E77),-1)</f>
        <v>0</v>
      </c>
      <c r="BD77" s="474">
        <f ca="1">ROUND(Grunddaten!CE55*((Grunddaten!$S55-Grunddaten!$Q55)/100*$G77+$E77),-1)</f>
        <v>0</v>
      </c>
      <c r="BE77" s="474">
        <f ca="1">ROUND(Grunddaten!CF55*((Grunddaten!$S55-Grunddaten!$Q55)/100*$G77+$E77),-1)</f>
        <v>0</v>
      </c>
      <c r="BF77" s="474">
        <f ca="1">ROUND(Grunddaten!CG55*((Grunddaten!$S55-Grunddaten!$Q55)/100*$G77+$E77),-1)</f>
        <v>0</v>
      </c>
      <c r="BG77" s="474">
        <f ca="1">ROUND(Grunddaten!CH55*((Grunddaten!$S55-Grunddaten!$Q55)/100*$G77+$E77),-1)</f>
        <v>0</v>
      </c>
      <c r="BH77" s="474">
        <f ca="1">ROUND(Grunddaten!CI55*((Grunddaten!$S55-Grunddaten!$Q55)/100*$G77+$E77),-1)</f>
        <v>0</v>
      </c>
      <c r="BI77" s="474">
        <f ca="1">ROUND(Grunddaten!CJ55*((Grunddaten!$S55-Grunddaten!$Q55)/100*$G77+$E77),-1)</f>
        <v>0</v>
      </c>
      <c r="BJ77" s="474">
        <f ca="1">ROUND(Grunddaten!CK55*((Grunddaten!$S55-Grunddaten!$Q55)/100*$G77+$E77),-1)</f>
        <v>0</v>
      </c>
      <c r="BK77" s="474">
        <f ca="1">ROUND(Grunddaten!CL55*((Grunddaten!$S55-Grunddaten!$Q55)/100*$G77+$E77),-1)</f>
        <v>0</v>
      </c>
      <c r="BL77" s="474">
        <f ca="1">ROUND(Grunddaten!CM55*((Grunddaten!$S55-Grunddaten!$Q55)/100*$G77+$E77),-1)</f>
        <v>0</v>
      </c>
      <c r="BM77" s="474">
        <f ca="1">ROUND(Grunddaten!CN55*((Grunddaten!$S55-Grunddaten!$Q55)/100*$G77+$E77),-1)</f>
        <v>0</v>
      </c>
      <c r="BN77" s="474">
        <f ca="1">ROUND(Grunddaten!CO55*((Grunddaten!$S55-Grunddaten!$Q55)/100*$G77+$E77),-1)</f>
        <v>0</v>
      </c>
      <c r="BO77" s="474">
        <f ca="1">ROUND(Grunddaten!CP55*((Grunddaten!$S55-Grunddaten!$Q55)/100*$G77+$E77),-1)</f>
        <v>0</v>
      </c>
      <c r="BP77" s="474">
        <f ca="1">ROUND(Grunddaten!CQ55*((Grunddaten!$S55-Grunddaten!$Q55)/100*$G77+$E77),-1)</f>
        <v>0</v>
      </c>
      <c r="BQ77" s="475">
        <f ca="1">ROUND(Grunddaten!CR55*((Grunddaten!$S55-Grunddaten!$Q55)/100*$G77+$E77),-1)</f>
        <v>0</v>
      </c>
    </row>
    <row r="78" spans="1:69" s="88" customFormat="1" ht="11.25" customHeight="1" thickBot="1" x14ac:dyDescent="0.25">
      <c r="A78" s="549" t="str">
        <f>Grunddaten!C56</f>
        <v>Kälteverbund XY</v>
      </c>
      <c r="B78" s="1389"/>
      <c r="C78" s="2468"/>
      <c r="D78" s="2469"/>
      <c r="E78" s="2459">
        <f xml:space="preserve"> EV_Var3!I55 * Grunddaten!$AI$56</f>
        <v>0</v>
      </c>
      <c r="F78" s="2460"/>
      <c r="G78" s="2456">
        <f ca="1">SUMIF(EV_Var3!$A$10:$B$73,$A78,EV_Var3!$E$10:$E$73)</f>
        <v>0</v>
      </c>
      <c r="H78" s="2457"/>
      <c r="I78" s="2458"/>
      <c r="J78" s="2479">
        <f>Grunddaten!S56-(1-$R$109)*Grunddaten!Q56</f>
        <v>0</v>
      </c>
      <c r="K78" s="2480"/>
      <c r="L78" s="2525">
        <f t="shared" ref="L78" ca="1" si="7">ROUND(E78+G78*J78/100,-1)</f>
        <v>0</v>
      </c>
      <c r="M78" s="2526"/>
      <c r="N78" s="2527"/>
      <c r="P78" s="1750"/>
      <c r="Q78" s="1750"/>
      <c r="S78" s="432">
        <f ca="1">ROUND(Grunddaten!AT56*((Grunddaten!$S56-Grunddaten!$Q56)/100*$G78+$E78),-1)</f>
        <v>0</v>
      </c>
      <c r="T78" s="433">
        <f ca="1">ROUND(Grunddaten!AU56*((Grunddaten!$S56-Grunddaten!$Q56)/100*$G78+$E78),-1)</f>
        <v>0</v>
      </c>
      <c r="U78" s="433">
        <f ca="1">ROUND(Grunddaten!AV56*((Grunddaten!$S56-Grunddaten!$Q56)/100*$G78+$E78),-1)</f>
        <v>0</v>
      </c>
      <c r="V78" s="433">
        <f ca="1">ROUND(Grunddaten!AW56*((Grunddaten!$S56-Grunddaten!$Q56)/100*$G78+$E78),-1)</f>
        <v>0</v>
      </c>
      <c r="W78" s="433">
        <f ca="1">ROUND(Grunddaten!AX56*((Grunddaten!$S56-Grunddaten!$Q56)/100*$G78+$E78),-1)</f>
        <v>0</v>
      </c>
      <c r="X78" s="433">
        <f ca="1">ROUND(Grunddaten!AY56*((Grunddaten!$S56-Grunddaten!$Q56)/100*$G78+$E78),-1)</f>
        <v>0</v>
      </c>
      <c r="Y78" s="433">
        <f ca="1">ROUND(Grunddaten!AZ56*((Grunddaten!$S56-Grunddaten!$Q56)/100*$G78+$E78),-1)</f>
        <v>0</v>
      </c>
      <c r="Z78" s="433">
        <f ca="1">ROUND(Grunddaten!BA56*((Grunddaten!$S56-Grunddaten!$Q56)/100*$G78+$E78),-1)</f>
        <v>0</v>
      </c>
      <c r="AA78" s="433">
        <f ca="1">ROUND(Grunddaten!BB56*((Grunddaten!$S56-Grunddaten!$Q56)/100*$G78+$E78),-1)</f>
        <v>0</v>
      </c>
      <c r="AB78" s="1264">
        <f ca="1">ROUND(Grunddaten!BC56*((Grunddaten!$S56-Grunddaten!$Q56)/100*$G78+$E78),-1)</f>
        <v>0</v>
      </c>
      <c r="AC78" s="1264">
        <f ca="1">ROUND(Grunddaten!BD56*((Grunddaten!$S56-Grunddaten!$Q56)/100*$G78+$E78),-1)</f>
        <v>0</v>
      </c>
      <c r="AD78" s="1264">
        <f ca="1">ROUND(Grunddaten!BE56*((Grunddaten!$S56-Grunddaten!$Q56)/100*$G78+$E78),-1)</f>
        <v>0</v>
      </c>
      <c r="AE78" s="1264">
        <f ca="1">ROUND(Grunddaten!BF56*((Grunddaten!$S56-Grunddaten!$Q56)/100*$G78+$E78),-1)</f>
        <v>0</v>
      </c>
      <c r="AF78" s="1264">
        <f ca="1">ROUND(Grunddaten!BG56*((Grunddaten!$S56-Grunddaten!$Q56)/100*$G78+$E78),-1)</f>
        <v>0</v>
      </c>
      <c r="AG78" s="1264">
        <f ca="1">ROUND(Grunddaten!BH56*((Grunddaten!$S56-Grunddaten!$Q56)/100*$G78+$E78),-1)</f>
        <v>0</v>
      </c>
      <c r="AH78" s="1262">
        <f ca="1">ROUND(Grunddaten!BI56*((Grunddaten!$S56-Grunddaten!$Q56)/100*$G78+$E78),-1)</f>
        <v>0</v>
      </c>
      <c r="AI78" s="1262">
        <f ca="1">ROUND(Grunddaten!BJ56*((Grunddaten!$S56-Grunddaten!$Q56)/100*$G78+$E78),-1)</f>
        <v>0</v>
      </c>
      <c r="AJ78" s="1262">
        <f ca="1">ROUND(Grunddaten!BK56*((Grunddaten!$S56-Grunddaten!$Q56)/100*$G78+$E78),-1)</f>
        <v>0</v>
      </c>
      <c r="AK78" s="1262">
        <f ca="1">ROUND(Grunddaten!BL56*((Grunddaten!$S56-Grunddaten!$Q56)/100*$G78+$E78),-1)</f>
        <v>0</v>
      </c>
      <c r="AL78" s="1262">
        <f ca="1">ROUND(Grunddaten!BM56*((Grunddaten!$S56-Grunddaten!$Q56)/100*$G78+$E78),-1)</f>
        <v>0</v>
      </c>
      <c r="AM78" s="1262">
        <f ca="1">ROUND(Grunddaten!BN56*((Grunddaten!$S56-Grunddaten!$Q56)/100*$G78+$E78),-1)</f>
        <v>0</v>
      </c>
      <c r="AN78" s="1262">
        <f ca="1">ROUND(Grunddaten!BO56*((Grunddaten!$S56-Grunddaten!$Q56)/100*$G78+$E78),-1)</f>
        <v>0</v>
      </c>
      <c r="AO78" s="1262">
        <f ca="1">ROUND(Grunddaten!BP56*((Grunddaten!$S56-Grunddaten!$Q56)/100*$G78+$E78),-1)</f>
        <v>0</v>
      </c>
      <c r="AP78" s="1262">
        <f ca="1">ROUND(Grunddaten!BQ56*((Grunddaten!$S56-Grunddaten!$Q56)/100*$G78+$E78),-1)</f>
        <v>0</v>
      </c>
      <c r="AQ78" s="1262">
        <f ca="1">ROUND(Grunddaten!BR56*((Grunddaten!$S56-Grunddaten!$Q56)/100*$G78+$E78),-1)</f>
        <v>0</v>
      </c>
      <c r="AR78" s="1262">
        <f ca="1">ROUND(Grunddaten!BS56*((Grunddaten!$S56-Grunddaten!$Q56)/100*$G78+$E78),-1)</f>
        <v>0</v>
      </c>
      <c r="AS78" s="1262">
        <f ca="1">ROUND(Grunddaten!BT56*((Grunddaten!$S56-Grunddaten!$Q56)/100*$G78+$E78),-1)</f>
        <v>0</v>
      </c>
      <c r="AT78" s="1262">
        <f ca="1">ROUND(Grunddaten!BU56*((Grunddaten!$S56-Grunddaten!$Q56)/100*$G78+$E78),-1)</f>
        <v>0</v>
      </c>
      <c r="AU78" s="1262">
        <f ca="1">ROUND(Grunddaten!BV56*((Grunddaten!$S56-Grunddaten!$Q56)/100*$G78+$E78),-1)</f>
        <v>0</v>
      </c>
      <c r="AV78" s="1262">
        <f ca="1">ROUND(Grunddaten!BW56*((Grunddaten!$S56-Grunddaten!$Q56)/100*$G78+$E78),-1)</f>
        <v>0</v>
      </c>
      <c r="AW78" s="1262">
        <f ca="1">ROUND(Grunddaten!BX56*((Grunddaten!$S56-Grunddaten!$Q56)/100*$G78+$E78),-1)</f>
        <v>0</v>
      </c>
      <c r="AX78" s="1262">
        <f ca="1">ROUND(Grunddaten!BY56*((Grunddaten!$S56-Grunddaten!$Q56)/100*$G78+$E78),-1)</f>
        <v>0</v>
      </c>
      <c r="AY78" s="1262">
        <f ca="1">ROUND(Grunddaten!BZ56*((Grunddaten!$S56-Grunddaten!$Q56)/100*$G78+$E78),-1)</f>
        <v>0</v>
      </c>
      <c r="AZ78" s="1262">
        <f ca="1">ROUND(Grunddaten!CA56*((Grunddaten!$S56-Grunddaten!$Q56)/100*$G78+$E78),-1)</f>
        <v>0</v>
      </c>
      <c r="BA78" s="1262">
        <f ca="1">ROUND(Grunddaten!CB56*((Grunddaten!$S56-Grunddaten!$Q56)/100*$G78+$E78),-1)</f>
        <v>0</v>
      </c>
      <c r="BB78" s="1262">
        <f ca="1">ROUND(Grunddaten!CC56*((Grunddaten!$S56-Grunddaten!$Q56)/100*$G78+$E78),-1)</f>
        <v>0</v>
      </c>
      <c r="BC78" s="1262">
        <f ca="1">ROUND(Grunddaten!CD56*((Grunddaten!$S56-Grunddaten!$Q56)/100*$G78+$E78),-1)</f>
        <v>0</v>
      </c>
      <c r="BD78" s="1262">
        <f ca="1">ROUND(Grunddaten!CE56*((Grunddaten!$S56-Grunddaten!$Q56)/100*$G78+$E78),-1)</f>
        <v>0</v>
      </c>
      <c r="BE78" s="1262">
        <f ca="1">ROUND(Grunddaten!CF56*((Grunddaten!$S56-Grunddaten!$Q56)/100*$G78+$E78),-1)</f>
        <v>0</v>
      </c>
      <c r="BF78" s="1262">
        <f ca="1">ROUND(Grunddaten!CG56*((Grunddaten!$S56-Grunddaten!$Q56)/100*$G78+$E78),-1)</f>
        <v>0</v>
      </c>
      <c r="BG78" s="1262">
        <f ca="1">ROUND(Grunddaten!CH56*((Grunddaten!$S56-Grunddaten!$Q56)/100*$G78+$E78),-1)</f>
        <v>0</v>
      </c>
      <c r="BH78" s="1262">
        <f ca="1">ROUND(Grunddaten!CI56*((Grunddaten!$S56-Grunddaten!$Q56)/100*$G78+$E78),-1)</f>
        <v>0</v>
      </c>
      <c r="BI78" s="1262">
        <f ca="1">ROUND(Grunddaten!CJ56*((Grunddaten!$S56-Grunddaten!$Q56)/100*$G78+$E78),-1)</f>
        <v>0</v>
      </c>
      <c r="BJ78" s="1262">
        <f ca="1">ROUND(Grunddaten!CK56*((Grunddaten!$S56-Grunddaten!$Q56)/100*$G78+$E78),-1)</f>
        <v>0</v>
      </c>
      <c r="BK78" s="1262">
        <f ca="1">ROUND(Grunddaten!CL56*((Grunddaten!$S56-Grunddaten!$Q56)/100*$G78+$E78),-1)</f>
        <v>0</v>
      </c>
      <c r="BL78" s="1262">
        <f ca="1">ROUND(Grunddaten!CM56*((Grunddaten!$S56-Grunddaten!$Q56)/100*$G78+$E78),-1)</f>
        <v>0</v>
      </c>
      <c r="BM78" s="1262">
        <f ca="1">ROUND(Grunddaten!CN56*((Grunddaten!$S56-Grunddaten!$Q56)/100*$G78+$E78),-1)</f>
        <v>0</v>
      </c>
      <c r="BN78" s="1262">
        <f ca="1">ROUND(Grunddaten!CO56*((Grunddaten!$S56-Grunddaten!$Q56)/100*$G78+$E78),-1)</f>
        <v>0</v>
      </c>
      <c r="BO78" s="1262">
        <f ca="1">ROUND(Grunddaten!CP56*((Grunddaten!$S56-Grunddaten!$Q56)/100*$G78+$E78),-1)</f>
        <v>0</v>
      </c>
      <c r="BP78" s="1262">
        <f ca="1">ROUND(Grunddaten!CQ56*((Grunddaten!$S56-Grunddaten!$Q56)/100*$G78+$E78),-1)</f>
        <v>0</v>
      </c>
      <c r="BQ78" s="1263">
        <f ca="1">ROUND(Grunddaten!CR56*((Grunddaten!$S56-Grunddaten!$Q56)/100*$G78+$E78),-1)</f>
        <v>0</v>
      </c>
    </row>
    <row r="79" spans="1:69" s="88" customFormat="1" ht="14.1" customHeight="1" thickBot="1" x14ac:dyDescent="0.25">
      <c r="A79" s="391" t="s">
        <v>14</v>
      </c>
      <c r="B79" s="91"/>
      <c r="C79" s="91"/>
      <c r="D79" s="2696"/>
      <c r="E79" s="2696"/>
      <c r="F79" s="2696"/>
      <c r="G79" s="846"/>
      <c r="H79" s="2696"/>
      <c r="I79" s="2696"/>
      <c r="J79" s="2699"/>
      <c r="K79" s="2699"/>
      <c r="L79" s="2668">
        <f ca="1">SUM(L61:L78)</f>
        <v>0</v>
      </c>
      <c r="M79" s="2669"/>
      <c r="N79" s="2670"/>
      <c r="S79" s="485">
        <f t="shared" ref="S79:AX79" ca="1" si="8">SUM(S62:S76)</f>
        <v>0</v>
      </c>
      <c r="T79" s="486">
        <f t="shared" ca="1" si="8"/>
        <v>0</v>
      </c>
      <c r="U79" s="486">
        <f t="shared" ca="1" si="8"/>
        <v>0</v>
      </c>
      <c r="V79" s="486">
        <f t="shared" ca="1" si="8"/>
        <v>0</v>
      </c>
      <c r="W79" s="486">
        <f t="shared" ca="1" si="8"/>
        <v>0</v>
      </c>
      <c r="X79" s="486">
        <f t="shared" ca="1" si="8"/>
        <v>0</v>
      </c>
      <c r="Y79" s="486">
        <f t="shared" ca="1" si="8"/>
        <v>0</v>
      </c>
      <c r="Z79" s="486">
        <f t="shared" ca="1" si="8"/>
        <v>0</v>
      </c>
      <c r="AA79" s="486">
        <f t="shared" ca="1" si="8"/>
        <v>0</v>
      </c>
      <c r="AB79" s="486">
        <f t="shared" ca="1" si="8"/>
        <v>0</v>
      </c>
      <c r="AC79" s="486">
        <f t="shared" ca="1" si="8"/>
        <v>0</v>
      </c>
      <c r="AD79" s="486">
        <f t="shared" ca="1" si="8"/>
        <v>0</v>
      </c>
      <c r="AE79" s="486">
        <f t="shared" ca="1" si="8"/>
        <v>0</v>
      </c>
      <c r="AF79" s="486">
        <f t="shared" ca="1" si="8"/>
        <v>0</v>
      </c>
      <c r="AG79" s="486">
        <f t="shared" ca="1" si="8"/>
        <v>0</v>
      </c>
      <c r="AH79" s="486">
        <f t="shared" ca="1" si="8"/>
        <v>0</v>
      </c>
      <c r="AI79" s="486">
        <f t="shared" ca="1" si="8"/>
        <v>0</v>
      </c>
      <c r="AJ79" s="486">
        <f t="shared" ca="1" si="8"/>
        <v>0</v>
      </c>
      <c r="AK79" s="486">
        <f t="shared" ca="1" si="8"/>
        <v>0</v>
      </c>
      <c r="AL79" s="486">
        <f t="shared" ca="1" si="8"/>
        <v>0</v>
      </c>
      <c r="AM79" s="486">
        <f t="shared" ca="1" si="8"/>
        <v>0</v>
      </c>
      <c r="AN79" s="486">
        <f t="shared" ca="1" si="8"/>
        <v>0</v>
      </c>
      <c r="AO79" s="486">
        <f t="shared" ca="1" si="8"/>
        <v>0</v>
      </c>
      <c r="AP79" s="486">
        <f t="shared" ca="1" si="8"/>
        <v>0</v>
      </c>
      <c r="AQ79" s="486">
        <f t="shared" ca="1" si="8"/>
        <v>0</v>
      </c>
      <c r="AR79" s="486">
        <f t="shared" ca="1" si="8"/>
        <v>0</v>
      </c>
      <c r="AS79" s="486">
        <f t="shared" ca="1" si="8"/>
        <v>0</v>
      </c>
      <c r="AT79" s="486">
        <f t="shared" ca="1" si="8"/>
        <v>0</v>
      </c>
      <c r="AU79" s="486">
        <f t="shared" ca="1" si="8"/>
        <v>0</v>
      </c>
      <c r="AV79" s="486">
        <f t="shared" ca="1" si="8"/>
        <v>0</v>
      </c>
      <c r="AW79" s="486">
        <f t="shared" ca="1" si="8"/>
        <v>0</v>
      </c>
      <c r="AX79" s="486">
        <f t="shared" ca="1" si="8"/>
        <v>0</v>
      </c>
      <c r="AY79" s="486">
        <f t="shared" ref="AY79:BQ79" ca="1" si="9">SUM(AY62:AY76)</f>
        <v>0</v>
      </c>
      <c r="AZ79" s="486">
        <f t="shared" ca="1" si="9"/>
        <v>0</v>
      </c>
      <c r="BA79" s="486">
        <f t="shared" ca="1" si="9"/>
        <v>0</v>
      </c>
      <c r="BB79" s="486">
        <f t="shared" ca="1" si="9"/>
        <v>0</v>
      </c>
      <c r="BC79" s="486">
        <f t="shared" ca="1" si="9"/>
        <v>0</v>
      </c>
      <c r="BD79" s="486">
        <f t="shared" ca="1" si="9"/>
        <v>0</v>
      </c>
      <c r="BE79" s="486">
        <f t="shared" ca="1" si="9"/>
        <v>0</v>
      </c>
      <c r="BF79" s="486">
        <f t="shared" ca="1" si="9"/>
        <v>0</v>
      </c>
      <c r="BG79" s="486">
        <f t="shared" ca="1" si="9"/>
        <v>0</v>
      </c>
      <c r="BH79" s="486">
        <f t="shared" ca="1" si="9"/>
        <v>0</v>
      </c>
      <c r="BI79" s="486">
        <f t="shared" ca="1" si="9"/>
        <v>0</v>
      </c>
      <c r="BJ79" s="486">
        <f t="shared" ca="1" si="9"/>
        <v>0</v>
      </c>
      <c r="BK79" s="486">
        <f t="shared" ca="1" si="9"/>
        <v>0</v>
      </c>
      <c r="BL79" s="486">
        <f t="shared" ca="1" si="9"/>
        <v>0</v>
      </c>
      <c r="BM79" s="486">
        <f t="shared" ca="1" si="9"/>
        <v>0</v>
      </c>
      <c r="BN79" s="486">
        <f t="shared" ca="1" si="9"/>
        <v>0</v>
      </c>
      <c r="BO79" s="486">
        <f t="shared" ca="1" si="9"/>
        <v>0</v>
      </c>
      <c r="BP79" s="486">
        <f t="shared" ca="1" si="9"/>
        <v>0</v>
      </c>
      <c r="BQ79" s="487">
        <f t="shared" ca="1" si="9"/>
        <v>0</v>
      </c>
    </row>
    <row r="80" spans="1:69" ht="5.95" customHeight="1" x14ac:dyDescent="0.2">
      <c r="P80" s="83"/>
      <c r="Q80" s="83"/>
      <c r="R80" s="271"/>
      <c r="S80" s="412"/>
      <c r="T80" s="413"/>
      <c r="U80" s="412"/>
      <c r="V80" s="412"/>
      <c r="W80" s="412"/>
      <c r="X80" s="412"/>
      <c r="Y80" s="412"/>
      <c r="Z80" s="412"/>
      <c r="AA80" s="412"/>
      <c r="AB80" s="414"/>
      <c r="AC80" s="414"/>
      <c r="AD80" s="414"/>
      <c r="AE80" s="414"/>
      <c r="AF80" s="414"/>
      <c r="AG80" s="414"/>
      <c r="AH80" s="448"/>
      <c r="AI80" s="448"/>
      <c r="AJ80" s="448"/>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row>
    <row r="81" spans="1:69" ht="17.350000000000001" customHeight="1" x14ac:dyDescent="0.25">
      <c r="A81" s="107" t="s">
        <v>36</v>
      </c>
      <c r="B81" s="107"/>
      <c r="G81" s="83"/>
      <c r="H81" s="97"/>
      <c r="I81" s="526"/>
      <c r="J81" s="527"/>
      <c r="K81" s="528"/>
      <c r="L81" s="787" t="s">
        <v>521</v>
      </c>
      <c r="M81" s="2698">
        <f>ROUND(MAX(G39,WR_Var1!G39,WR_Var2!G39,WR_Var4!G39),0)</f>
        <v>0</v>
      </c>
      <c r="N81" s="2698"/>
      <c r="O81" s="847"/>
      <c r="P81" s="83"/>
      <c r="Q81" s="83"/>
      <c r="R81" s="414"/>
      <c r="S81" s="415"/>
      <c r="T81" s="414"/>
      <c r="U81" s="414"/>
      <c r="V81" s="414"/>
      <c r="W81" s="414"/>
      <c r="X81" s="414"/>
      <c r="Y81" s="414"/>
      <c r="Z81" s="414"/>
      <c r="AA81" s="414"/>
      <c r="AB81" s="414"/>
      <c r="AC81" s="414"/>
      <c r="AD81" s="414"/>
      <c r="AE81" s="414"/>
      <c r="AF81" s="414"/>
      <c r="AG81" s="448"/>
      <c r="AH81" s="448"/>
      <c r="AI81" s="448"/>
      <c r="AJ81" s="819"/>
      <c r="AK81" s="449"/>
      <c r="AL81" s="449"/>
      <c r="AM81" s="449"/>
      <c r="AN81" s="449"/>
      <c r="AO81" s="449"/>
      <c r="AP81" s="450"/>
      <c r="AQ81" s="449"/>
      <c r="AR81" s="449"/>
      <c r="AS81" s="449"/>
      <c r="AT81" s="449"/>
      <c r="AU81" s="449"/>
      <c r="AV81" s="449"/>
      <c r="AW81" s="449"/>
      <c r="AX81" s="449"/>
      <c r="AY81" s="449"/>
      <c r="AZ81" s="449"/>
      <c r="BA81" s="449"/>
      <c r="BB81" s="449"/>
      <c r="BC81" s="449"/>
      <c r="BD81" s="449"/>
      <c r="BE81" s="449"/>
      <c r="BF81" s="449"/>
      <c r="BG81" s="449"/>
      <c r="BH81" s="449"/>
      <c r="BI81" s="449"/>
      <c r="BJ81" s="449"/>
      <c r="BK81" s="449"/>
      <c r="BL81" s="449"/>
      <c r="BM81" s="449"/>
      <c r="BN81" s="449"/>
      <c r="BO81" s="449"/>
      <c r="BP81" s="449"/>
      <c r="BQ81" s="83"/>
    </row>
    <row r="82" spans="1:69" ht="2.0499999999999998" customHeight="1" x14ac:dyDescent="0.2">
      <c r="H82" s="84"/>
      <c r="I82" s="530"/>
      <c r="J82" s="527"/>
      <c r="K82" s="527"/>
      <c r="L82" s="527"/>
      <c r="P82" s="83"/>
      <c r="Q82" s="83"/>
      <c r="R82" s="414"/>
      <c r="S82" s="415"/>
      <c r="T82" s="414"/>
      <c r="U82" s="414"/>
      <c r="V82" s="414"/>
      <c r="W82" s="414"/>
      <c r="X82" s="414"/>
      <c r="Y82" s="414"/>
      <c r="Z82" s="414"/>
      <c r="AA82" s="414"/>
      <c r="AB82" s="414"/>
      <c r="AC82" s="414"/>
      <c r="AD82" s="414"/>
      <c r="AE82" s="414"/>
      <c r="AF82" s="414"/>
      <c r="AG82" s="448"/>
      <c r="AH82" s="448"/>
      <c r="AI82" s="448"/>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83"/>
    </row>
    <row r="83" spans="1:69" ht="12.1" customHeight="1" x14ac:dyDescent="0.2">
      <c r="B83" s="96"/>
      <c r="D83" s="1761" t="s">
        <v>51</v>
      </c>
      <c r="E83" s="2481">
        <f>IF(ISBLANK($M$83),$M$81,$M$83)</f>
        <v>0</v>
      </c>
      <c r="F83" s="2481"/>
      <c r="G83" s="83"/>
      <c r="I83" s="530"/>
      <c r="J83" s="527"/>
      <c r="K83" s="1059"/>
      <c r="L83" s="529" t="s">
        <v>37</v>
      </c>
      <c r="M83" s="2697"/>
      <c r="N83" s="2697"/>
      <c r="O83" s="316"/>
      <c r="Q83" s="86"/>
      <c r="R83" s="451"/>
      <c r="S83" s="415"/>
      <c r="T83" s="414"/>
      <c r="U83" s="414"/>
      <c r="V83" s="414"/>
      <c r="W83" s="414"/>
      <c r="X83" s="414"/>
      <c r="Y83" s="414"/>
      <c r="Z83" s="414"/>
      <c r="AA83" s="414"/>
      <c r="AB83" s="414"/>
      <c r="AC83" s="414"/>
      <c r="AD83" s="414"/>
      <c r="AE83" s="414"/>
      <c r="AF83" s="414"/>
      <c r="AG83" s="448"/>
      <c r="AH83" s="448"/>
      <c r="AI83" s="448"/>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449"/>
      <c r="BF83" s="449"/>
      <c r="BG83" s="449"/>
      <c r="BH83" s="449"/>
      <c r="BI83" s="449"/>
      <c r="BJ83" s="449"/>
      <c r="BK83" s="449"/>
      <c r="BL83" s="449"/>
      <c r="BM83" s="449"/>
      <c r="BN83" s="449"/>
      <c r="BO83" s="449"/>
      <c r="BP83" s="449"/>
      <c r="BQ83" s="83"/>
    </row>
    <row r="84" spans="1:69" ht="3.9" customHeight="1" thickBot="1" x14ac:dyDescent="0.25">
      <c r="A84" s="84"/>
      <c r="B84" s="84"/>
      <c r="C84" s="86"/>
      <c r="D84" s="86"/>
      <c r="E84" s="86"/>
      <c r="F84" s="86"/>
      <c r="G84" s="86"/>
      <c r="H84" s="86"/>
      <c r="I84" s="86"/>
      <c r="J84" s="86"/>
      <c r="Q84" s="86"/>
      <c r="R84" s="451"/>
      <c r="S84" s="415"/>
      <c r="T84" s="414"/>
      <c r="U84" s="414"/>
      <c r="V84" s="414"/>
      <c r="W84" s="414"/>
      <c r="X84" s="414"/>
      <c r="Y84" s="414"/>
      <c r="Z84" s="414"/>
      <c r="AA84" s="414"/>
      <c r="AB84" s="414"/>
      <c r="AC84" s="414"/>
      <c r="AD84" s="414"/>
      <c r="AE84" s="414"/>
      <c r="AF84" s="414"/>
      <c r="AG84" s="448"/>
      <c r="AH84" s="448"/>
      <c r="AI84" s="448"/>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449"/>
      <c r="BF84" s="449"/>
      <c r="BG84" s="449"/>
      <c r="BH84" s="449"/>
      <c r="BI84" s="449"/>
      <c r="BJ84" s="449"/>
      <c r="BK84" s="449"/>
      <c r="BL84" s="449"/>
      <c r="BM84" s="449"/>
      <c r="BN84" s="449"/>
      <c r="BO84" s="449"/>
      <c r="BP84" s="449"/>
      <c r="BQ84" s="83"/>
    </row>
    <row r="85" spans="1:69" s="93" customFormat="1" ht="11.25" customHeight="1" x14ac:dyDescent="0.2">
      <c r="A85" s="515"/>
      <c r="B85" s="1463"/>
      <c r="C85" s="1463"/>
      <c r="D85" s="1461"/>
      <c r="E85" s="2517" t="s">
        <v>38</v>
      </c>
      <c r="F85" s="2518"/>
      <c r="G85" s="2517" t="s">
        <v>50</v>
      </c>
      <c r="H85" s="2706"/>
      <c r="I85" s="2706"/>
      <c r="J85" s="2706"/>
      <c r="K85" s="2518"/>
      <c r="L85" s="2517" t="s">
        <v>737</v>
      </c>
      <c r="M85" s="2706"/>
      <c r="N85" s="2740"/>
      <c r="O85" s="841"/>
      <c r="P85" s="809"/>
      <c r="Q85" s="810"/>
      <c r="R85" s="92"/>
      <c r="S85" s="416"/>
      <c r="T85" s="416"/>
      <c r="U85" s="416"/>
      <c r="V85" s="416"/>
      <c r="W85" s="416"/>
      <c r="X85" s="416"/>
      <c r="Y85" s="416"/>
      <c r="Z85" s="416"/>
      <c r="AA85" s="411"/>
      <c r="AB85" s="414"/>
      <c r="AC85" s="414"/>
      <c r="AD85" s="414"/>
      <c r="AE85" s="414"/>
      <c r="AF85" s="414"/>
      <c r="AG85" s="448"/>
      <c r="AH85" s="448"/>
      <c r="AI85" s="448"/>
      <c r="AJ85" s="449"/>
      <c r="AK85" s="449"/>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row>
    <row r="86" spans="1:69" s="93" customFormat="1" ht="11.25" customHeight="1" x14ac:dyDescent="0.2">
      <c r="A86" s="1521" t="s">
        <v>12</v>
      </c>
      <c r="B86" s="1112"/>
      <c r="C86" s="1112"/>
      <c r="D86" s="1522"/>
      <c r="E86" s="2702" t="s">
        <v>40</v>
      </c>
      <c r="F86" s="2703"/>
      <c r="G86" s="2528" t="s">
        <v>733</v>
      </c>
      <c r="H86" s="2529"/>
      <c r="I86" s="2707"/>
      <c r="J86" s="2746" t="s">
        <v>734</v>
      </c>
      <c r="K86" s="2711"/>
      <c r="L86" s="2702" t="s">
        <v>659</v>
      </c>
      <c r="M86" s="2741"/>
      <c r="N86" s="2742"/>
      <c r="O86" s="841"/>
      <c r="P86" s="2650" t="s">
        <v>464</v>
      </c>
      <c r="Q86" s="2651"/>
      <c r="R86" s="555"/>
      <c r="U86" s="451"/>
      <c r="V86" s="416"/>
      <c r="W86" s="416"/>
      <c r="X86" s="416"/>
      <c r="Y86" s="416"/>
      <c r="Z86" s="416"/>
      <c r="AA86" s="416"/>
      <c r="AB86" s="416"/>
      <c r="AC86" s="416"/>
      <c r="AD86" s="410"/>
      <c r="AE86" s="414"/>
      <c r="AF86" s="414"/>
      <c r="AG86" s="414"/>
      <c r="AH86" s="414"/>
      <c r="AI86" s="414"/>
      <c r="AJ86" s="448"/>
      <c r="AK86" s="448"/>
      <c r="AL86" s="448"/>
      <c r="AM86" s="449"/>
      <c r="AN86" s="449"/>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row>
    <row r="87" spans="1:69" s="93" customFormat="1" ht="11.25" customHeight="1" x14ac:dyDescent="0.2">
      <c r="A87" s="390"/>
      <c r="B87" s="1464"/>
      <c r="C87" s="1464"/>
      <c r="D87" s="799"/>
      <c r="E87" s="2609" t="s">
        <v>641</v>
      </c>
      <c r="F87" s="2613"/>
      <c r="G87" s="2609" t="s">
        <v>655</v>
      </c>
      <c r="H87" s="2610"/>
      <c r="I87" s="2611"/>
      <c r="J87" s="2612" t="s">
        <v>655</v>
      </c>
      <c r="K87" s="2613"/>
      <c r="L87" s="2609" t="s">
        <v>655</v>
      </c>
      <c r="M87" s="2610"/>
      <c r="N87" s="2660"/>
      <c r="O87" s="1112"/>
      <c r="P87" s="2658" t="s">
        <v>465</v>
      </c>
      <c r="Q87" s="2659"/>
      <c r="R87" s="555"/>
      <c r="S87" s="436" t="s">
        <v>680</v>
      </c>
      <c r="U87" s="451"/>
      <c r="V87" s="416"/>
      <c r="W87" s="416"/>
      <c r="X87" s="416"/>
      <c r="Y87" s="416"/>
      <c r="Z87" s="416"/>
      <c r="AA87" s="416"/>
      <c r="AB87" s="416"/>
      <c r="AC87" s="416"/>
      <c r="AD87" s="410"/>
      <c r="AE87" s="414"/>
      <c r="AF87" s="414"/>
      <c r="AG87" s="414"/>
      <c r="AH87" s="414"/>
      <c r="AI87" s="414"/>
      <c r="AJ87" s="448"/>
      <c r="AK87" s="448"/>
      <c r="AL87" s="448"/>
      <c r="AM87" s="449"/>
      <c r="AN87" s="449"/>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6"/>
      <c r="BN87" s="416"/>
      <c r="BO87" s="416"/>
      <c r="BP87" s="416"/>
      <c r="BQ87" s="416"/>
    </row>
    <row r="88" spans="1:69" s="88" customFormat="1" ht="12.1" customHeight="1" x14ac:dyDescent="0.2">
      <c r="A88" s="516" t="s">
        <v>735</v>
      </c>
      <c r="B88" s="1390"/>
      <c r="D88" s="1380" t="str">
        <f>"("&amp;Projektdaten!$G$31&amp;")"</f>
        <v>(Förderbeiträge berücksichtigen)</v>
      </c>
      <c r="E88" s="2553" t="s">
        <v>34</v>
      </c>
      <c r="F88" s="2554"/>
      <c r="G88" s="2623">
        <f>IF(Projektdaten!$T$31=1,$J$54,$J$39)</f>
        <v>0</v>
      </c>
      <c r="H88" s="2624"/>
      <c r="I88" s="2625"/>
      <c r="J88" s="2621" t="s">
        <v>49</v>
      </c>
      <c r="K88" s="2622"/>
      <c r="L88" s="2623">
        <f>G88</f>
        <v>0</v>
      </c>
      <c r="M88" s="2624"/>
      <c r="N88" s="2743"/>
      <c r="O88" s="292"/>
      <c r="P88" s="2652">
        <f>$E$39</f>
        <v>0</v>
      </c>
      <c r="Q88" s="2653"/>
      <c r="R88" s="92"/>
      <c r="S88" s="431">
        <f ca="1">S59</f>
        <v>2016</v>
      </c>
      <c r="T88" s="421">
        <f ca="1">S88+1</f>
        <v>2017</v>
      </c>
      <c r="U88" s="421">
        <f t="shared" ref="U88:BP88" ca="1" si="10">T88+1</f>
        <v>2018</v>
      </c>
      <c r="V88" s="421">
        <f t="shared" ca="1" si="10"/>
        <v>2019</v>
      </c>
      <c r="W88" s="421">
        <f t="shared" ca="1" si="10"/>
        <v>2020</v>
      </c>
      <c r="X88" s="421">
        <f t="shared" ca="1" si="10"/>
        <v>2021</v>
      </c>
      <c r="Y88" s="421">
        <f t="shared" ca="1" si="10"/>
        <v>2022</v>
      </c>
      <c r="Z88" s="421">
        <f t="shared" ca="1" si="10"/>
        <v>2023</v>
      </c>
      <c r="AA88" s="421">
        <f t="shared" ca="1" si="10"/>
        <v>2024</v>
      </c>
      <c r="AB88" s="421">
        <f t="shared" ca="1" si="10"/>
        <v>2025</v>
      </c>
      <c r="AC88" s="421">
        <f t="shared" ca="1" si="10"/>
        <v>2026</v>
      </c>
      <c r="AD88" s="421">
        <f t="shared" ca="1" si="10"/>
        <v>2027</v>
      </c>
      <c r="AE88" s="421">
        <f t="shared" ca="1" si="10"/>
        <v>2028</v>
      </c>
      <c r="AF88" s="421">
        <f t="shared" ca="1" si="10"/>
        <v>2029</v>
      </c>
      <c r="AG88" s="421">
        <f t="shared" ca="1" si="10"/>
        <v>2030</v>
      </c>
      <c r="AH88" s="421">
        <f t="shared" ca="1" si="10"/>
        <v>2031</v>
      </c>
      <c r="AI88" s="421">
        <f t="shared" ca="1" si="10"/>
        <v>2032</v>
      </c>
      <c r="AJ88" s="421">
        <f t="shared" ca="1" si="10"/>
        <v>2033</v>
      </c>
      <c r="AK88" s="421">
        <f t="shared" ca="1" si="10"/>
        <v>2034</v>
      </c>
      <c r="AL88" s="421">
        <f t="shared" ca="1" si="10"/>
        <v>2035</v>
      </c>
      <c r="AM88" s="421">
        <f t="shared" ca="1" si="10"/>
        <v>2036</v>
      </c>
      <c r="AN88" s="421">
        <f t="shared" ca="1" si="10"/>
        <v>2037</v>
      </c>
      <c r="AO88" s="421">
        <f t="shared" ca="1" si="10"/>
        <v>2038</v>
      </c>
      <c r="AP88" s="421">
        <f t="shared" ca="1" si="10"/>
        <v>2039</v>
      </c>
      <c r="AQ88" s="421">
        <f t="shared" ca="1" si="10"/>
        <v>2040</v>
      </c>
      <c r="AR88" s="421">
        <f t="shared" ca="1" si="10"/>
        <v>2041</v>
      </c>
      <c r="AS88" s="421">
        <f t="shared" ca="1" si="10"/>
        <v>2042</v>
      </c>
      <c r="AT88" s="421">
        <f t="shared" ca="1" si="10"/>
        <v>2043</v>
      </c>
      <c r="AU88" s="421">
        <f t="shared" ca="1" si="10"/>
        <v>2044</v>
      </c>
      <c r="AV88" s="421">
        <f t="shared" ca="1" si="10"/>
        <v>2045</v>
      </c>
      <c r="AW88" s="421">
        <f t="shared" ca="1" si="10"/>
        <v>2046</v>
      </c>
      <c r="AX88" s="421">
        <f t="shared" ca="1" si="10"/>
        <v>2047</v>
      </c>
      <c r="AY88" s="421">
        <f t="shared" ca="1" si="10"/>
        <v>2048</v>
      </c>
      <c r="AZ88" s="421">
        <f t="shared" ca="1" si="10"/>
        <v>2049</v>
      </c>
      <c r="BA88" s="421">
        <f t="shared" ca="1" si="10"/>
        <v>2050</v>
      </c>
      <c r="BB88" s="421">
        <f t="shared" ca="1" si="10"/>
        <v>2051</v>
      </c>
      <c r="BC88" s="421">
        <f t="shared" ca="1" si="10"/>
        <v>2052</v>
      </c>
      <c r="BD88" s="421">
        <f t="shared" ca="1" si="10"/>
        <v>2053</v>
      </c>
      <c r="BE88" s="421">
        <f t="shared" ca="1" si="10"/>
        <v>2054</v>
      </c>
      <c r="BF88" s="421">
        <f t="shared" ca="1" si="10"/>
        <v>2055</v>
      </c>
      <c r="BG88" s="421">
        <f t="shared" ca="1" si="10"/>
        <v>2056</v>
      </c>
      <c r="BH88" s="421">
        <f t="shared" ca="1" si="10"/>
        <v>2057</v>
      </c>
      <c r="BI88" s="421">
        <f t="shared" ca="1" si="10"/>
        <v>2058</v>
      </c>
      <c r="BJ88" s="421">
        <f t="shared" ca="1" si="10"/>
        <v>2059</v>
      </c>
      <c r="BK88" s="421">
        <f t="shared" ca="1" si="10"/>
        <v>2060</v>
      </c>
      <c r="BL88" s="421">
        <f t="shared" ca="1" si="10"/>
        <v>2061</v>
      </c>
      <c r="BM88" s="421">
        <f t="shared" ca="1" si="10"/>
        <v>2062</v>
      </c>
      <c r="BN88" s="421">
        <f t="shared" ca="1" si="10"/>
        <v>2063</v>
      </c>
      <c r="BO88" s="421">
        <f t="shared" ca="1" si="10"/>
        <v>2064</v>
      </c>
      <c r="BP88" s="421">
        <f t="shared" ca="1" si="10"/>
        <v>2065</v>
      </c>
      <c r="BQ88" s="426">
        <f ca="1">BP88+1</f>
        <v>2066</v>
      </c>
    </row>
    <row r="89" spans="1:69" s="88" customFormat="1" ht="12.1" customHeight="1" x14ac:dyDescent="0.2">
      <c r="A89" s="552" t="s">
        <v>744</v>
      </c>
      <c r="B89" s="697"/>
      <c r="C89" s="697"/>
      <c r="D89" s="844"/>
      <c r="E89" s="2589">
        <f>IF(ISBLANK(Grunddaten!$AF$5),Grunddaten!$AE$5,Grunddaten!$AF$5)</f>
        <v>0</v>
      </c>
      <c r="F89" s="2590"/>
      <c r="G89" s="2626">
        <f>$N39</f>
        <v>0</v>
      </c>
      <c r="H89" s="2627"/>
      <c r="I89" s="2628"/>
      <c r="J89" s="2585" t="s">
        <v>49</v>
      </c>
      <c r="K89" s="2586"/>
      <c r="L89" s="2626">
        <f ca="1">IF(P89=0,0,-ROUND(PMT($J$9,$E$83,$P89),-1))</f>
        <v>0</v>
      </c>
      <c r="M89" s="2627"/>
      <c r="N89" s="2744"/>
      <c r="O89" s="292"/>
      <c r="P89" s="2654">
        <f ca="1">ROUND(NPV($J$9,S89:OFFSET($S$89,0,$E$83-1)),-1)</f>
        <v>0</v>
      </c>
      <c r="Q89" s="2655"/>
      <c r="R89" s="92"/>
      <c r="S89" s="490">
        <f>G89</f>
        <v>0</v>
      </c>
      <c r="T89" s="491">
        <f ca="1">$S$89*(1+(T88-$S$88)*$E$89)</f>
        <v>0</v>
      </c>
      <c r="U89" s="491">
        <f t="shared" ref="U89:BQ89" ca="1" si="11">$S$89*(1+(U88-$S$88)*$E$89)</f>
        <v>0</v>
      </c>
      <c r="V89" s="491">
        <f t="shared" ca="1" si="11"/>
        <v>0</v>
      </c>
      <c r="W89" s="491">
        <f t="shared" ca="1" si="11"/>
        <v>0</v>
      </c>
      <c r="X89" s="491">
        <f t="shared" ca="1" si="11"/>
        <v>0</v>
      </c>
      <c r="Y89" s="491">
        <f t="shared" ca="1" si="11"/>
        <v>0</v>
      </c>
      <c r="Z89" s="491">
        <f t="shared" ca="1" si="11"/>
        <v>0</v>
      </c>
      <c r="AA89" s="491">
        <f t="shared" ca="1" si="11"/>
        <v>0</v>
      </c>
      <c r="AB89" s="491">
        <f t="shared" ca="1" si="11"/>
        <v>0</v>
      </c>
      <c r="AC89" s="491">
        <f t="shared" ca="1" si="11"/>
        <v>0</v>
      </c>
      <c r="AD89" s="491">
        <f t="shared" ca="1" si="11"/>
        <v>0</v>
      </c>
      <c r="AE89" s="491">
        <f t="shared" ca="1" si="11"/>
        <v>0</v>
      </c>
      <c r="AF89" s="491">
        <f t="shared" ca="1" si="11"/>
        <v>0</v>
      </c>
      <c r="AG89" s="491">
        <f t="shared" ca="1" si="11"/>
        <v>0</v>
      </c>
      <c r="AH89" s="491">
        <f t="shared" ca="1" si="11"/>
        <v>0</v>
      </c>
      <c r="AI89" s="491">
        <f t="shared" ca="1" si="11"/>
        <v>0</v>
      </c>
      <c r="AJ89" s="491">
        <f t="shared" ca="1" si="11"/>
        <v>0</v>
      </c>
      <c r="AK89" s="491">
        <f t="shared" ca="1" si="11"/>
        <v>0</v>
      </c>
      <c r="AL89" s="491">
        <f t="shared" ca="1" si="11"/>
        <v>0</v>
      </c>
      <c r="AM89" s="491">
        <f t="shared" ca="1" si="11"/>
        <v>0</v>
      </c>
      <c r="AN89" s="491">
        <f t="shared" ca="1" si="11"/>
        <v>0</v>
      </c>
      <c r="AO89" s="491">
        <f t="shared" ca="1" si="11"/>
        <v>0</v>
      </c>
      <c r="AP89" s="491">
        <f t="shared" ca="1" si="11"/>
        <v>0</v>
      </c>
      <c r="AQ89" s="491">
        <f t="shared" ca="1" si="11"/>
        <v>0</v>
      </c>
      <c r="AR89" s="491">
        <f t="shared" ca="1" si="11"/>
        <v>0</v>
      </c>
      <c r="AS89" s="491">
        <f t="shared" ca="1" si="11"/>
        <v>0</v>
      </c>
      <c r="AT89" s="491">
        <f t="shared" ca="1" si="11"/>
        <v>0</v>
      </c>
      <c r="AU89" s="491">
        <f t="shared" ca="1" si="11"/>
        <v>0</v>
      </c>
      <c r="AV89" s="491">
        <f t="shared" ca="1" si="11"/>
        <v>0</v>
      </c>
      <c r="AW89" s="491">
        <f t="shared" ca="1" si="11"/>
        <v>0</v>
      </c>
      <c r="AX89" s="491">
        <f t="shared" ca="1" si="11"/>
        <v>0</v>
      </c>
      <c r="AY89" s="491">
        <f t="shared" ca="1" si="11"/>
        <v>0</v>
      </c>
      <c r="AZ89" s="491">
        <f t="shared" ca="1" si="11"/>
        <v>0</v>
      </c>
      <c r="BA89" s="491">
        <f t="shared" ca="1" si="11"/>
        <v>0</v>
      </c>
      <c r="BB89" s="491">
        <f t="shared" ca="1" si="11"/>
        <v>0</v>
      </c>
      <c r="BC89" s="491">
        <f t="shared" ca="1" si="11"/>
        <v>0</v>
      </c>
      <c r="BD89" s="491">
        <f t="shared" ca="1" si="11"/>
        <v>0</v>
      </c>
      <c r="BE89" s="491">
        <f t="shared" ca="1" si="11"/>
        <v>0</v>
      </c>
      <c r="BF89" s="491">
        <f t="shared" ca="1" si="11"/>
        <v>0</v>
      </c>
      <c r="BG89" s="491">
        <f t="shared" ca="1" si="11"/>
        <v>0</v>
      </c>
      <c r="BH89" s="491">
        <f t="shared" ca="1" si="11"/>
        <v>0</v>
      </c>
      <c r="BI89" s="491">
        <f t="shared" ca="1" si="11"/>
        <v>0</v>
      </c>
      <c r="BJ89" s="491">
        <f t="shared" ca="1" si="11"/>
        <v>0</v>
      </c>
      <c r="BK89" s="491">
        <f t="shared" ca="1" si="11"/>
        <v>0</v>
      </c>
      <c r="BL89" s="491">
        <f t="shared" ca="1" si="11"/>
        <v>0</v>
      </c>
      <c r="BM89" s="491">
        <f t="shared" ca="1" si="11"/>
        <v>0</v>
      </c>
      <c r="BN89" s="491">
        <f t="shared" ca="1" si="11"/>
        <v>0</v>
      </c>
      <c r="BO89" s="491">
        <f t="shared" ca="1" si="11"/>
        <v>0</v>
      </c>
      <c r="BP89" s="491">
        <f t="shared" ca="1" si="11"/>
        <v>0</v>
      </c>
      <c r="BQ89" s="1766">
        <f t="shared" ca="1" si="11"/>
        <v>0</v>
      </c>
    </row>
    <row r="90" spans="1:69" s="88" customFormat="1" ht="12.1" customHeight="1" x14ac:dyDescent="0.2">
      <c r="A90" s="517" t="s">
        <v>39</v>
      </c>
      <c r="B90" s="92"/>
      <c r="C90" s="92"/>
      <c r="D90" s="843"/>
      <c r="E90" s="2568"/>
      <c r="F90" s="2569"/>
      <c r="G90" s="2629"/>
      <c r="H90" s="2630"/>
      <c r="I90" s="2631"/>
      <c r="J90" s="2587"/>
      <c r="K90" s="2588"/>
      <c r="L90" s="2629"/>
      <c r="M90" s="2630"/>
      <c r="N90" s="2745"/>
      <c r="O90" s="292"/>
      <c r="P90" s="2656"/>
      <c r="Q90" s="2657"/>
      <c r="R90" s="556"/>
      <c r="S90" s="492"/>
      <c r="T90" s="492"/>
      <c r="U90" s="492"/>
      <c r="V90" s="492"/>
      <c r="W90" s="492"/>
      <c r="X90" s="492"/>
      <c r="Y90" s="492"/>
      <c r="Z90" s="492"/>
      <c r="AA90" s="410"/>
      <c r="AB90" s="452"/>
      <c r="AC90" s="452"/>
      <c r="AD90" s="452"/>
      <c r="AE90" s="452"/>
      <c r="AF90" s="452"/>
      <c r="AG90" s="453"/>
      <c r="AH90" s="453"/>
      <c r="AI90" s="453"/>
      <c r="AJ90" s="451"/>
      <c r="AK90" s="451"/>
      <c r="AL90" s="451"/>
      <c r="AM90" s="451"/>
      <c r="AN90" s="451"/>
      <c r="AO90" s="451"/>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1"/>
      <c r="BM90" s="451"/>
      <c r="BN90" s="451"/>
      <c r="BO90" s="451"/>
      <c r="BP90" s="451"/>
    </row>
    <row r="91" spans="1:69" s="88" customFormat="1" ht="11.25" customHeight="1" x14ac:dyDescent="0.2">
      <c r="A91" s="751" t="str">
        <f t="shared" ref="A91:A100" si="12">A62</f>
        <v>Elektrizität, Hochtarif</v>
      </c>
      <c r="B91" s="752"/>
      <c r="C91" s="752"/>
      <c r="D91" s="845"/>
      <c r="E91" s="2614">
        <f ca="1">IF(G91=0,0,OFFSET(Grunddaten!$AH$11,El_Produkt,0))/100</f>
        <v>0</v>
      </c>
      <c r="F91" s="2615"/>
      <c r="G91" s="2578">
        <f t="shared" ref="G91:G106" ca="1" si="13">L62-J91</f>
        <v>0</v>
      </c>
      <c r="H91" s="2579"/>
      <c r="I91" s="2580"/>
      <c r="J91" s="2581">
        <f ca="1">$R$109*OFFSET(Grunddaten!$Q$11,El_Produkt,0)/100*G62</f>
        <v>0</v>
      </c>
      <c r="K91" s="2582"/>
      <c r="L91" s="2525">
        <f t="shared" ref="L91:L106" ca="1" si="14">IF(P91=0,0,-ROUND(PMT($J$9,$E$83,$P91),-1))</f>
        <v>0</v>
      </c>
      <c r="M91" s="2526"/>
      <c r="N91" s="2527"/>
      <c r="O91" s="294"/>
      <c r="P91" s="2636">
        <f ca="1">ROUND(NPV($J$9,S62:OFFSET(S62,0,$E$83-1)),-1)</f>
        <v>0</v>
      </c>
      <c r="Q91" s="2637"/>
      <c r="R91" s="554"/>
      <c r="S91" s="268"/>
      <c r="T91" s="268"/>
      <c r="U91" s="268"/>
      <c r="V91" s="268"/>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row>
    <row r="92" spans="1:69" s="88" customFormat="1" ht="11.25" customHeight="1" x14ac:dyDescent="0.2">
      <c r="A92" s="698" t="str">
        <f t="shared" si="12"/>
        <v>Elektrizität, Niedertarif</v>
      </c>
      <c r="B92" s="699"/>
      <c r="C92" s="699"/>
      <c r="D92" s="842"/>
      <c r="E92" s="2564">
        <f ca="1">IF(G92=0,0,OFFSET(Grunddaten!$AH$11,El_Produkt+1,0))/100</f>
        <v>0</v>
      </c>
      <c r="F92" s="2565"/>
      <c r="G92" s="2618">
        <f t="shared" ca="1" si="13"/>
        <v>0</v>
      </c>
      <c r="H92" s="2619"/>
      <c r="I92" s="2620"/>
      <c r="J92" s="2583">
        <f ca="1">$R$109*OFFSET(Grunddaten!$Q$11,El_Produkt,0)/100*G63</f>
        <v>0</v>
      </c>
      <c r="K92" s="2584"/>
      <c r="L92" s="2531">
        <f t="shared" ca="1" si="14"/>
        <v>0</v>
      </c>
      <c r="M92" s="2532"/>
      <c r="N92" s="2533"/>
      <c r="O92" s="294"/>
      <c r="P92" s="2636">
        <f ca="1">ROUND(NPV($J$9,S63:OFFSET(S63,0,$E$83-1)),-1)</f>
        <v>0</v>
      </c>
      <c r="Q92" s="2637"/>
      <c r="R92" s="554"/>
      <c r="S92" s="268"/>
      <c r="T92" s="268"/>
      <c r="U92" s="268"/>
      <c r="V92" s="268"/>
      <c r="AE92" s="284"/>
      <c r="AF92" s="284"/>
      <c r="AG92" s="447"/>
      <c r="AH92" s="447"/>
      <c r="AI92" s="447"/>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row>
    <row r="93" spans="1:69" s="88" customFormat="1" ht="11.25" customHeight="1" x14ac:dyDescent="0.2">
      <c r="A93" s="751" t="str">
        <f t="shared" si="12"/>
        <v>Elektrizität Wärmepumpen, HT</v>
      </c>
      <c r="B93" s="752"/>
      <c r="C93" s="752"/>
      <c r="D93" s="843"/>
      <c r="E93" s="2568">
        <f ca="1">IF(G93=0,0,OFFSET(Grunddaten!$AH$11,El_Produkt+2-2*$Q$64,0))/100</f>
        <v>0</v>
      </c>
      <c r="F93" s="2569"/>
      <c r="G93" s="2578">
        <f t="shared" ca="1" si="13"/>
        <v>0</v>
      </c>
      <c r="H93" s="2579"/>
      <c r="I93" s="2580"/>
      <c r="J93" s="2581">
        <f ca="1">$R$109*OFFSET(Grunddaten!$Q$11,El_Produkt,0)/100*G64</f>
        <v>0</v>
      </c>
      <c r="K93" s="2582"/>
      <c r="L93" s="2525">
        <f t="shared" ca="1" si="14"/>
        <v>0</v>
      </c>
      <c r="M93" s="2526"/>
      <c r="N93" s="2527"/>
      <c r="O93" s="294"/>
      <c r="P93" s="2641">
        <f ca="1">ROUND(NPV($J$9,S64:OFFSET(S64,0,$E$83-1)),-1)</f>
        <v>0</v>
      </c>
      <c r="Q93" s="2642"/>
      <c r="R93" s="554"/>
      <c r="S93" s="268"/>
      <c r="T93" s="268"/>
      <c r="U93" s="268"/>
      <c r="V93" s="268"/>
      <c r="AE93" s="284"/>
      <c r="AF93" s="284"/>
      <c r="AG93" s="447"/>
      <c r="AH93" s="447"/>
      <c r="AI93" s="447"/>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row>
    <row r="94" spans="1:69" s="88" customFormat="1" ht="11.25" customHeight="1" x14ac:dyDescent="0.2">
      <c r="A94" s="698" t="str">
        <f t="shared" si="12"/>
        <v>Elektrizität Wärmepumpen, NT</v>
      </c>
      <c r="B94" s="699"/>
      <c r="C94" s="699"/>
      <c r="D94" s="842"/>
      <c r="E94" s="2564">
        <f ca="1">IF(G94=0,0,OFFSET(Grunddaten!$AH$11,El_Produkt+3-2*$Q$64,0))/100</f>
        <v>0</v>
      </c>
      <c r="F94" s="2565"/>
      <c r="G94" s="2618">
        <f t="shared" ca="1" si="13"/>
        <v>0</v>
      </c>
      <c r="H94" s="2619"/>
      <c r="I94" s="2620"/>
      <c r="J94" s="2583">
        <f ca="1">$R$109*OFFSET(Grunddaten!$Q$11,El_Produkt,0)/100*G65</f>
        <v>0</v>
      </c>
      <c r="K94" s="2584"/>
      <c r="L94" s="2531">
        <f t="shared" ca="1" si="14"/>
        <v>0</v>
      </c>
      <c r="M94" s="2532"/>
      <c r="N94" s="2533"/>
      <c r="O94" s="294"/>
      <c r="P94" s="2643">
        <f ca="1">ROUND(NPV($J$9,S65:OFFSET(S65,0,$E$83-1)),-1)</f>
        <v>0</v>
      </c>
      <c r="Q94" s="2644"/>
      <c r="R94" s="554"/>
      <c r="S94" s="268"/>
      <c r="T94" s="268"/>
      <c r="U94" s="268"/>
      <c r="V94" s="268"/>
      <c r="AE94" s="284"/>
      <c r="AF94" s="284"/>
      <c r="AG94" s="447"/>
      <c r="AH94" s="447"/>
      <c r="AI94" s="447"/>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c r="BP94" s="382"/>
    </row>
    <row r="95" spans="1:69" s="88" customFormat="1" ht="11.25" customHeight="1" x14ac:dyDescent="0.2">
      <c r="A95" s="751" t="str">
        <f t="shared" si="12"/>
        <v>Netzrückspeisung erneuerbar, HT</v>
      </c>
      <c r="B95" s="752"/>
      <c r="C95" s="752"/>
      <c r="D95" s="843"/>
      <c r="E95" s="2568">
        <f>IF(G95=0,0,Grunddaten!$AH29/100)</f>
        <v>0</v>
      </c>
      <c r="F95" s="2569"/>
      <c r="G95" s="2578">
        <f t="shared" si="13"/>
        <v>0</v>
      </c>
      <c r="H95" s="2579"/>
      <c r="I95" s="2580"/>
      <c r="J95" s="2581">
        <f>$R$109*Grunddaten!Q29/100*G66</f>
        <v>0</v>
      </c>
      <c r="K95" s="2582"/>
      <c r="L95" s="2525">
        <f t="shared" ca="1" si="14"/>
        <v>0</v>
      </c>
      <c r="M95" s="2526"/>
      <c r="N95" s="2527"/>
      <c r="O95" s="294"/>
      <c r="P95" s="2636">
        <f ca="1">ROUND(NPV($J$9,S66:OFFSET(S66,0,$E$83-1)),-1)</f>
        <v>0</v>
      </c>
      <c r="Q95" s="2637"/>
      <c r="R95" s="554"/>
      <c r="S95" s="268"/>
      <c r="T95" s="268"/>
      <c r="U95" s="268"/>
      <c r="V95" s="268"/>
      <c r="AE95" s="284"/>
      <c r="AF95" s="284"/>
      <c r="AG95" s="447"/>
      <c r="AH95" s="447"/>
      <c r="AI95" s="447"/>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c r="BP95" s="382"/>
    </row>
    <row r="96" spans="1:69" s="88" customFormat="1" ht="11.25" customHeight="1" x14ac:dyDescent="0.2">
      <c r="A96" s="698" t="str">
        <f t="shared" si="12"/>
        <v>Netzrückspeisung erneuerbar, NT</v>
      </c>
      <c r="B96" s="699"/>
      <c r="C96" s="699"/>
      <c r="D96" s="842"/>
      <c r="E96" s="2564">
        <f>IF(G96=0,0,Grunddaten!$AH30/100)</f>
        <v>0</v>
      </c>
      <c r="F96" s="2565"/>
      <c r="G96" s="2618">
        <f t="shared" si="13"/>
        <v>0</v>
      </c>
      <c r="H96" s="2619"/>
      <c r="I96" s="2620"/>
      <c r="J96" s="2583">
        <f>$R$109*Grunddaten!Q29/100*G67</f>
        <v>0</v>
      </c>
      <c r="K96" s="2584"/>
      <c r="L96" s="2531">
        <f t="shared" ca="1" si="14"/>
        <v>0</v>
      </c>
      <c r="M96" s="2532"/>
      <c r="N96" s="2533"/>
      <c r="O96" s="294"/>
      <c r="P96" s="2636">
        <f ca="1">ROUND(NPV($J$9,S67:OFFSET(S67,0,$E$83-1)),-1)</f>
        <v>0</v>
      </c>
      <c r="Q96" s="2637"/>
      <c r="R96" s="554"/>
      <c r="S96" s="268"/>
      <c r="T96" s="268"/>
      <c r="U96" s="268"/>
      <c r="V96" s="268"/>
      <c r="AE96" s="284"/>
      <c r="AF96" s="284"/>
      <c r="AG96" s="447"/>
      <c r="AH96" s="447"/>
      <c r="AI96" s="447"/>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row>
    <row r="97" spans="1:74" s="88" customFormat="1" ht="11.25" customHeight="1" x14ac:dyDescent="0.2">
      <c r="A97" s="751" t="str">
        <f t="shared" si="12"/>
        <v>Netzrückspeisung nicht erneuerbar, HT</v>
      </c>
      <c r="B97" s="752"/>
      <c r="C97" s="752"/>
      <c r="D97" s="1119"/>
      <c r="E97" s="2568">
        <f>IF(G97=0,0,Grunddaten!$AH31/100)</f>
        <v>0</v>
      </c>
      <c r="F97" s="2569"/>
      <c r="G97" s="2578">
        <f t="shared" si="13"/>
        <v>0</v>
      </c>
      <c r="H97" s="2579"/>
      <c r="I97" s="2580"/>
      <c r="J97" s="2581">
        <f>$R$109*Grunddaten!Q31/100*G68</f>
        <v>0</v>
      </c>
      <c r="K97" s="2582"/>
      <c r="L97" s="2525">
        <f t="shared" ca="1" si="14"/>
        <v>0</v>
      </c>
      <c r="M97" s="2526"/>
      <c r="N97" s="2527"/>
      <c r="O97" s="294"/>
      <c r="P97" s="2641">
        <f ca="1">ROUND(NPV($J$9,S68:OFFSET(S68,0,$E$83-1)),-1)</f>
        <v>0</v>
      </c>
      <c r="Q97" s="2642"/>
      <c r="R97" s="554"/>
      <c r="S97" s="1359"/>
      <c r="T97" s="1359"/>
      <c r="U97" s="1359"/>
      <c r="V97" s="1359"/>
      <c r="AE97" s="284"/>
      <c r="AF97" s="284"/>
      <c r="AG97" s="447"/>
      <c r="AH97" s="447"/>
      <c r="AI97" s="447"/>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row>
    <row r="98" spans="1:74" s="88" customFormat="1" ht="11.25" customHeight="1" x14ac:dyDescent="0.2">
      <c r="A98" s="698" t="str">
        <f t="shared" si="12"/>
        <v>Netzrückspeisung nicht erneuerbar, NT</v>
      </c>
      <c r="B98" s="699"/>
      <c r="C98" s="699"/>
      <c r="D98" s="1121"/>
      <c r="E98" s="2564">
        <f>IF(G98=0,0,Grunddaten!$AH32/100)</f>
        <v>0</v>
      </c>
      <c r="F98" s="2565"/>
      <c r="G98" s="2618">
        <f t="shared" si="13"/>
        <v>0</v>
      </c>
      <c r="H98" s="2619"/>
      <c r="I98" s="2620"/>
      <c r="J98" s="2583">
        <f>$R$109*Grunddaten!Q31/100*G69</f>
        <v>0</v>
      </c>
      <c r="K98" s="2584"/>
      <c r="L98" s="2531">
        <f t="shared" ca="1" si="14"/>
        <v>0</v>
      </c>
      <c r="M98" s="2532"/>
      <c r="N98" s="2533"/>
      <c r="O98" s="294"/>
      <c r="P98" s="2643">
        <f ca="1">ROUND(NPV($J$9,S69:OFFSET(S69,0,$E$83-1)),-1)</f>
        <v>0</v>
      </c>
      <c r="Q98" s="2644"/>
      <c r="R98" s="554"/>
      <c r="S98" s="1359"/>
      <c r="T98" s="1359"/>
      <c r="U98" s="1359"/>
      <c r="V98" s="1359"/>
      <c r="AE98" s="284"/>
      <c r="AF98" s="284"/>
      <c r="AG98" s="447"/>
      <c r="AH98" s="447"/>
      <c r="AI98" s="447"/>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row>
    <row r="99" spans="1:74" s="88" customFormat="1" ht="11.25" customHeight="1" x14ac:dyDescent="0.2">
      <c r="A99" s="753" t="str">
        <f t="shared" si="12"/>
        <v>Holzpellets</v>
      </c>
      <c r="B99" s="754"/>
      <c r="C99" s="754"/>
      <c r="D99" s="844"/>
      <c r="E99" s="2589">
        <f ca="1">IF(G99=0,0,Grunddaten!$AH45/100)</f>
        <v>0</v>
      </c>
      <c r="F99" s="2590"/>
      <c r="G99" s="2591">
        <f t="shared" ca="1" si="13"/>
        <v>0</v>
      </c>
      <c r="H99" s="2592"/>
      <c r="I99" s="2593"/>
      <c r="J99" s="2477">
        <f ca="1">$R$109*Grunddaten!Q45/100*G70</f>
        <v>0</v>
      </c>
      <c r="K99" s="2478"/>
      <c r="L99" s="2645">
        <f t="shared" ca="1" si="14"/>
        <v>0</v>
      </c>
      <c r="M99" s="2646"/>
      <c r="N99" s="2647"/>
      <c r="O99" s="294"/>
      <c r="P99" s="2636">
        <f ca="1">ROUND(NPV($J$9,S70:OFFSET(S70,0,$E$83-1)),-1)</f>
        <v>0</v>
      </c>
      <c r="Q99" s="2637"/>
      <c r="R99" s="554"/>
      <c r="S99" s="268"/>
      <c r="T99" s="268"/>
      <c r="U99" s="268"/>
      <c r="V99" s="268"/>
      <c r="AE99" s="284"/>
      <c r="AF99" s="284"/>
      <c r="AG99" s="447"/>
      <c r="AH99" s="447"/>
      <c r="AI99" s="447"/>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row>
    <row r="100" spans="1:74" s="88" customFormat="1" ht="11.25" customHeight="1" x14ac:dyDescent="0.2">
      <c r="A100" s="753" t="str">
        <f t="shared" si="12"/>
        <v>Holzschnitzel</v>
      </c>
      <c r="B100" s="754"/>
      <c r="C100" s="754"/>
      <c r="D100" s="844"/>
      <c r="E100" s="2589">
        <f ca="1">IF(G100=0,0,Grunddaten!$AH46/100)</f>
        <v>0</v>
      </c>
      <c r="F100" s="2590"/>
      <c r="G100" s="2591">
        <f t="shared" ca="1" si="13"/>
        <v>0</v>
      </c>
      <c r="H100" s="2592"/>
      <c r="I100" s="2593"/>
      <c r="J100" s="2477">
        <f ca="1">$R$109*Grunddaten!Q46/100*G71</f>
        <v>0</v>
      </c>
      <c r="K100" s="2478"/>
      <c r="L100" s="2645">
        <f t="shared" ca="1" si="14"/>
        <v>0</v>
      </c>
      <c r="M100" s="2646"/>
      <c r="N100" s="2647"/>
      <c r="O100" s="294"/>
      <c r="P100" s="2638">
        <f ca="1">ROUND(NPV($J$9,S71:OFFSET(S71,0,$E$83-1)),-1)</f>
        <v>0</v>
      </c>
      <c r="Q100" s="2639"/>
      <c r="R100" s="554"/>
      <c r="S100" s="268"/>
      <c r="T100" s="268"/>
      <c r="U100" s="268"/>
      <c r="V100" s="268"/>
      <c r="AE100" s="284"/>
      <c r="AF100" s="284"/>
      <c r="AG100" s="447"/>
      <c r="AH100" s="447"/>
      <c r="AI100" s="447"/>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row>
    <row r="101" spans="1:74" s="88" customFormat="1" ht="11.25" customHeight="1" x14ac:dyDescent="0.2">
      <c r="A101" s="753" t="str">
        <f t="shared" ref="A101:A107" si="15">A72</f>
        <v>Biogas</v>
      </c>
      <c r="B101" s="754"/>
      <c r="C101" s="754"/>
      <c r="D101" s="844"/>
      <c r="E101" s="2700">
        <f ca="1">IF(G101=0,0,VLOOKUP(Projektdaten!G24,Grunddaten!C47:AI48,32,FALSE)/100)</f>
        <v>0</v>
      </c>
      <c r="F101" s="2701"/>
      <c r="G101" s="2591">
        <f t="shared" ca="1" si="13"/>
        <v>0</v>
      </c>
      <c r="H101" s="2592"/>
      <c r="I101" s="2593"/>
      <c r="J101" s="2477">
        <f ca="1">$R$109*VLOOKUP(Projektdaten!G24,Grunddaten!C47:AI48,15,FALSE)/100*G72</f>
        <v>0</v>
      </c>
      <c r="K101" s="2478"/>
      <c r="L101" s="2645">
        <f t="shared" ca="1" si="14"/>
        <v>0</v>
      </c>
      <c r="M101" s="2646"/>
      <c r="N101" s="2647"/>
      <c r="O101" s="294"/>
      <c r="P101" s="2638">
        <f ca="1">ROUND(NPV($J$9,S72:OFFSET(S72,0,$E$83-1)),-1)</f>
        <v>0</v>
      </c>
      <c r="Q101" s="2639"/>
      <c r="R101" s="554"/>
      <c r="S101" s="268"/>
      <c r="T101" s="268"/>
      <c r="U101" s="268"/>
      <c r="V101" s="268"/>
      <c r="AE101" s="284"/>
      <c r="AF101" s="284"/>
      <c r="AG101" s="447"/>
      <c r="AH101" s="447"/>
      <c r="AI101" s="447"/>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row>
    <row r="102" spans="1:74" s="88" customFormat="1" ht="11.25" customHeight="1" x14ac:dyDescent="0.2">
      <c r="A102" s="753" t="str">
        <f t="shared" si="15"/>
        <v>Erdgas</v>
      </c>
      <c r="B102" s="754"/>
      <c r="C102" s="754"/>
      <c r="D102" s="844"/>
      <c r="E102" s="2589">
        <f ca="1">IF(G102=0,0,Grunddaten!$AH49/100)</f>
        <v>0</v>
      </c>
      <c r="F102" s="2590"/>
      <c r="G102" s="2591">
        <f t="shared" ca="1" si="13"/>
        <v>0</v>
      </c>
      <c r="H102" s="2592"/>
      <c r="I102" s="2593"/>
      <c r="J102" s="2477">
        <f ca="1">$R$109*Grunddaten!Q49/100*G73</f>
        <v>0</v>
      </c>
      <c r="K102" s="2478"/>
      <c r="L102" s="2645">
        <f t="shared" ca="1" si="14"/>
        <v>0</v>
      </c>
      <c r="M102" s="2646"/>
      <c r="N102" s="2647"/>
      <c r="O102" s="294"/>
      <c r="P102" s="2638">
        <f ca="1">ROUND(NPV($J$9,S73:OFFSET(S73,0,$E$83-1)),-1)</f>
        <v>0</v>
      </c>
      <c r="Q102" s="2639"/>
      <c r="R102" s="554"/>
      <c r="S102" s="268"/>
      <c r="T102" s="268"/>
      <c r="U102" s="268"/>
      <c r="V102" s="268"/>
      <c r="AE102" s="284"/>
      <c r="AF102" s="284"/>
      <c r="AG102" s="447"/>
      <c r="AH102" s="447"/>
      <c r="AI102" s="447"/>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row>
    <row r="103" spans="1:74" s="88" customFormat="1" ht="11.25" customHeight="1" x14ac:dyDescent="0.2">
      <c r="A103" s="753" t="str">
        <f t="shared" si="15"/>
        <v>Heizöl EL</v>
      </c>
      <c r="B103" s="754"/>
      <c r="C103" s="754"/>
      <c r="D103" s="844"/>
      <c r="E103" s="2589">
        <f ca="1">IF(G103=0,0,Grunddaten!$AH50/100)</f>
        <v>0</v>
      </c>
      <c r="F103" s="2590"/>
      <c r="G103" s="2591">
        <f t="shared" ca="1" si="13"/>
        <v>0</v>
      </c>
      <c r="H103" s="2592"/>
      <c r="I103" s="2593"/>
      <c r="J103" s="2477">
        <f ca="1">$R$109*Grunddaten!Q50/100*G74</f>
        <v>0</v>
      </c>
      <c r="K103" s="2478"/>
      <c r="L103" s="2645">
        <f t="shared" ca="1" si="14"/>
        <v>0</v>
      </c>
      <c r="M103" s="2646"/>
      <c r="N103" s="2647"/>
      <c r="O103" s="294"/>
      <c r="P103" s="2638">
        <f ca="1">ROUND(NPV($J$9,S74:OFFSET(S74,0,$E$83-1)),-1)</f>
        <v>0</v>
      </c>
      <c r="Q103" s="2639"/>
      <c r="R103" s="554"/>
      <c r="S103" s="268"/>
      <c r="T103" s="268"/>
      <c r="U103" s="268"/>
      <c r="V103" s="268"/>
      <c r="AE103" s="284"/>
      <c r="AF103" s="284"/>
      <c r="AG103" s="447"/>
      <c r="AH103" s="447"/>
      <c r="AI103" s="447"/>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row>
    <row r="104" spans="1:74" s="88" customFormat="1" ht="11.25" customHeight="1" x14ac:dyDescent="0.2">
      <c r="A104" s="753" t="str">
        <f t="shared" si="15"/>
        <v>Brennstoff XY</v>
      </c>
      <c r="B104" s="754"/>
      <c r="C104" s="754"/>
      <c r="D104" s="844"/>
      <c r="E104" s="2589">
        <f ca="1">IF(G104=0,0,Grunddaten!$AH51/100)</f>
        <v>0</v>
      </c>
      <c r="F104" s="2590"/>
      <c r="G104" s="2591">
        <f t="shared" ca="1" si="13"/>
        <v>0</v>
      </c>
      <c r="H104" s="2592"/>
      <c r="I104" s="2593"/>
      <c r="J104" s="2477">
        <f ca="1">$R$109*Grunddaten!Q51/100*G75</f>
        <v>0</v>
      </c>
      <c r="K104" s="2478"/>
      <c r="L104" s="2645">
        <f t="shared" ca="1" si="14"/>
        <v>0</v>
      </c>
      <c r="M104" s="2646"/>
      <c r="N104" s="2647"/>
      <c r="O104" s="294"/>
      <c r="P104" s="2638">
        <f ca="1">ROUND(NPV($J$9,S75:OFFSET(S75,0,$E$83-1)),-1)</f>
        <v>0</v>
      </c>
      <c r="Q104" s="2639"/>
      <c r="R104" s="554"/>
      <c r="S104" s="268"/>
      <c r="T104" s="268"/>
      <c r="U104" s="268"/>
      <c r="V104" s="268"/>
      <c r="AE104" s="284"/>
      <c r="AF104" s="284"/>
      <c r="AG104" s="447"/>
      <c r="AH104" s="447"/>
      <c r="AI104" s="447"/>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row>
    <row r="105" spans="1:74" s="88" customFormat="1" ht="11.25" customHeight="1" x14ac:dyDescent="0.2">
      <c r="A105" s="753" t="str">
        <f t="shared" si="15"/>
        <v>Fernwärme</v>
      </c>
      <c r="B105" s="754"/>
      <c r="C105" s="754"/>
      <c r="D105" s="1265"/>
      <c r="E105" s="2614">
        <f ca="1">IF(G105=0,0,OFFSET(Grunddaten!$AH$52,FW_Produkt,0))/100</f>
        <v>0</v>
      </c>
      <c r="F105" s="2615"/>
      <c r="G105" s="2578">
        <f t="shared" ca="1" si="13"/>
        <v>0</v>
      </c>
      <c r="H105" s="2579"/>
      <c r="I105" s="2580"/>
      <c r="J105" s="2581">
        <f ca="1">$R$109*OFFSET(Grunddaten!$Q$52,FW_Produkt,0)/100*G76</f>
        <v>0</v>
      </c>
      <c r="K105" s="2582"/>
      <c r="L105" s="2525">
        <f t="shared" ca="1" si="14"/>
        <v>0</v>
      </c>
      <c r="M105" s="2526"/>
      <c r="N105" s="2527"/>
      <c r="O105" s="294"/>
      <c r="P105" s="2638">
        <f ca="1">ROUND(NPV($J$9,S76:OFFSET(S76,0,$E$83-1)),-1)</f>
        <v>0</v>
      </c>
      <c r="Q105" s="2639"/>
      <c r="R105" s="554"/>
      <c r="S105" s="268"/>
      <c r="T105" s="268"/>
      <c r="U105" s="268"/>
      <c r="V105" s="268"/>
      <c r="AE105" s="284"/>
      <c r="AF105" s="284"/>
      <c r="AG105" s="447"/>
      <c r="AH105" s="447"/>
      <c r="AI105" s="447"/>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row>
    <row r="106" spans="1:74" s="88" customFormat="1" ht="11.25" customHeight="1" x14ac:dyDescent="0.2">
      <c r="A106" s="751" t="str">
        <f t="shared" si="15"/>
        <v>Wärmeverbund XY</v>
      </c>
      <c r="B106" s="752"/>
      <c r="C106" s="752"/>
      <c r="D106" s="1119"/>
      <c r="E106" s="2589">
        <f ca="1">IF(G106=0,0,Grunddaten!$AH55/100)</f>
        <v>0</v>
      </c>
      <c r="F106" s="2590"/>
      <c r="G106" s="2591">
        <f t="shared" ca="1" si="13"/>
        <v>0</v>
      </c>
      <c r="H106" s="2592"/>
      <c r="I106" s="2593"/>
      <c r="J106" s="2477">
        <f ca="1">$R$109*Grunddaten!Q55/100*G77</f>
        <v>0</v>
      </c>
      <c r="K106" s="2478"/>
      <c r="L106" s="2645">
        <f t="shared" ca="1" si="14"/>
        <v>0</v>
      </c>
      <c r="M106" s="2646"/>
      <c r="N106" s="2647"/>
      <c r="O106" s="294"/>
      <c r="P106" s="2638">
        <f ca="1">ROUND(NPV($J$9,S77:OFFSET(S77,0,$E$83-1)),-1)</f>
        <v>0</v>
      </c>
      <c r="Q106" s="2639"/>
      <c r="R106" s="554"/>
      <c r="S106" s="1259"/>
      <c r="T106" s="1259"/>
      <c r="U106" s="1259"/>
      <c r="V106" s="1259"/>
      <c r="AE106" s="284"/>
      <c r="AF106" s="284"/>
      <c r="AG106" s="447"/>
      <c r="AH106" s="447"/>
      <c r="AI106" s="447"/>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row>
    <row r="107" spans="1:74" s="88" customFormat="1" ht="11.25" customHeight="1" x14ac:dyDescent="0.2">
      <c r="A107" s="1266" t="str">
        <f t="shared" si="15"/>
        <v>Kälteverbund XY</v>
      </c>
      <c r="B107" s="1267"/>
      <c r="C107" s="1267"/>
      <c r="D107" s="1268"/>
      <c r="E107" s="2589">
        <f ca="1">IF(G107=0,0,Grunddaten!$AH56/100)</f>
        <v>0</v>
      </c>
      <c r="F107" s="2590"/>
      <c r="G107" s="2591">
        <f t="shared" ref="G107" ca="1" si="16">L78-J107</f>
        <v>0</v>
      </c>
      <c r="H107" s="2592"/>
      <c r="I107" s="2593"/>
      <c r="J107" s="2477">
        <f ca="1">$R$109*Grunddaten!Q56/100*G78</f>
        <v>0</v>
      </c>
      <c r="K107" s="2478"/>
      <c r="L107" s="2645">
        <f t="shared" ref="L107" ca="1" si="17">IF(P107=0,0,-ROUND(PMT($J$9,$E$83,$P107),-1))</f>
        <v>0</v>
      </c>
      <c r="M107" s="2646"/>
      <c r="N107" s="2647"/>
      <c r="O107" s="294"/>
      <c r="P107" s="2648">
        <f ca="1">ROUND(NPV($J$9,S78:OFFSET(S78,0,$E$83-1)),-1)</f>
        <v>0</v>
      </c>
      <c r="Q107" s="2649"/>
      <c r="R107" s="554"/>
      <c r="S107" s="1765"/>
      <c r="T107" s="1765"/>
      <c r="U107" s="1765"/>
      <c r="V107" s="1765"/>
      <c r="AE107" s="284"/>
      <c r="AF107" s="284"/>
      <c r="AG107" s="447"/>
      <c r="AH107" s="447"/>
      <c r="AI107" s="447"/>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row>
    <row r="108" spans="1:74" s="88" customFormat="1" ht="12.1" customHeight="1" x14ac:dyDescent="0.2">
      <c r="A108" s="756" t="s">
        <v>48</v>
      </c>
      <c r="B108" s="1391"/>
      <c r="C108" s="757"/>
      <c r="D108" s="757"/>
      <c r="E108" s="1066"/>
      <c r="F108" s="1067"/>
      <c r="G108" s="2575">
        <f ca="1">ROUND(SUM(G91:G107),-1)</f>
        <v>0</v>
      </c>
      <c r="H108" s="2576"/>
      <c r="I108" s="2577"/>
      <c r="J108" s="2466" t="s">
        <v>49</v>
      </c>
      <c r="K108" s="2467"/>
      <c r="L108" s="2575">
        <f ca="1">ROUND(SUM(L91:N107),-1)</f>
        <v>0</v>
      </c>
      <c r="M108" s="2576"/>
      <c r="N108" s="2664"/>
      <c r="O108" s="293"/>
      <c r="S108" s="382"/>
      <c r="AE108" s="284"/>
      <c r="AF108" s="284"/>
      <c r="AG108" s="447"/>
      <c r="AH108" s="447"/>
      <c r="AI108" s="447"/>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c r="BP108" s="382"/>
    </row>
    <row r="109" spans="1:74" s="88" customFormat="1" ht="12.1" customHeight="1" thickBot="1" x14ac:dyDescent="0.25">
      <c r="A109" s="755" t="s">
        <v>752</v>
      </c>
      <c r="B109" s="1392"/>
      <c r="C109" s="2704" t="str">
        <f>IF($R$109=1,"(berücksichtigt)","(nicht berücksichtigt)")</f>
        <v>(nicht berücksichtigt)</v>
      </c>
      <c r="D109" s="2704"/>
      <c r="E109" s="1068"/>
      <c r="F109" s="1068"/>
      <c r="G109" s="1524"/>
      <c r="H109" s="1524"/>
      <c r="I109" s="1525"/>
      <c r="J109" s="2680">
        <f ca="1">$R$109*ROUND(SUM(J91:J107),-1)</f>
        <v>0</v>
      </c>
      <c r="K109" s="2588"/>
      <c r="L109" s="2665">
        <f ca="1">J109</f>
        <v>0</v>
      </c>
      <c r="M109" s="2666"/>
      <c r="N109" s="2667"/>
      <c r="O109" s="293"/>
      <c r="P109" s="546" t="s">
        <v>485</v>
      </c>
      <c r="Q109" s="547"/>
      <c r="R109" s="548">
        <f>Projektdaten!$T$29</f>
        <v>0</v>
      </c>
      <c r="S109" s="321" t="s">
        <v>486</v>
      </c>
      <c r="AE109" s="284"/>
      <c r="AF109" s="284"/>
      <c r="AG109" s="447"/>
      <c r="AH109" s="447"/>
      <c r="AI109" s="447"/>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c r="BP109" s="382"/>
    </row>
    <row r="110" spans="1:74" s="88" customFormat="1" ht="13.6" customHeight="1" thickBot="1" x14ac:dyDescent="0.25">
      <c r="A110" s="391" t="s">
        <v>47</v>
      </c>
      <c r="B110" s="91"/>
      <c r="C110" s="393"/>
      <c r="D110" s="393"/>
      <c r="E110" s="1465"/>
      <c r="F110" s="1465"/>
      <c r="G110" s="2606">
        <f ca="1">G88+G89+G108+J109</f>
        <v>0</v>
      </c>
      <c r="H110" s="2607"/>
      <c r="I110" s="2607"/>
      <c r="J110" s="2607"/>
      <c r="K110" s="2608"/>
      <c r="L110" s="2668">
        <f ca="1">ROUND(SUM(L88+L89+L108+L109),-1)</f>
        <v>0</v>
      </c>
      <c r="M110" s="2669"/>
      <c r="N110" s="2670"/>
      <c r="O110" s="293"/>
      <c r="P110" s="290"/>
      <c r="R110" s="382"/>
      <c r="S110" s="382"/>
      <c r="AE110" s="284"/>
      <c r="AF110" s="284"/>
      <c r="AG110" s="447"/>
      <c r="AH110" s="447"/>
      <c r="AI110" s="447"/>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c r="BP110" s="382"/>
      <c r="BS110" s="268"/>
      <c r="BT110" s="268"/>
      <c r="BU110" s="268"/>
      <c r="BV110" s="268"/>
    </row>
    <row r="111" spans="1:74" s="172" customFormat="1" ht="5.95" customHeight="1" x14ac:dyDescent="0.2">
      <c r="A111" s="96" t="s">
        <v>12</v>
      </c>
      <c r="B111" s="96"/>
      <c r="C111" s="95"/>
      <c r="D111" s="95"/>
      <c r="E111" s="95"/>
      <c r="F111" s="95"/>
      <c r="G111" s="95"/>
      <c r="H111" s="171" t="s">
        <v>12</v>
      </c>
      <c r="I111" s="171"/>
      <c r="K111" s="173" t="s">
        <v>12</v>
      </c>
      <c r="L111" s="173"/>
      <c r="M111" s="173"/>
      <c r="N111" s="173"/>
      <c r="O111" s="173"/>
      <c r="P111" s="87"/>
      <c r="Q111" s="270"/>
      <c r="S111" s="454"/>
      <c r="T111" s="454"/>
      <c r="AD111" s="270"/>
      <c r="AE111" s="270"/>
      <c r="AF111" s="270"/>
      <c r="AG111" s="270"/>
      <c r="AH111" s="455"/>
      <c r="AI111" s="455"/>
      <c r="AJ111" s="455"/>
      <c r="AK111" s="454"/>
      <c r="AL111" s="454"/>
      <c r="AM111" s="454"/>
      <c r="AN111" s="454"/>
      <c r="AO111" s="454"/>
      <c r="AP111" s="454"/>
      <c r="AQ111" s="454"/>
      <c r="AR111" s="454"/>
      <c r="AS111" s="454"/>
      <c r="AT111" s="454"/>
      <c r="AU111" s="454"/>
      <c r="AV111" s="454"/>
      <c r="AW111" s="454"/>
      <c r="AX111" s="454"/>
      <c r="AY111" s="454"/>
      <c r="AZ111" s="454"/>
      <c r="BA111" s="454"/>
      <c r="BB111" s="454"/>
      <c r="BC111" s="454"/>
      <c r="BD111" s="454"/>
      <c r="BE111" s="454"/>
      <c r="BF111" s="454"/>
      <c r="BG111" s="454"/>
      <c r="BH111" s="454"/>
      <c r="BI111" s="454"/>
      <c r="BJ111" s="454"/>
      <c r="BK111" s="454"/>
      <c r="BL111" s="454"/>
      <c r="BM111" s="454"/>
      <c r="BN111" s="454"/>
      <c r="BO111" s="454"/>
      <c r="BP111" s="454"/>
      <c r="BQ111" s="454"/>
      <c r="BS111" s="268"/>
      <c r="BT111" s="268"/>
      <c r="BU111" s="268"/>
      <c r="BV111" s="268"/>
    </row>
    <row r="112" spans="1:74" s="84" customFormat="1" ht="17.350000000000001" customHeight="1" x14ac:dyDescent="0.25">
      <c r="A112" s="107" t="s">
        <v>478</v>
      </c>
      <c r="B112" s="107"/>
      <c r="D112" s="1379"/>
      <c r="E112" s="1379" t="str">
        <f>$D$88</f>
        <v>(Förderbeiträge berücksichtigen)</v>
      </c>
      <c r="F112" s="102"/>
      <c r="G112" s="102"/>
      <c r="H112" s="83"/>
      <c r="I112" s="83"/>
      <c r="J112" s="83"/>
      <c r="K112" s="101"/>
      <c r="L112" s="101"/>
      <c r="M112" s="101"/>
      <c r="N112" s="101"/>
      <c r="O112" s="101"/>
      <c r="P112" s="506" t="s">
        <v>474</v>
      </c>
      <c r="S112" s="381"/>
      <c r="T112" s="381"/>
      <c r="U112" s="381"/>
      <c r="V112" s="381"/>
      <c r="W112" s="381"/>
      <c r="X112" s="381"/>
      <c r="AB112" s="395"/>
      <c r="AC112" s="270"/>
      <c r="AD112" s="270"/>
      <c r="AE112" s="270"/>
      <c r="AF112" s="270"/>
      <c r="AG112" s="270"/>
      <c r="AH112" s="380"/>
      <c r="AI112" s="380"/>
      <c r="AJ112" s="380"/>
      <c r="AK112" s="381"/>
      <c r="AL112" s="381"/>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c r="BP112" s="381"/>
      <c r="BQ112" s="381"/>
      <c r="BS112" s="268"/>
      <c r="BT112" s="268"/>
      <c r="BU112" s="268"/>
      <c r="BV112" s="268"/>
    </row>
    <row r="113" spans="1:74" s="84" customFormat="1" ht="2.25" customHeight="1" thickBot="1" x14ac:dyDescent="0.25">
      <c r="A113" s="94"/>
      <c r="B113" s="94"/>
      <c r="C113" s="100"/>
      <c r="D113" s="100"/>
      <c r="E113" s="100"/>
      <c r="F113" s="100"/>
      <c r="G113" s="101"/>
      <c r="H113" s="86"/>
      <c r="I113" s="86"/>
      <c r="J113" s="86"/>
      <c r="K113" s="86"/>
      <c r="L113" s="86"/>
      <c r="M113" s="86"/>
      <c r="N113" s="86"/>
      <c r="O113" s="86"/>
      <c r="Q113" s="270"/>
      <c r="S113" s="381"/>
      <c r="T113" s="381"/>
      <c r="U113" s="381"/>
      <c r="V113" s="381"/>
      <c r="W113" s="381"/>
      <c r="X113" s="381"/>
      <c r="AB113" s="270"/>
      <c r="AC113" s="270"/>
      <c r="AD113" s="270"/>
      <c r="AE113" s="270"/>
      <c r="AF113" s="270"/>
      <c r="AG113" s="270"/>
      <c r="AH113" s="380"/>
      <c r="AI113" s="380"/>
      <c r="AJ113" s="380"/>
      <c r="AK113" s="381"/>
      <c r="AL113" s="381"/>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381"/>
      <c r="BK113" s="381"/>
      <c r="BL113" s="381"/>
      <c r="BM113" s="381"/>
      <c r="BN113" s="381"/>
      <c r="BO113" s="381"/>
      <c r="BP113" s="381"/>
      <c r="BQ113" s="381"/>
      <c r="BS113" s="268"/>
      <c r="BT113" s="268"/>
      <c r="BU113" s="268"/>
      <c r="BV113" s="268"/>
    </row>
    <row r="114" spans="1:74" s="84" customFormat="1" ht="12.9" customHeight="1" thickBot="1" x14ac:dyDescent="0.25">
      <c r="A114" s="388"/>
      <c r="B114" s="99"/>
      <c r="C114" s="2441" t="s">
        <v>480</v>
      </c>
      <c r="D114" s="2442"/>
      <c r="E114" s="2442"/>
      <c r="F114" s="2443"/>
      <c r="G114" s="2441" t="s">
        <v>678</v>
      </c>
      <c r="H114" s="2442"/>
      <c r="I114" s="2442"/>
      <c r="J114" s="2442"/>
      <c r="K114" s="2442"/>
      <c r="L114" s="2442"/>
      <c r="M114" s="2442"/>
      <c r="N114" s="2679"/>
      <c r="O114" s="268"/>
      <c r="P114" s="435" t="s">
        <v>475</v>
      </c>
      <c r="Q114" s="381"/>
      <c r="R114" s="381"/>
      <c r="S114" s="381"/>
      <c r="T114" s="381"/>
      <c r="U114" s="381"/>
      <c r="V114" s="381"/>
      <c r="W114" s="381"/>
      <c r="AA114" s="270"/>
      <c r="AB114" s="270"/>
      <c r="AC114" s="270"/>
      <c r="AD114" s="270"/>
      <c r="AE114" s="270"/>
      <c r="AF114" s="380"/>
      <c r="AG114" s="380"/>
      <c r="AH114" s="380"/>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c r="BS114" s="268"/>
      <c r="BT114" s="268"/>
      <c r="BU114" s="268"/>
      <c r="BV114" s="268"/>
    </row>
    <row r="115" spans="1:74" s="84" customFormat="1" ht="12.9" customHeight="1" thickBot="1" x14ac:dyDescent="0.25">
      <c r="A115" s="507"/>
      <c r="B115" s="98"/>
      <c r="C115" s="2444" t="s">
        <v>32</v>
      </c>
      <c r="D115" s="2445"/>
      <c r="E115" s="2445"/>
      <c r="F115" s="2446"/>
      <c r="G115" s="2444" t="s">
        <v>472</v>
      </c>
      <c r="H115" s="2445"/>
      <c r="I115" s="2446"/>
      <c r="J115" s="2672" t="s">
        <v>473</v>
      </c>
      <c r="K115" s="2672"/>
      <c r="L115" s="2671" t="s">
        <v>452</v>
      </c>
      <c r="M115" s="2672"/>
      <c r="N115" s="2673"/>
      <c r="O115" s="268"/>
      <c r="P115" s="505">
        <f>SUM(P116:P118)</f>
        <v>0</v>
      </c>
      <c r="Q115" s="503">
        <v>2</v>
      </c>
      <c r="R115" s="503">
        <v>3</v>
      </c>
      <c r="S115" s="503">
        <v>4</v>
      </c>
      <c r="T115" s="503">
        <v>5</v>
      </c>
      <c r="U115" s="503">
        <v>6</v>
      </c>
      <c r="V115" s="504">
        <v>7</v>
      </c>
      <c r="W115" s="381"/>
      <c r="AA115" s="270"/>
      <c r="AB115" s="270"/>
      <c r="AC115" s="270"/>
      <c r="AD115" s="270"/>
      <c r="AE115" s="270"/>
      <c r="AF115" s="380"/>
      <c r="AG115" s="380"/>
      <c r="AH115" s="380"/>
      <c r="AI115" s="381"/>
      <c r="AJ115" s="381"/>
      <c r="AK115" s="381"/>
      <c r="AL115" s="381"/>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c r="BS115" s="268"/>
      <c r="BT115" s="268"/>
      <c r="BU115" s="268"/>
      <c r="BV115" s="268"/>
    </row>
    <row r="116" spans="1:74" s="84" customFormat="1" x14ac:dyDescent="0.2">
      <c r="A116" s="518" t="s">
        <v>469</v>
      </c>
      <c r="B116" s="1393"/>
      <c r="C116" s="2542">
        <f>SUM(EV_Var3!$M$10:$M$39,EV_Var3!$M$43,EV_Var3!$M$47,EV_Var3!$M$58,EV_Var3!$R$58)</f>
        <v>0</v>
      </c>
      <c r="D116" s="2543"/>
      <c r="E116" s="2543"/>
      <c r="F116" s="2544"/>
      <c r="G116" s="2594" t="str">
        <f>IF(C116=0,"",IF(OR($P$115=0,NOT(ISBLANK(J116))),$L$119,HLOOKUP($P$115,$Q$115:$V$118,2,FALSE)))</f>
        <v/>
      </c>
      <c r="H116" s="2595"/>
      <c r="I116" s="2596"/>
      <c r="J116" s="2683"/>
      <c r="K116" s="2684"/>
      <c r="L116" s="2689" t="str">
        <f>IF(ISBLANK(J116),G116,J116)</f>
        <v/>
      </c>
      <c r="M116" s="2690"/>
      <c r="N116" s="2691"/>
      <c r="O116" s="268"/>
      <c r="P116" s="408">
        <f>IF(ISBLANK(J116),0,2)</f>
        <v>0</v>
      </c>
      <c r="Q116" s="501">
        <f>$J116*$C116/100</f>
        <v>0</v>
      </c>
      <c r="R116" s="494" t="e">
        <f ca="1">($L$110-SUM($J$91:$N$94)*$V$124-$R$117)/($C$116+$C$118)*100</f>
        <v>#DIV/0!</v>
      </c>
      <c r="S116" s="494" t="e">
        <f ca="1">($L$110-SUM($J$91:$N$94)*$V$124-$S$118)/($C$116+$C$117)*100</f>
        <v>#DIV/0!</v>
      </c>
      <c r="T116" s="502">
        <f>$J116*$C116/100</f>
        <v>0</v>
      </c>
      <c r="U116" s="499">
        <f>$J116*$C116/100</f>
        <v>0</v>
      </c>
      <c r="V116" s="495" t="e">
        <f ca="1">($L$110-SUM($J$91:$N$94)*$V$124-SUM($V$117,$V$118))/$C$116*100</f>
        <v>#DIV/0!</v>
      </c>
      <c r="W116" s="493"/>
      <c r="AA116" s="493"/>
      <c r="AB116" s="493"/>
      <c r="AC116" s="493"/>
      <c r="AD116" s="493"/>
      <c r="AE116" s="493"/>
      <c r="AF116" s="270"/>
      <c r="AG116" s="380"/>
      <c r="AH116" s="380"/>
      <c r="AI116" s="380"/>
      <c r="AJ116" s="381"/>
      <c r="AK116" s="381"/>
      <c r="AL116" s="381"/>
      <c r="AM116" s="381"/>
      <c r="AN116" s="381"/>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1"/>
      <c r="BM116" s="381"/>
      <c r="BN116" s="381"/>
      <c r="BO116" s="381"/>
      <c r="BP116" s="381"/>
      <c r="BS116" s="268"/>
      <c r="BT116" s="268"/>
      <c r="BU116" s="268"/>
      <c r="BV116" s="268"/>
    </row>
    <row r="117" spans="1:74" s="84" customFormat="1" x14ac:dyDescent="0.2">
      <c r="A117" s="519" t="s">
        <v>470</v>
      </c>
      <c r="B117" s="1394"/>
      <c r="C117" s="2545">
        <f>SUM(EV_Var3!$M$41,EV_Var3!$M$45,EV_Var3!$M$49,EV_Var3!$M$52,EV_Var3!$M$55)</f>
        <v>0</v>
      </c>
      <c r="D117" s="2546"/>
      <c r="E117" s="2546"/>
      <c r="F117" s="2547"/>
      <c r="G117" s="2597" t="str">
        <f>IF(C117=0,"",IF(OR($P$115=0,NOT(ISBLANK(J117))),$L$119,HLOOKUP($P$115,$Q$115:$V$118,3,FALSE)))</f>
        <v/>
      </c>
      <c r="H117" s="2598"/>
      <c r="I117" s="2599"/>
      <c r="J117" s="2685"/>
      <c r="K117" s="2686"/>
      <c r="L117" s="2692" t="str">
        <f>IF(ISBLANK(J117),G117,J117)</f>
        <v/>
      </c>
      <c r="M117" s="2693"/>
      <c r="N117" s="2694"/>
      <c r="O117" s="268"/>
      <c r="P117" s="425">
        <f>IF(ISBLANK(J117),0,3)</f>
        <v>0</v>
      </c>
      <c r="Q117" s="500" t="e">
        <f ca="1">($L$110-SUM($J$91:$N$94)*$V$124-$Q$116)/($C$117+$C$118)*100</f>
        <v>#DIV/0!</v>
      </c>
      <c r="R117" s="496">
        <f>$J117*$C117/100</f>
        <v>0</v>
      </c>
      <c r="S117" s="494" t="e">
        <f ca="1">S116</f>
        <v>#DIV/0!</v>
      </c>
      <c r="T117" s="498">
        <f>$J117*$C117/100</f>
        <v>0</v>
      </c>
      <c r="U117" s="495" t="e">
        <f ca="1">($L$110-SUM($J$91:$N$94)*$V$124-SUM($U$116,$U$118))/$C$117*100</f>
        <v>#DIV/0!</v>
      </c>
      <c r="V117" s="497">
        <f>$J117*$C117/100</f>
        <v>0</v>
      </c>
      <c r="W117" s="493"/>
      <c r="X117" s="101"/>
      <c r="Y117" s="101"/>
      <c r="Z117" s="101"/>
      <c r="AA117" s="493"/>
      <c r="AB117" s="493"/>
      <c r="AC117" s="493"/>
      <c r="AD117" s="493"/>
      <c r="AE117" s="493"/>
      <c r="AF117" s="270"/>
      <c r="AG117" s="380"/>
      <c r="AH117" s="380"/>
      <c r="AI117" s="380"/>
      <c r="AJ117" s="381"/>
      <c r="AK117" s="381"/>
      <c r="AL117" s="38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c r="BS117" s="268"/>
      <c r="BT117" s="268"/>
      <c r="BU117" s="268"/>
      <c r="BV117" s="268"/>
    </row>
    <row r="118" spans="1:74" s="84" customFormat="1" x14ac:dyDescent="0.2">
      <c r="A118" s="511" t="s">
        <v>481</v>
      </c>
      <c r="B118" s="1387"/>
      <c r="C118" s="2548">
        <f>$T$129</f>
        <v>0</v>
      </c>
      <c r="D118" s="2549"/>
      <c r="E118" s="2549"/>
      <c r="F118" s="2550"/>
      <c r="G118" s="2600" t="str">
        <f>IF(C118=0,"",IF(OR($P$115=0,NOT(ISBLANK(J118))),$L$119,HLOOKUP($P$115,$Q$115:$V$118,4,FALSE)))</f>
        <v/>
      </c>
      <c r="H118" s="2601"/>
      <c r="I118" s="2602"/>
      <c r="J118" s="2687"/>
      <c r="K118" s="2688"/>
      <c r="L118" s="2661" t="str">
        <f>IF(ISBLANK(J118),G118,J118)</f>
        <v/>
      </c>
      <c r="M118" s="2662"/>
      <c r="N118" s="2663"/>
      <c r="O118" s="268"/>
      <c r="P118" s="425">
        <f>IF(ISBLANK(J118),0,4)</f>
        <v>0</v>
      </c>
      <c r="Q118" s="488" t="e">
        <f ca="1">Q117</f>
        <v>#DIV/0!</v>
      </c>
      <c r="R118" s="489" t="e">
        <f ca="1">R116</f>
        <v>#DIV/0!</v>
      </c>
      <c r="S118" s="496">
        <f>$J118*$C118/100</f>
        <v>0</v>
      </c>
      <c r="T118" s="489" t="e">
        <f ca="1">($L$110-SUM($J$91:$N$94)*$V$124-SUM($T$116,$T$117))/$C$118*100</f>
        <v>#DIV/0!</v>
      </c>
      <c r="U118" s="499">
        <f>$J118*$C118/100</f>
        <v>0</v>
      </c>
      <c r="V118" s="499">
        <f>$J118*$C118/100</f>
        <v>0</v>
      </c>
      <c r="W118" s="493"/>
      <c r="X118" s="2695"/>
      <c r="Y118" s="2695"/>
      <c r="Z118" s="2695"/>
      <c r="AA118" s="493"/>
      <c r="AB118" s="493"/>
      <c r="AC118" s="493"/>
      <c r="AD118" s="493"/>
      <c r="AE118" s="493"/>
      <c r="AF118" s="270"/>
      <c r="AG118" s="380"/>
      <c r="AH118" s="380"/>
      <c r="AI118" s="380"/>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c r="BS118" s="268"/>
      <c r="BT118" s="268"/>
      <c r="BU118" s="268"/>
      <c r="BV118" s="268"/>
    </row>
    <row r="119" spans="1:74" s="84" customFormat="1" ht="12.75" customHeight="1" thickBot="1" x14ac:dyDescent="0.25">
      <c r="A119" s="520" t="s">
        <v>491</v>
      </c>
      <c r="B119" s="1395"/>
      <c r="C119" s="2572">
        <f>SUM(C116:F118)</f>
        <v>0</v>
      </c>
      <c r="D119" s="2573"/>
      <c r="E119" s="2573"/>
      <c r="F119" s="2574"/>
      <c r="G119" s="2603">
        <f>$L119</f>
        <v>0</v>
      </c>
      <c r="H119" s="2604"/>
      <c r="I119" s="2605"/>
      <c r="J119" s="2681"/>
      <c r="K119" s="2682"/>
      <c r="L119" s="2676">
        <f>IF(C119=0,0,($L$110-SUM($J$91:$N$94)*$V$124)/$C$119*100)</f>
        <v>0</v>
      </c>
      <c r="M119" s="2677"/>
      <c r="N119" s="2678"/>
      <c r="O119" s="268"/>
      <c r="P119" s="493"/>
      <c r="Q119" s="493"/>
      <c r="R119" s="493"/>
      <c r="S119" s="493"/>
      <c r="T119" s="493"/>
      <c r="U119" s="493"/>
      <c r="V119" s="493"/>
      <c r="W119" s="493"/>
      <c r="X119" s="493"/>
      <c r="Y119" s="493"/>
      <c r="Z119" s="493"/>
      <c r="AA119" s="493"/>
      <c r="AB119" s="493"/>
      <c r="AC119" s="493"/>
      <c r="AD119" s="493"/>
      <c r="AE119" s="270"/>
      <c r="AF119" s="380"/>
      <c r="AG119" s="380"/>
      <c r="AH119" s="380"/>
      <c r="AI119" s="381"/>
      <c r="AJ119" s="381"/>
      <c r="AK119" s="381"/>
      <c r="AL119" s="381"/>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row>
    <row r="120" spans="1:74" s="84" customFormat="1" ht="12.9" customHeight="1" x14ac:dyDescent="0.2">
      <c r="A120" s="534" t="s">
        <v>487</v>
      </c>
      <c r="B120" s="534"/>
      <c r="P120" s="270"/>
      <c r="R120" s="381"/>
      <c r="S120" s="381"/>
      <c r="T120" s="381"/>
      <c r="U120" s="381"/>
      <c r="V120" s="381"/>
      <c r="W120" s="381"/>
      <c r="X120" s="381"/>
      <c r="Y120" s="381"/>
      <c r="Z120" s="381"/>
      <c r="AA120" s="270"/>
      <c r="AB120" s="270"/>
      <c r="AC120" s="270"/>
      <c r="AD120" s="270"/>
      <c r="AE120" s="270"/>
      <c r="AF120" s="270"/>
      <c r="AG120" s="380"/>
      <c r="AH120" s="380"/>
      <c r="AI120" s="380"/>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row>
    <row r="121" spans="1:74" s="381" customFormat="1" ht="12.9" customHeight="1" x14ac:dyDescent="0.2">
      <c r="N121" s="673"/>
      <c r="P121" s="538" t="s">
        <v>483</v>
      </c>
      <c r="Q121" s="539"/>
      <c r="R121" s="539"/>
      <c r="S121" s="539"/>
      <c r="T121" s="539"/>
      <c r="U121" s="539"/>
      <c r="V121" s="539"/>
      <c r="AA121" s="270"/>
      <c r="AB121" s="270"/>
      <c r="AC121" s="270"/>
      <c r="AD121" s="270"/>
      <c r="AE121" s="270"/>
      <c r="AF121" s="270"/>
      <c r="AG121" s="380"/>
      <c r="AH121" s="380"/>
      <c r="AI121" s="380"/>
    </row>
    <row r="122" spans="1:74" s="381" customFormat="1" ht="12.9" customHeight="1" x14ac:dyDescent="0.2">
      <c r="N122" s="673"/>
      <c r="AA122" s="270"/>
      <c r="AB122" s="270"/>
      <c r="AC122" s="270"/>
      <c r="AD122" s="270"/>
      <c r="AE122" s="270"/>
      <c r="AF122" s="270"/>
      <c r="AG122" s="380"/>
      <c r="AH122" s="380"/>
      <c r="AI122" s="380"/>
    </row>
    <row r="123" spans="1:74" s="381" customFormat="1" ht="10.9" x14ac:dyDescent="0.2">
      <c r="N123" s="673"/>
      <c r="P123" s="789" t="s">
        <v>522</v>
      </c>
      <c r="Q123" s="790"/>
      <c r="R123" s="790"/>
      <c r="S123" s="790"/>
      <c r="AA123" s="270"/>
      <c r="AB123" s="270"/>
      <c r="AC123" s="270"/>
      <c r="AD123" s="270"/>
      <c r="AE123" s="270"/>
      <c r="AF123" s="270"/>
      <c r="AG123" s="380"/>
      <c r="AH123" s="380"/>
      <c r="AI123" s="380"/>
    </row>
    <row r="124" spans="1:74" s="381" customFormat="1" ht="10.9" x14ac:dyDescent="0.2">
      <c r="P124" s="536" t="s">
        <v>523</v>
      </c>
      <c r="T124" s="2633">
        <f>MAX(T126-T140,0)</f>
        <v>0</v>
      </c>
      <c r="U124" s="2633"/>
      <c r="V124" s="670">
        <f>IF(T126=0,0,T124/T126)</f>
        <v>0</v>
      </c>
      <c r="AA124" s="270"/>
      <c r="AB124" s="270"/>
      <c r="AC124" s="270"/>
      <c r="AD124" s="270"/>
      <c r="AE124" s="270"/>
      <c r="AF124" s="270"/>
      <c r="AG124" s="380"/>
      <c r="AH124" s="380"/>
      <c r="AI124" s="380"/>
    </row>
    <row r="125" spans="1:74" s="381" customFormat="1" ht="10.9" x14ac:dyDescent="0.2">
      <c r="P125" s="536" t="s">
        <v>524</v>
      </c>
      <c r="T125" s="2640">
        <f>MAX(T126-T124,0)</f>
        <v>0</v>
      </c>
      <c r="U125" s="2640"/>
      <c r="V125" s="793">
        <f>IF(T126=0,0,T125/T126)</f>
        <v>0</v>
      </c>
      <c r="AA125" s="270"/>
      <c r="AB125" s="270"/>
      <c r="AC125" s="270"/>
      <c r="AD125" s="270"/>
      <c r="AE125" s="270"/>
      <c r="AF125" s="270"/>
      <c r="AG125" s="380"/>
      <c r="AH125" s="380"/>
      <c r="AI125" s="380"/>
    </row>
    <row r="126" spans="1:74" s="381" customFormat="1" ht="10.9" x14ac:dyDescent="0.2">
      <c r="P126" s="791" t="s">
        <v>532</v>
      </c>
      <c r="Q126" s="792"/>
      <c r="R126" s="792"/>
      <c r="S126" s="792"/>
      <c r="T126" s="2634">
        <f>EV_Var3!$E$67</f>
        <v>0</v>
      </c>
      <c r="U126" s="2634"/>
      <c r="V126" s="794">
        <f>IF(T126=0,0,T126/T126)</f>
        <v>0</v>
      </c>
      <c r="AA126" s="270"/>
      <c r="AB126" s="270"/>
      <c r="AC126" s="270"/>
      <c r="AD126" s="270"/>
      <c r="AE126" s="270"/>
      <c r="AF126" s="270"/>
      <c r="AG126" s="380"/>
      <c r="AH126" s="380"/>
      <c r="AI126" s="380"/>
    </row>
    <row r="127" spans="1:74" s="381" customFormat="1" ht="10.9" x14ac:dyDescent="0.2">
      <c r="AA127" s="270"/>
      <c r="AB127" s="270"/>
      <c r="AC127" s="270"/>
      <c r="AD127" s="270"/>
      <c r="AE127" s="270"/>
      <c r="AF127" s="270"/>
      <c r="AG127" s="380"/>
      <c r="AH127" s="380"/>
      <c r="AI127" s="380"/>
    </row>
    <row r="128" spans="1:74" s="381" customFormat="1" ht="10.9" x14ac:dyDescent="0.2">
      <c r="P128" s="789" t="s">
        <v>525</v>
      </c>
      <c r="Q128" s="790"/>
      <c r="R128" s="790"/>
      <c r="S128" s="790"/>
      <c r="AA128" s="270"/>
      <c r="AB128" s="270"/>
      <c r="AC128" s="270"/>
      <c r="AD128" s="270"/>
      <c r="AE128" s="270"/>
      <c r="AF128" s="270"/>
      <c r="AG128" s="380"/>
      <c r="AH128" s="380"/>
      <c r="AI128" s="380"/>
    </row>
    <row r="129" spans="1:69" s="381" customFormat="1" ht="10.9" x14ac:dyDescent="0.2">
      <c r="P129" s="669" t="s">
        <v>534</v>
      </c>
      <c r="Q129" s="796"/>
      <c r="R129" s="796"/>
      <c r="S129" s="796"/>
      <c r="T129" s="2633">
        <f>IF(T124&gt;0,T132-T131,(T132-T131)-(T140-T125))</f>
        <v>0</v>
      </c>
      <c r="U129" s="2633"/>
      <c r="V129" s="672">
        <f>IF($T$132=0,0,T129/$T$132)</f>
        <v>0</v>
      </c>
      <c r="Z129" s="1009"/>
      <c r="AA129" s="1009"/>
      <c r="AB129" s="270"/>
      <c r="AC129" s="270"/>
      <c r="AD129" s="270"/>
      <c r="AE129" s="270"/>
      <c r="AF129" s="270"/>
      <c r="AG129" s="380"/>
      <c r="AH129" s="380"/>
      <c r="AI129" s="380"/>
    </row>
    <row r="130" spans="1:69" s="381" customFormat="1" x14ac:dyDescent="0.2">
      <c r="A130" s="268"/>
      <c r="B130" s="1381"/>
      <c r="C130" s="268"/>
      <c r="D130" s="268"/>
      <c r="E130" s="268"/>
      <c r="F130" s="268"/>
      <c r="G130" s="268"/>
      <c r="H130" s="268"/>
      <c r="P130" s="536" t="s">
        <v>524</v>
      </c>
      <c r="Q130" s="535"/>
      <c r="R130" s="535"/>
      <c r="S130" s="535"/>
      <c r="T130" s="2675">
        <f>T131-T129</f>
        <v>0</v>
      </c>
      <c r="U130" s="2675"/>
      <c r="V130" s="1060">
        <f>IF($T$132=0,0,T130/$T$132)</f>
        <v>0</v>
      </c>
      <c r="Z130" s="1009"/>
      <c r="AA130" s="1009"/>
      <c r="AB130" s="270"/>
      <c r="AC130" s="270"/>
      <c r="AD130" s="270"/>
      <c r="AE130" s="270"/>
      <c r="AF130" s="270"/>
      <c r="AG130" s="380"/>
      <c r="AH130" s="380"/>
      <c r="AI130" s="380"/>
    </row>
    <row r="131" spans="1:69" s="381" customFormat="1" x14ac:dyDescent="0.2">
      <c r="A131" s="268"/>
      <c r="B131" s="1381"/>
      <c r="C131" s="268"/>
      <c r="D131" s="268"/>
      <c r="E131" s="268"/>
      <c r="F131" s="268"/>
      <c r="G131" s="268"/>
      <c r="H131" s="268"/>
      <c r="P131" s="560" t="s">
        <v>526</v>
      </c>
      <c r="Q131" s="790"/>
      <c r="R131" s="790"/>
      <c r="S131" s="790"/>
      <c r="T131" s="2674">
        <f>EV_Var3!$M$73</f>
        <v>0</v>
      </c>
      <c r="U131" s="2674"/>
      <c r="V131" s="671">
        <f>IF($T$132=0,0,T131/$T$132)</f>
        <v>0</v>
      </c>
      <c r="Z131" s="1009"/>
      <c r="AA131" s="1009"/>
      <c r="AB131" s="270"/>
      <c r="AC131" s="270"/>
      <c r="AD131" s="270"/>
      <c r="AE131" s="270"/>
      <c r="AF131" s="270"/>
      <c r="AG131" s="380"/>
      <c r="AH131" s="380"/>
      <c r="AI131" s="380"/>
    </row>
    <row r="132" spans="1:69" s="381" customFormat="1" x14ac:dyDescent="0.2">
      <c r="A132" s="268"/>
      <c r="B132" s="1381"/>
      <c r="C132" s="268"/>
      <c r="D132" s="268"/>
      <c r="E132" s="268"/>
      <c r="F132" s="268"/>
      <c r="G132" s="268"/>
      <c r="H132" s="268"/>
      <c r="P132" s="791" t="s">
        <v>529</v>
      </c>
      <c r="Q132" s="792"/>
      <c r="R132" s="792"/>
      <c r="S132" s="792"/>
      <c r="T132" s="2632">
        <f>EV_Var3!$M$70+EV_Var3!$M$60</f>
        <v>0</v>
      </c>
      <c r="U132" s="2632"/>
      <c r="V132" s="794">
        <f>IF($T$132=0,0,T132/$T$132)</f>
        <v>0</v>
      </c>
      <c r="Z132" s="1009"/>
      <c r="AA132" s="1009"/>
      <c r="AB132" s="270"/>
      <c r="AC132" s="270"/>
      <c r="AD132" s="270"/>
      <c r="AE132" s="270"/>
      <c r="AF132" s="270"/>
      <c r="AG132" s="380"/>
      <c r="AH132" s="380"/>
      <c r="AI132" s="380"/>
    </row>
    <row r="133" spans="1:69" s="381" customFormat="1" x14ac:dyDescent="0.2">
      <c r="A133" s="268"/>
      <c r="B133" s="1381"/>
      <c r="C133" s="268"/>
      <c r="D133" s="268"/>
      <c r="E133" s="268"/>
      <c r="F133" s="268"/>
      <c r="G133" s="268"/>
      <c r="H133" s="268"/>
      <c r="P133" s="536"/>
      <c r="Q133" s="535"/>
      <c r="R133" s="535"/>
      <c r="S133" s="535"/>
      <c r="T133" s="1061"/>
      <c r="U133" s="1061"/>
      <c r="V133" s="797"/>
      <c r="Z133" s="1009"/>
      <c r="AA133" s="1009"/>
      <c r="AB133" s="270"/>
      <c r="AC133" s="270"/>
      <c r="AD133" s="270"/>
      <c r="AE133" s="270"/>
      <c r="AF133" s="270"/>
      <c r="AG133" s="380"/>
      <c r="AH133" s="380"/>
      <c r="AI133" s="380"/>
    </row>
    <row r="134" spans="1:69" s="381" customFormat="1" x14ac:dyDescent="0.2">
      <c r="A134" s="268"/>
      <c r="B134" s="1381"/>
      <c r="C134" s="268"/>
      <c r="D134" s="268"/>
      <c r="E134" s="268"/>
      <c r="F134" s="268"/>
      <c r="G134" s="268"/>
      <c r="H134" s="268"/>
      <c r="P134" s="560" t="s">
        <v>530</v>
      </c>
      <c r="Q134" s="790"/>
      <c r="R134" s="790"/>
      <c r="S134" s="790"/>
      <c r="T134" s="2635">
        <f>T132-T131</f>
        <v>0</v>
      </c>
      <c r="U134" s="2635">
        <f>T132-T131</f>
        <v>0</v>
      </c>
      <c r="V134" s="671"/>
      <c r="AA134" s="270"/>
      <c r="AB134" s="270"/>
      <c r="AC134" s="270"/>
      <c r="AD134" s="270"/>
      <c r="AE134" s="270"/>
      <c r="AF134" s="270"/>
      <c r="AG134" s="380"/>
      <c r="AH134" s="380"/>
      <c r="AI134" s="380"/>
    </row>
    <row r="135" spans="1:69" s="381" customFormat="1" x14ac:dyDescent="0.2">
      <c r="A135" s="268"/>
      <c r="B135" s="1381"/>
      <c r="C135" s="268"/>
      <c r="D135" s="268"/>
      <c r="E135" s="268"/>
      <c r="F135" s="268"/>
      <c r="G135" s="268"/>
      <c r="H135" s="268"/>
      <c r="P135" s="791" t="s">
        <v>531</v>
      </c>
      <c r="Q135" s="792"/>
      <c r="R135" s="792"/>
      <c r="S135" s="792"/>
      <c r="T135" s="2632">
        <f>T132+T126</f>
        <v>0</v>
      </c>
      <c r="U135" s="2632"/>
      <c r="V135" s="794"/>
      <c r="Z135" s="1009"/>
      <c r="AA135" s="1009"/>
      <c r="AB135" s="270"/>
      <c r="AC135" s="270"/>
      <c r="AD135" s="270"/>
      <c r="AE135" s="270"/>
      <c r="AF135" s="270"/>
      <c r="AG135" s="380"/>
      <c r="AH135" s="380"/>
      <c r="AI135" s="380"/>
    </row>
    <row r="136" spans="1:69" s="381" customFormat="1" x14ac:dyDescent="0.2">
      <c r="A136" s="268"/>
      <c r="B136" s="1381"/>
      <c r="C136" s="268"/>
      <c r="D136" s="268"/>
      <c r="E136" s="268"/>
      <c r="F136" s="268"/>
      <c r="G136" s="268"/>
      <c r="H136" s="268"/>
      <c r="P136" s="791" t="s">
        <v>533</v>
      </c>
      <c r="Q136" s="792"/>
      <c r="R136" s="792"/>
      <c r="S136" s="792"/>
      <c r="T136" s="2632">
        <f>T135-T131</f>
        <v>0</v>
      </c>
      <c r="U136" s="2632"/>
      <c r="V136" s="794"/>
      <c r="Z136" s="1009"/>
      <c r="AA136" s="1009"/>
      <c r="AB136" s="270"/>
      <c r="AC136" s="270"/>
      <c r="AD136" s="270"/>
      <c r="AE136" s="270"/>
      <c r="AF136" s="270"/>
      <c r="AG136" s="380"/>
      <c r="AH136" s="380"/>
      <c r="AI136" s="380"/>
    </row>
    <row r="137" spans="1:69" s="381" customFormat="1" x14ac:dyDescent="0.2">
      <c r="A137" s="268"/>
      <c r="B137" s="1381"/>
      <c r="C137" s="268"/>
      <c r="D137" s="268"/>
      <c r="E137" s="268"/>
      <c r="F137" s="268"/>
      <c r="G137" s="268"/>
      <c r="H137" s="268"/>
      <c r="Z137" s="1009"/>
      <c r="AA137" s="1009"/>
      <c r="AB137" s="270"/>
      <c r="AC137" s="270"/>
      <c r="AD137" s="270"/>
      <c r="AE137" s="270"/>
      <c r="AF137" s="270"/>
      <c r="AG137" s="380"/>
      <c r="AH137" s="380"/>
      <c r="AI137" s="380"/>
    </row>
    <row r="138" spans="1:69" s="381" customFormat="1" ht="10.9" x14ac:dyDescent="0.2">
      <c r="P138" s="789" t="s">
        <v>31</v>
      </c>
      <c r="Q138" s="790"/>
      <c r="R138" s="790"/>
      <c r="S138" s="790"/>
      <c r="T138" s="790"/>
      <c r="U138" s="790"/>
      <c r="V138" s="790"/>
      <c r="Z138" s="1009"/>
      <c r="AA138" s="1009"/>
      <c r="AB138" s="270"/>
      <c r="AC138" s="270"/>
      <c r="AD138" s="270"/>
      <c r="AE138" s="270"/>
      <c r="AF138" s="270"/>
      <c r="AG138" s="380"/>
      <c r="AH138" s="380"/>
      <c r="AI138" s="380"/>
    </row>
    <row r="139" spans="1:69" s="381" customFormat="1" ht="10.9" x14ac:dyDescent="0.2">
      <c r="P139" s="536" t="s">
        <v>527</v>
      </c>
      <c r="T139" s="2640">
        <f>EV_Var3!$S$72</f>
        <v>0</v>
      </c>
      <c r="U139" s="2640"/>
      <c r="V139" s="537" t="e">
        <f>T139/$T$141</f>
        <v>#DIV/0!</v>
      </c>
      <c r="Z139" s="1009"/>
      <c r="AA139" s="1009"/>
      <c r="AB139" s="270"/>
      <c r="AC139" s="270"/>
      <c r="AD139" s="270"/>
      <c r="AE139" s="270"/>
      <c r="AF139" s="270"/>
      <c r="AG139" s="380"/>
      <c r="AH139" s="380"/>
      <c r="AI139" s="380"/>
    </row>
    <row r="140" spans="1:69" s="381" customFormat="1" ht="10.9" x14ac:dyDescent="0.2">
      <c r="A140" s="535"/>
      <c r="B140" s="535"/>
      <c r="M140" s="535"/>
      <c r="N140" s="535"/>
      <c r="O140" s="535"/>
      <c r="P140" s="536" t="s">
        <v>528</v>
      </c>
      <c r="T140" s="2640">
        <f>SUM(EV_Var3!$M$62,EV_Var3!$M$65)</f>
        <v>0</v>
      </c>
      <c r="U140" s="2640"/>
      <c r="V140" s="537" t="e">
        <f>T140/$T$141</f>
        <v>#DIV/0!</v>
      </c>
      <c r="Z140" s="1009"/>
      <c r="AA140" s="1009"/>
      <c r="AB140" s="270"/>
      <c r="AC140" s="270"/>
      <c r="AD140" s="270"/>
      <c r="AE140" s="270"/>
      <c r="AF140" s="270"/>
      <c r="AG140" s="380"/>
      <c r="AH140" s="380"/>
      <c r="AI140" s="380"/>
    </row>
    <row r="141" spans="1:69" s="381" customFormat="1" ht="10.9" x14ac:dyDescent="0.2">
      <c r="A141" s="535"/>
      <c r="B141" s="535"/>
      <c r="M141" s="535"/>
      <c r="N141" s="535"/>
      <c r="O141" s="535"/>
      <c r="P141" s="791" t="s">
        <v>482</v>
      </c>
      <c r="Q141" s="795"/>
      <c r="R141" s="795"/>
      <c r="S141" s="795"/>
      <c r="T141" s="2632">
        <f>SUM(T139:U140)</f>
        <v>0</v>
      </c>
      <c r="U141" s="2632"/>
      <c r="V141" s="794" t="e">
        <f>T141/$T$141</f>
        <v>#DIV/0!</v>
      </c>
      <c r="Z141" s="1009"/>
      <c r="AA141" s="1009"/>
      <c r="AB141" s="270"/>
      <c r="AC141" s="270"/>
      <c r="AD141" s="270"/>
      <c r="AE141" s="270"/>
      <c r="AF141" s="270"/>
      <c r="AG141" s="380"/>
      <c r="AH141" s="380"/>
      <c r="AI141" s="380"/>
    </row>
    <row r="142" spans="1:69" x14ac:dyDescent="0.2">
      <c r="G142" s="83"/>
      <c r="J142" s="86"/>
      <c r="T142" s="270"/>
      <c r="U142" s="278"/>
      <c r="W142" s="83"/>
      <c r="X142" s="83"/>
      <c r="Y142" s="83"/>
      <c r="Z142" s="268"/>
      <c r="AA142" s="268"/>
      <c r="AG142" s="380"/>
      <c r="AJ142" s="381"/>
      <c r="BQ142" s="83"/>
    </row>
    <row r="143" spans="1:69" x14ac:dyDescent="0.2">
      <c r="G143" s="83"/>
      <c r="J143" s="86"/>
      <c r="T143" s="270"/>
      <c r="U143" s="278"/>
      <c r="W143" s="83"/>
      <c r="X143" s="83"/>
      <c r="Y143" s="83"/>
      <c r="Z143" s="268"/>
      <c r="AA143" s="268"/>
      <c r="AG143" s="380"/>
      <c r="AJ143" s="381"/>
      <c r="BQ143" s="83"/>
    </row>
    <row r="144" spans="1:69" x14ac:dyDescent="0.2">
      <c r="G144" s="83"/>
      <c r="J144" s="86"/>
      <c r="P144" s="268"/>
      <c r="Q144" s="268"/>
      <c r="R144" s="268"/>
      <c r="S144" s="268"/>
      <c r="T144" s="268"/>
      <c r="U144" s="268"/>
      <c r="V144" s="268"/>
      <c r="W144" s="268"/>
      <c r="X144" s="83"/>
      <c r="Y144" s="83"/>
      <c r="Z144" s="268"/>
      <c r="AA144" s="268"/>
      <c r="AG144" s="380"/>
      <c r="AJ144" s="381"/>
      <c r="BQ144" s="83"/>
    </row>
    <row r="145" spans="1:69" x14ac:dyDescent="0.2">
      <c r="G145" s="83"/>
      <c r="J145" s="86"/>
      <c r="P145" s="268"/>
      <c r="Q145" s="268"/>
      <c r="R145" s="268"/>
      <c r="S145" s="268"/>
      <c r="T145" s="268"/>
      <c r="U145" s="268"/>
      <c r="V145" s="268"/>
      <c r="W145" s="268"/>
      <c r="X145" s="83"/>
      <c r="Y145" s="83"/>
      <c r="Z145" s="268"/>
      <c r="AA145" s="268"/>
      <c r="AG145" s="380"/>
      <c r="AJ145" s="381"/>
      <c r="BQ145" s="83"/>
    </row>
    <row r="146" spans="1:69" x14ac:dyDescent="0.2">
      <c r="G146" s="83"/>
      <c r="J146" s="86"/>
      <c r="P146" s="268"/>
      <c r="Q146" s="268"/>
      <c r="R146" s="268"/>
      <c r="S146" s="268"/>
      <c r="T146" s="268"/>
      <c r="U146" s="268"/>
      <c r="V146" s="268"/>
      <c r="W146" s="268"/>
      <c r="X146" s="83"/>
      <c r="Y146" s="83"/>
      <c r="Z146" s="268"/>
      <c r="AA146" s="268"/>
      <c r="AG146" s="380"/>
      <c r="AJ146" s="381"/>
      <c r="BQ146" s="83"/>
    </row>
    <row r="147" spans="1:69" x14ac:dyDescent="0.2">
      <c r="G147" s="83"/>
      <c r="J147" s="86"/>
      <c r="P147" s="268"/>
      <c r="Q147" s="268"/>
      <c r="R147" s="268"/>
      <c r="S147" s="268"/>
      <c r="T147" s="268"/>
      <c r="U147" s="268"/>
      <c r="V147" s="268"/>
      <c r="W147" s="268"/>
      <c r="X147" s="83"/>
      <c r="Y147" s="83"/>
      <c r="Z147" s="268"/>
      <c r="AA147" s="268"/>
      <c r="AG147" s="380"/>
      <c r="AJ147" s="381"/>
      <c r="BQ147" s="83"/>
    </row>
    <row r="148" spans="1:69" x14ac:dyDescent="0.2">
      <c r="G148" s="83"/>
      <c r="J148" s="86"/>
      <c r="P148" s="268"/>
      <c r="Q148" s="268"/>
      <c r="R148" s="268"/>
      <c r="S148" s="268"/>
      <c r="T148" s="268"/>
      <c r="U148" s="268"/>
      <c r="V148" s="268"/>
      <c r="W148" s="268"/>
      <c r="X148" s="83"/>
      <c r="Y148" s="83"/>
      <c r="Z148" s="268"/>
      <c r="AA148" s="268"/>
      <c r="AG148" s="380"/>
      <c r="AJ148" s="381"/>
      <c r="BQ148" s="83"/>
    </row>
    <row r="149" spans="1:69" x14ac:dyDescent="0.2">
      <c r="P149" s="268"/>
      <c r="Q149" s="268"/>
      <c r="R149" s="268"/>
      <c r="S149" s="268"/>
      <c r="T149" s="268"/>
      <c r="U149" s="268"/>
      <c r="V149" s="268"/>
      <c r="W149" s="268"/>
      <c r="X149" s="83"/>
      <c r="Y149" s="83"/>
      <c r="Z149" s="268"/>
      <c r="AA149" s="268"/>
      <c r="AB149" s="268"/>
    </row>
    <row r="150" spans="1:69" x14ac:dyDescent="0.2">
      <c r="P150" s="268"/>
      <c r="Q150" s="268"/>
      <c r="R150" s="268"/>
      <c r="S150" s="268"/>
      <c r="T150" s="268"/>
      <c r="U150" s="268"/>
      <c r="V150" s="268"/>
      <c r="W150" s="268"/>
      <c r="X150" s="83"/>
      <c r="Y150" s="83"/>
      <c r="Z150" s="268"/>
      <c r="AA150" s="268"/>
      <c r="AB150" s="268"/>
    </row>
    <row r="151" spans="1:69" x14ac:dyDescent="0.2">
      <c r="P151" s="268"/>
      <c r="Q151" s="268"/>
      <c r="R151" s="268"/>
      <c r="S151" s="268"/>
      <c r="T151" s="268"/>
      <c r="U151" s="268"/>
      <c r="V151" s="268"/>
      <c r="W151" s="268"/>
      <c r="X151" s="83"/>
      <c r="Y151" s="83"/>
      <c r="Z151" s="268"/>
      <c r="AA151" s="268"/>
      <c r="AB151" s="268"/>
    </row>
    <row r="152" spans="1:69" x14ac:dyDescent="0.2">
      <c r="P152" s="268"/>
      <c r="Q152" s="268"/>
      <c r="R152" s="268"/>
      <c r="S152" s="268"/>
      <c r="T152" s="268"/>
      <c r="U152" s="268"/>
      <c r="V152" s="268"/>
      <c r="W152" s="268"/>
      <c r="X152" s="83"/>
      <c r="Y152" s="83"/>
      <c r="Z152" s="268"/>
      <c r="AA152" s="268"/>
      <c r="AB152" s="268"/>
    </row>
    <row r="153" spans="1:69" x14ac:dyDescent="0.2">
      <c r="P153" s="268"/>
      <c r="Q153" s="268"/>
      <c r="R153" s="268"/>
      <c r="S153" s="268"/>
      <c r="T153" s="268"/>
      <c r="U153" s="268"/>
      <c r="V153" s="268"/>
      <c r="W153" s="268"/>
      <c r="X153" s="83"/>
      <c r="Y153" s="83"/>
      <c r="Z153" s="268"/>
      <c r="AA153" s="268"/>
      <c r="AB153" s="268"/>
    </row>
    <row r="154" spans="1:69" x14ac:dyDescent="0.2">
      <c r="P154" s="268"/>
      <c r="Q154" s="268"/>
      <c r="R154" s="268"/>
      <c r="S154" s="268"/>
      <c r="T154" s="268"/>
      <c r="U154" s="268"/>
      <c r="V154" s="268"/>
      <c r="W154" s="268"/>
      <c r="X154" s="83"/>
      <c r="Y154" s="83"/>
      <c r="Z154" s="268"/>
      <c r="AA154" s="268"/>
      <c r="AB154" s="268"/>
    </row>
    <row r="155" spans="1:69" x14ac:dyDescent="0.2">
      <c r="P155" s="268"/>
      <c r="Q155" s="268"/>
      <c r="R155" s="268"/>
      <c r="S155" s="268"/>
      <c r="T155" s="268"/>
      <c r="U155" s="268"/>
      <c r="V155" s="268"/>
      <c r="W155" s="268"/>
      <c r="X155" s="83"/>
      <c r="Y155" s="83"/>
      <c r="Z155" s="268"/>
      <c r="AA155" s="268"/>
      <c r="AB155" s="268"/>
    </row>
    <row r="156" spans="1:69" x14ac:dyDescent="0.2">
      <c r="P156" s="268"/>
      <c r="Q156" s="268"/>
      <c r="R156" s="268"/>
      <c r="S156" s="268"/>
      <c r="T156" s="268"/>
      <c r="U156" s="268"/>
      <c r="V156" s="268"/>
      <c r="W156" s="268"/>
      <c r="X156" s="268"/>
      <c r="Y156" s="268"/>
      <c r="Z156" s="268"/>
      <c r="AA156" s="268"/>
      <c r="AB156" s="268"/>
    </row>
    <row r="157" spans="1:69" x14ac:dyDescent="0.2">
      <c r="P157" s="268"/>
      <c r="Q157" s="268"/>
      <c r="R157" s="268"/>
      <c r="S157" s="268"/>
      <c r="T157" s="268"/>
      <c r="U157" s="268"/>
      <c r="V157" s="268"/>
      <c r="W157" s="268"/>
      <c r="X157" s="268"/>
      <c r="Y157" s="268"/>
      <c r="Z157" s="268"/>
      <c r="AA157" s="268"/>
      <c r="AB157" s="268"/>
    </row>
    <row r="158" spans="1:69" s="270" customFormat="1" x14ac:dyDescent="0.2">
      <c r="A158" s="86"/>
      <c r="B158" s="86"/>
      <c r="C158" s="84"/>
      <c r="D158" s="84"/>
      <c r="E158" s="84"/>
      <c r="F158" s="84"/>
      <c r="G158" s="84"/>
      <c r="H158" s="83"/>
      <c r="I158" s="83"/>
      <c r="J158" s="83"/>
      <c r="K158" s="86"/>
      <c r="L158" s="86"/>
      <c r="M158" s="86"/>
      <c r="N158" s="86"/>
      <c r="O158" s="86"/>
      <c r="P158" s="268"/>
      <c r="Q158" s="268"/>
      <c r="R158" s="268"/>
      <c r="S158" s="268"/>
      <c r="T158" s="268"/>
      <c r="U158" s="268"/>
      <c r="V158" s="268"/>
      <c r="W158" s="268"/>
      <c r="X158" s="268"/>
      <c r="Y158" s="268"/>
      <c r="Z158" s="268"/>
      <c r="AA158" s="268"/>
      <c r="AB158" s="268"/>
      <c r="AH158" s="380"/>
      <c r="AI158" s="380"/>
      <c r="AJ158" s="380"/>
      <c r="AK158" s="381"/>
      <c r="AL158" s="381"/>
      <c r="AM158" s="381"/>
      <c r="AN158" s="381"/>
      <c r="AO158" s="381"/>
      <c r="AP158" s="381"/>
      <c r="AQ158" s="381"/>
      <c r="AR158" s="381"/>
      <c r="AS158" s="381"/>
      <c r="AT158" s="381"/>
      <c r="AU158" s="381"/>
      <c r="AV158" s="381"/>
      <c r="AW158" s="381"/>
      <c r="AX158" s="381"/>
      <c r="AY158" s="381"/>
      <c r="AZ158" s="381"/>
      <c r="BA158" s="381"/>
      <c r="BB158" s="381"/>
      <c r="BC158" s="381"/>
      <c r="BD158" s="381"/>
      <c r="BE158" s="381"/>
      <c r="BF158" s="381"/>
      <c r="BG158" s="381"/>
      <c r="BH158" s="381"/>
      <c r="BI158" s="381"/>
      <c r="BJ158" s="381"/>
      <c r="BK158" s="381"/>
      <c r="BL158" s="381"/>
      <c r="BM158" s="381"/>
      <c r="BN158" s="381"/>
      <c r="BO158" s="381"/>
      <c r="BP158" s="381"/>
      <c r="BQ158" s="381"/>
    </row>
    <row r="159" spans="1:69" s="270" customFormat="1" x14ac:dyDescent="0.2">
      <c r="A159" s="86"/>
      <c r="B159" s="86"/>
      <c r="C159" s="84"/>
      <c r="D159" s="84"/>
      <c r="E159" s="84"/>
      <c r="F159" s="84"/>
      <c r="G159" s="84"/>
      <c r="H159" s="83"/>
      <c r="I159" s="83"/>
      <c r="J159" s="83"/>
      <c r="K159" s="86"/>
      <c r="L159" s="86"/>
      <c r="M159" s="86"/>
      <c r="N159" s="86"/>
      <c r="O159" s="86"/>
      <c r="P159" s="268"/>
      <c r="Q159" s="268"/>
      <c r="R159" s="268"/>
      <c r="S159" s="268"/>
      <c r="T159" s="268"/>
      <c r="U159" s="268"/>
      <c r="V159" s="268"/>
      <c r="W159" s="268"/>
      <c r="X159" s="268"/>
      <c r="Y159" s="268"/>
      <c r="Z159" s="268"/>
      <c r="AA159" s="268"/>
      <c r="AB159" s="268"/>
      <c r="AH159" s="380"/>
      <c r="AI159" s="380"/>
      <c r="AJ159" s="380"/>
      <c r="AK159" s="381"/>
      <c r="AL159" s="381"/>
      <c r="AM159" s="381"/>
      <c r="AN159" s="381"/>
      <c r="AO159" s="381"/>
      <c r="AP159" s="381"/>
      <c r="AQ159" s="381"/>
      <c r="AR159" s="381"/>
      <c r="AS159" s="381"/>
      <c r="AT159" s="381"/>
      <c r="AU159" s="381"/>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row>
    <row r="160" spans="1:69" s="270" customFormat="1" x14ac:dyDescent="0.2">
      <c r="A160" s="86"/>
      <c r="B160" s="86"/>
      <c r="C160" s="84"/>
      <c r="D160" s="84"/>
      <c r="E160" s="84"/>
      <c r="F160" s="84"/>
      <c r="G160" s="84"/>
      <c r="H160" s="83"/>
      <c r="I160" s="83"/>
      <c r="J160" s="83"/>
      <c r="K160" s="86"/>
      <c r="L160" s="86"/>
      <c r="M160" s="86"/>
      <c r="N160" s="86"/>
      <c r="O160" s="86"/>
      <c r="P160" s="268"/>
      <c r="Q160" s="268"/>
      <c r="R160" s="268"/>
      <c r="S160" s="268"/>
      <c r="T160" s="268"/>
      <c r="U160" s="268"/>
      <c r="V160" s="268"/>
      <c r="W160" s="268"/>
      <c r="X160" s="268"/>
      <c r="Y160" s="268"/>
      <c r="Z160" s="268"/>
      <c r="AA160" s="268"/>
      <c r="AB160" s="268"/>
      <c r="AH160" s="380"/>
      <c r="AI160" s="380"/>
      <c r="AJ160" s="380"/>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row>
    <row r="161" spans="1:69" s="270" customFormat="1" x14ac:dyDescent="0.2">
      <c r="A161" s="86"/>
      <c r="B161" s="86"/>
      <c r="C161" s="84"/>
      <c r="D161" s="84"/>
      <c r="E161" s="84"/>
      <c r="F161" s="84"/>
      <c r="G161" s="84"/>
      <c r="H161" s="83"/>
      <c r="I161" s="83"/>
      <c r="J161" s="83"/>
      <c r="K161" s="86"/>
      <c r="L161" s="86"/>
      <c r="M161" s="86"/>
      <c r="N161" s="86"/>
      <c r="O161" s="86"/>
      <c r="P161" s="268"/>
      <c r="Q161" s="268"/>
      <c r="R161" s="268"/>
      <c r="S161" s="268"/>
      <c r="T161" s="268"/>
      <c r="U161" s="268"/>
      <c r="V161" s="268"/>
      <c r="W161" s="268"/>
      <c r="X161" s="268"/>
      <c r="Y161" s="268"/>
      <c r="Z161" s="268"/>
      <c r="AA161" s="268"/>
      <c r="AB161" s="268"/>
      <c r="AH161" s="380"/>
      <c r="AI161" s="380"/>
      <c r="AJ161" s="380"/>
      <c r="AK161" s="381"/>
      <c r="AL161" s="381"/>
      <c r="AM161" s="381"/>
      <c r="AN161" s="381"/>
      <c r="AO161" s="381"/>
      <c r="AP161" s="381"/>
      <c r="AQ161" s="381"/>
      <c r="AR161" s="381"/>
      <c r="AS161" s="381"/>
      <c r="AT161" s="381"/>
      <c r="AU161" s="381"/>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row>
    <row r="162" spans="1:69" s="270" customFormat="1" x14ac:dyDescent="0.2">
      <c r="A162" s="86"/>
      <c r="B162" s="86"/>
      <c r="C162" s="84"/>
      <c r="D162" s="84"/>
      <c r="E162" s="84"/>
      <c r="F162" s="84"/>
      <c r="G162" s="84"/>
      <c r="H162" s="83"/>
      <c r="I162" s="83"/>
      <c r="J162" s="83"/>
      <c r="K162" s="86"/>
      <c r="L162" s="86"/>
      <c r="M162" s="86"/>
      <c r="N162" s="86"/>
      <c r="O162" s="86"/>
      <c r="P162" s="268"/>
      <c r="Q162" s="268"/>
      <c r="R162" s="268"/>
      <c r="S162" s="268"/>
      <c r="T162" s="268"/>
      <c r="U162" s="268"/>
      <c r="V162" s="268"/>
      <c r="W162" s="268"/>
      <c r="X162" s="268"/>
      <c r="Y162" s="268"/>
      <c r="Z162" s="268"/>
      <c r="AA162" s="268"/>
      <c r="AB162" s="268"/>
      <c r="AH162" s="380"/>
      <c r="AI162" s="380"/>
      <c r="AJ162" s="380"/>
      <c r="AK162" s="381"/>
      <c r="AL162" s="381"/>
      <c r="AM162" s="381"/>
      <c r="AN162" s="381"/>
      <c r="AO162" s="381"/>
      <c r="AP162" s="381"/>
      <c r="AQ162" s="381"/>
      <c r="AR162" s="381"/>
      <c r="AS162" s="381"/>
      <c r="AT162" s="381"/>
      <c r="AU162" s="381"/>
      <c r="AV162" s="381"/>
      <c r="AW162" s="381"/>
      <c r="AX162" s="381"/>
      <c r="AY162" s="381"/>
      <c r="AZ162" s="381"/>
      <c r="BA162" s="381"/>
      <c r="BB162" s="381"/>
      <c r="BC162" s="381"/>
      <c r="BD162" s="381"/>
      <c r="BE162" s="381"/>
      <c r="BF162" s="381"/>
      <c r="BG162" s="381"/>
      <c r="BH162" s="381"/>
      <c r="BI162" s="381"/>
      <c r="BJ162" s="381"/>
      <c r="BK162" s="381"/>
      <c r="BL162" s="381"/>
      <c r="BM162" s="381"/>
      <c r="BN162" s="381"/>
      <c r="BO162" s="381"/>
      <c r="BP162" s="381"/>
      <c r="BQ162" s="381"/>
    </row>
    <row r="163" spans="1:69" s="270" customFormat="1" x14ac:dyDescent="0.2">
      <c r="A163" s="86"/>
      <c r="B163" s="86"/>
      <c r="C163" s="84"/>
      <c r="D163" s="84"/>
      <c r="E163" s="84"/>
      <c r="F163" s="84"/>
      <c r="G163" s="84"/>
      <c r="H163" s="83"/>
      <c r="I163" s="83"/>
      <c r="J163" s="83"/>
      <c r="K163" s="86"/>
      <c r="L163" s="86"/>
      <c r="M163" s="86"/>
      <c r="N163" s="86"/>
      <c r="O163" s="86"/>
      <c r="P163" s="268"/>
      <c r="Q163" s="268"/>
      <c r="R163" s="268"/>
      <c r="S163" s="268"/>
      <c r="T163" s="268"/>
      <c r="U163" s="268"/>
      <c r="V163" s="268"/>
      <c r="W163" s="268"/>
      <c r="X163" s="268"/>
      <c r="Y163" s="268"/>
      <c r="Z163" s="268"/>
      <c r="AA163" s="268"/>
      <c r="AB163" s="268"/>
      <c r="AH163" s="380"/>
      <c r="AI163" s="380"/>
      <c r="AJ163" s="380"/>
      <c r="AK163" s="381"/>
      <c r="AL163" s="381"/>
      <c r="AM163" s="381"/>
      <c r="AN163" s="381"/>
      <c r="AO163" s="381"/>
      <c r="AP163" s="381"/>
      <c r="AQ163" s="381"/>
      <c r="AR163" s="381"/>
      <c r="AS163" s="381"/>
      <c r="AT163" s="381"/>
      <c r="AU163" s="381"/>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row>
    <row r="164" spans="1:69" s="270" customFormat="1" x14ac:dyDescent="0.2">
      <c r="A164" s="86"/>
      <c r="B164" s="86"/>
      <c r="C164" s="84"/>
      <c r="D164" s="84"/>
      <c r="E164" s="84"/>
      <c r="F164" s="84"/>
      <c r="G164" s="84"/>
      <c r="H164" s="83"/>
      <c r="I164" s="83"/>
      <c r="J164" s="83"/>
      <c r="K164" s="86"/>
      <c r="L164" s="86"/>
      <c r="M164" s="86"/>
      <c r="N164" s="86"/>
      <c r="O164" s="86"/>
      <c r="P164" s="268"/>
      <c r="Q164" s="268"/>
      <c r="R164" s="268"/>
      <c r="S164" s="268"/>
      <c r="T164" s="268"/>
      <c r="U164" s="268"/>
      <c r="V164" s="268"/>
      <c r="W164" s="268"/>
      <c r="AH164" s="380"/>
      <c r="AI164" s="380"/>
      <c r="AJ164" s="380"/>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row>
    <row r="165" spans="1:69" s="270" customFormat="1" x14ac:dyDescent="0.2">
      <c r="A165" s="86"/>
      <c r="B165" s="86"/>
      <c r="C165" s="84"/>
      <c r="D165" s="84"/>
      <c r="E165" s="84"/>
      <c r="F165" s="84"/>
      <c r="G165" s="84"/>
      <c r="H165" s="83"/>
      <c r="I165" s="83"/>
      <c r="J165" s="83"/>
      <c r="K165" s="86"/>
      <c r="L165" s="86"/>
      <c r="M165" s="86"/>
      <c r="N165" s="86"/>
      <c r="O165" s="86"/>
      <c r="P165" s="268"/>
      <c r="Q165" s="268"/>
      <c r="R165" s="268"/>
      <c r="S165" s="268"/>
      <c r="T165" s="268"/>
      <c r="U165" s="268"/>
      <c r="V165" s="268"/>
      <c r="W165" s="268"/>
      <c r="AH165" s="380"/>
      <c r="AI165" s="380"/>
      <c r="AJ165" s="380"/>
      <c r="AK165" s="381"/>
      <c r="AL165" s="381"/>
      <c r="AM165" s="381"/>
      <c r="AN165" s="381"/>
      <c r="AO165" s="381"/>
      <c r="AP165" s="381"/>
      <c r="AQ165" s="381"/>
      <c r="AR165" s="381"/>
      <c r="AS165" s="381"/>
      <c r="AT165" s="381"/>
      <c r="AU165" s="381"/>
      <c r="AV165" s="381"/>
      <c r="AW165" s="381"/>
      <c r="AX165" s="381"/>
      <c r="AY165" s="381"/>
      <c r="AZ165" s="381"/>
      <c r="BA165" s="381"/>
      <c r="BB165" s="381"/>
      <c r="BC165" s="381"/>
      <c r="BD165" s="381"/>
      <c r="BE165" s="381"/>
      <c r="BF165" s="381"/>
      <c r="BG165" s="381"/>
      <c r="BH165" s="381"/>
      <c r="BI165" s="381"/>
      <c r="BJ165" s="381"/>
      <c r="BK165" s="381"/>
      <c r="BL165" s="381"/>
      <c r="BM165" s="381"/>
      <c r="BN165" s="381"/>
      <c r="BO165" s="381"/>
      <c r="BP165" s="381"/>
      <c r="BQ165" s="381"/>
    </row>
    <row r="166" spans="1:69" s="270" customFormat="1" x14ac:dyDescent="0.2">
      <c r="A166" s="86"/>
      <c r="B166" s="86"/>
      <c r="C166" s="84"/>
      <c r="D166" s="84"/>
      <c r="E166" s="84"/>
      <c r="F166" s="84"/>
      <c r="G166" s="84"/>
      <c r="H166" s="83"/>
      <c r="I166" s="83"/>
      <c r="J166" s="83"/>
      <c r="K166" s="86"/>
      <c r="L166" s="86"/>
      <c r="M166" s="86"/>
      <c r="N166" s="86"/>
      <c r="O166" s="86"/>
      <c r="P166" s="268"/>
      <c r="Q166" s="268"/>
      <c r="R166" s="268"/>
      <c r="S166" s="268"/>
      <c r="T166" s="268"/>
      <c r="U166" s="268"/>
      <c r="V166" s="268"/>
      <c r="W166" s="268"/>
      <c r="AH166" s="380"/>
      <c r="AI166" s="380"/>
      <c r="AJ166" s="380"/>
      <c r="AK166" s="381"/>
      <c r="AL166" s="381"/>
      <c r="AM166" s="381"/>
      <c r="AN166" s="381"/>
      <c r="AO166" s="381"/>
      <c r="AP166" s="381"/>
      <c r="AQ166" s="381"/>
      <c r="AR166" s="381"/>
      <c r="AS166" s="381"/>
      <c r="AT166" s="381"/>
      <c r="AU166" s="381"/>
      <c r="AV166" s="381"/>
      <c r="AW166" s="381"/>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row>
    <row r="167" spans="1:69" s="270" customFormat="1" ht="12.9" customHeight="1" x14ac:dyDescent="0.2">
      <c r="A167" s="86"/>
      <c r="B167" s="86"/>
      <c r="C167" s="84"/>
      <c r="D167" s="84"/>
      <c r="E167" s="84"/>
      <c r="F167" s="84"/>
      <c r="G167" s="84"/>
      <c r="H167" s="83"/>
      <c r="I167" s="83"/>
      <c r="J167" s="83"/>
      <c r="K167" s="86"/>
      <c r="L167" s="86"/>
      <c r="M167" s="86"/>
      <c r="N167" s="86"/>
      <c r="O167" s="86"/>
      <c r="P167" s="268"/>
      <c r="Q167" s="268"/>
      <c r="R167" s="268"/>
      <c r="S167" s="268"/>
      <c r="T167" s="268"/>
      <c r="U167" s="268"/>
      <c r="V167" s="268"/>
      <c r="W167" s="268"/>
      <c r="AH167" s="380"/>
      <c r="AI167" s="380"/>
      <c r="AJ167" s="380"/>
      <c r="AK167" s="381"/>
      <c r="AL167" s="381"/>
      <c r="AM167" s="381"/>
      <c r="AN167" s="381"/>
      <c r="AO167" s="381"/>
      <c r="AP167" s="381"/>
      <c r="AQ167" s="381"/>
      <c r="AR167" s="381"/>
      <c r="AS167" s="381"/>
      <c r="AT167" s="381"/>
      <c r="AU167" s="381"/>
      <c r="AV167" s="381"/>
      <c r="AW167" s="381"/>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row>
  </sheetData>
  <sheetProtection algorithmName="SHA-512" hashValue="6BwEaOqtgLP1U9G/SfJHzKcu5wRC1ySlNenA4HlokjxaUQY6+aywd4Hhx8a2Gh5JdlyMX7wl28Uhvo9H02fJ+Q==" saltValue="/j0aKQZbMpwvoQQ0BM7xmA==" spinCount="100000" sheet="1" objects="1" scenarios="1" selectLockedCells="1"/>
  <mergeCells count="384">
    <mergeCell ref="P107:Q107"/>
    <mergeCell ref="L19:M19"/>
    <mergeCell ref="H20:I20"/>
    <mergeCell ref="L20:M20"/>
    <mergeCell ref="P14:S14"/>
    <mergeCell ref="C1:H1"/>
    <mergeCell ref="P9:S9"/>
    <mergeCell ref="Q11:S13"/>
    <mergeCell ref="E13:F13"/>
    <mergeCell ref="E14:F14"/>
    <mergeCell ref="B11:D11"/>
    <mergeCell ref="E11:F12"/>
    <mergeCell ref="J11:J12"/>
    <mergeCell ref="L13:M13"/>
    <mergeCell ref="G11:G12"/>
    <mergeCell ref="K11:N12"/>
    <mergeCell ref="E23:F23"/>
    <mergeCell ref="E30:F30"/>
    <mergeCell ref="E31:F31"/>
    <mergeCell ref="E27:F27"/>
    <mergeCell ref="E28:F28"/>
    <mergeCell ref="E29:F29"/>
    <mergeCell ref="E24:F24"/>
    <mergeCell ref="E25:F25"/>
    <mergeCell ref="E26:F26"/>
    <mergeCell ref="B45:D45"/>
    <mergeCell ref="E45:F45"/>
    <mergeCell ref="B46:D46"/>
    <mergeCell ref="E46:F46"/>
    <mergeCell ref="E47:F47"/>
    <mergeCell ref="E51:F52"/>
    <mergeCell ref="E37:F37"/>
    <mergeCell ref="E32:F32"/>
    <mergeCell ref="E33:F33"/>
    <mergeCell ref="E34:F34"/>
    <mergeCell ref="E39:F39"/>
    <mergeCell ref="B43:D43"/>
    <mergeCell ref="E43:F43"/>
    <mergeCell ref="B44:D44"/>
    <mergeCell ref="E44:F44"/>
    <mergeCell ref="E38:F38"/>
    <mergeCell ref="E35:F35"/>
    <mergeCell ref="E36:F36"/>
    <mergeCell ref="C61:D61"/>
    <mergeCell ref="E61:F61"/>
    <mergeCell ref="G61:I61"/>
    <mergeCell ref="J61:K61"/>
    <mergeCell ref="L61:N61"/>
    <mergeCell ref="E54:F54"/>
    <mergeCell ref="C55:E55"/>
    <mergeCell ref="F55:G55"/>
    <mergeCell ref="C56:D56"/>
    <mergeCell ref="E58:F59"/>
    <mergeCell ref="G58:I59"/>
    <mergeCell ref="E60:F60"/>
    <mergeCell ref="G60:I60"/>
    <mergeCell ref="J60:K60"/>
    <mergeCell ref="L60:N60"/>
    <mergeCell ref="C62:D62"/>
    <mergeCell ref="E62:F62"/>
    <mergeCell ref="G62:I62"/>
    <mergeCell ref="J62:K62"/>
    <mergeCell ref="L62:N62"/>
    <mergeCell ref="C63:D63"/>
    <mergeCell ref="E63:F63"/>
    <mergeCell ref="G63:I63"/>
    <mergeCell ref="J63:K63"/>
    <mergeCell ref="L63:N63"/>
    <mergeCell ref="C65:D65"/>
    <mergeCell ref="E65:F65"/>
    <mergeCell ref="G65:I65"/>
    <mergeCell ref="J65:K65"/>
    <mergeCell ref="L65:N65"/>
    <mergeCell ref="C64:D64"/>
    <mergeCell ref="E64:F64"/>
    <mergeCell ref="G64:I64"/>
    <mergeCell ref="J64:K64"/>
    <mergeCell ref="L64:N64"/>
    <mergeCell ref="C66:D66"/>
    <mergeCell ref="E66:F66"/>
    <mergeCell ref="G66:I66"/>
    <mergeCell ref="J66:K66"/>
    <mergeCell ref="L66:N66"/>
    <mergeCell ref="C67:D67"/>
    <mergeCell ref="E67:F67"/>
    <mergeCell ref="G67:I67"/>
    <mergeCell ref="J67:K67"/>
    <mergeCell ref="L67:N67"/>
    <mergeCell ref="C70:D70"/>
    <mergeCell ref="E70:F70"/>
    <mergeCell ref="G70:I70"/>
    <mergeCell ref="J70:K70"/>
    <mergeCell ref="L70:N70"/>
    <mergeCell ref="C71:D71"/>
    <mergeCell ref="E71:F71"/>
    <mergeCell ref="G71:I71"/>
    <mergeCell ref="J71:K71"/>
    <mergeCell ref="L71:N71"/>
    <mergeCell ref="C72:D72"/>
    <mergeCell ref="E72:F72"/>
    <mergeCell ref="G72:I72"/>
    <mergeCell ref="J72:K72"/>
    <mergeCell ref="L72:N72"/>
    <mergeCell ref="C73:D73"/>
    <mergeCell ref="E73:F73"/>
    <mergeCell ref="G73:I73"/>
    <mergeCell ref="J73:K73"/>
    <mergeCell ref="L73:N73"/>
    <mergeCell ref="C74:D74"/>
    <mergeCell ref="E74:F74"/>
    <mergeCell ref="G74:I74"/>
    <mergeCell ref="J74:K74"/>
    <mergeCell ref="L74:N74"/>
    <mergeCell ref="C75:D75"/>
    <mergeCell ref="E75:F75"/>
    <mergeCell ref="G75:I75"/>
    <mergeCell ref="J75:K75"/>
    <mergeCell ref="L75:N75"/>
    <mergeCell ref="C76:D76"/>
    <mergeCell ref="E76:F76"/>
    <mergeCell ref="G76:I76"/>
    <mergeCell ref="J76:K76"/>
    <mergeCell ref="L76:N76"/>
    <mergeCell ref="E85:F85"/>
    <mergeCell ref="G85:K85"/>
    <mergeCell ref="L85:N85"/>
    <mergeCell ref="C77:D77"/>
    <mergeCell ref="E77:F77"/>
    <mergeCell ref="G77:I77"/>
    <mergeCell ref="J77:K77"/>
    <mergeCell ref="L77:N77"/>
    <mergeCell ref="D79:F79"/>
    <mergeCell ref="H79:I79"/>
    <mergeCell ref="J79:K79"/>
    <mergeCell ref="L79:N79"/>
    <mergeCell ref="M81:N81"/>
    <mergeCell ref="E83:F83"/>
    <mergeCell ref="M83:N83"/>
    <mergeCell ref="C78:D78"/>
    <mergeCell ref="E78:F78"/>
    <mergeCell ref="G78:I78"/>
    <mergeCell ref="J78:K78"/>
    <mergeCell ref="E90:F90"/>
    <mergeCell ref="G90:I90"/>
    <mergeCell ref="J90:K90"/>
    <mergeCell ref="L90:N90"/>
    <mergeCell ref="P90:Q90"/>
    <mergeCell ref="L89:N89"/>
    <mergeCell ref="P89:Q89"/>
    <mergeCell ref="P88:Q88"/>
    <mergeCell ref="E88:F88"/>
    <mergeCell ref="G88:I88"/>
    <mergeCell ref="J88:K88"/>
    <mergeCell ref="L88:N88"/>
    <mergeCell ref="E89:F89"/>
    <mergeCell ref="G89:I89"/>
    <mergeCell ref="J89:K89"/>
    <mergeCell ref="E91:F91"/>
    <mergeCell ref="G91:I91"/>
    <mergeCell ref="J91:K91"/>
    <mergeCell ref="L91:N91"/>
    <mergeCell ref="P91:Q91"/>
    <mergeCell ref="E92:F92"/>
    <mergeCell ref="G92:I92"/>
    <mergeCell ref="J92:K92"/>
    <mergeCell ref="L92:N92"/>
    <mergeCell ref="P92:Q92"/>
    <mergeCell ref="E93:F93"/>
    <mergeCell ref="G93:I93"/>
    <mergeCell ref="J93:K93"/>
    <mergeCell ref="L93:N93"/>
    <mergeCell ref="P93:Q93"/>
    <mergeCell ref="E94:F94"/>
    <mergeCell ref="G94:I94"/>
    <mergeCell ref="J94:K94"/>
    <mergeCell ref="L94:N94"/>
    <mergeCell ref="P94:Q94"/>
    <mergeCell ref="E95:F95"/>
    <mergeCell ref="G95:I95"/>
    <mergeCell ref="J95:K95"/>
    <mergeCell ref="L95:N95"/>
    <mergeCell ref="P95:Q95"/>
    <mergeCell ref="E96:F96"/>
    <mergeCell ref="G96:I96"/>
    <mergeCell ref="J96:K96"/>
    <mergeCell ref="L96:N96"/>
    <mergeCell ref="P96:Q96"/>
    <mergeCell ref="E99:F99"/>
    <mergeCell ref="G99:I99"/>
    <mergeCell ref="J99:K99"/>
    <mergeCell ref="L99:N99"/>
    <mergeCell ref="P99:Q99"/>
    <mergeCell ref="E100:F100"/>
    <mergeCell ref="G100:I100"/>
    <mergeCell ref="J100:K100"/>
    <mergeCell ref="L100:N100"/>
    <mergeCell ref="P100:Q100"/>
    <mergeCell ref="G108:I108"/>
    <mergeCell ref="J108:K108"/>
    <mergeCell ref="L108:N108"/>
    <mergeCell ref="C109:D109"/>
    <mergeCell ref="J109:K109"/>
    <mergeCell ref="L109:N109"/>
    <mergeCell ref="E104:F104"/>
    <mergeCell ref="G104:I104"/>
    <mergeCell ref="J104:K104"/>
    <mergeCell ref="L104:N104"/>
    <mergeCell ref="E105:F105"/>
    <mergeCell ref="G105:I105"/>
    <mergeCell ref="J105:K105"/>
    <mergeCell ref="L105:N105"/>
    <mergeCell ref="E106:F106"/>
    <mergeCell ref="G106:I106"/>
    <mergeCell ref="J106:K106"/>
    <mergeCell ref="L106:N106"/>
    <mergeCell ref="E107:F107"/>
    <mergeCell ref="G107:I107"/>
    <mergeCell ref="J107:K107"/>
    <mergeCell ref="L107:N107"/>
    <mergeCell ref="C116:F116"/>
    <mergeCell ref="G116:I116"/>
    <mergeCell ref="J116:K116"/>
    <mergeCell ref="L116:N116"/>
    <mergeCell ref="C117:F117"/>
    <mergeCell ref="G117:I117"/>
    <mergeCell ref="J117:K117"/>
    <mergeCell ref="L117:N117"/>
    <mergeCell ref="G110:K110"/>
    <mergeCell ref="L110:N110"/>
    <mergeCell ref="G114:N114"/>
    <mergeCell ref="G115:I115"/>
    <mergeCell ref="J115:K115"/>
    <mergeCell ref="L115:N115"/>
    <mergeCell ref="C114:F114"/>
    <mergeCell ref="C115:F115"/>
    <mergeCell ref="C118:F118"/>
    <mergeCell ref="G118:I118"/>
    <mergeCell ref="J118:K118"/>
    <mergeCell ref="L118:N118"/>
    <mergeCell ref="X118:Z118"/>
    <mergeCell ref="C119:F119"/>
    <mergeCell ref="G119:I119"/>
    <mergeCell ref="J119:K119"/>
    <mergeCell ref="L119:N119"/>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E101:F101"/>
    <mergeCell ref="G101:I101"/>
    <mergeCell ref="J101:K101"/>
    <mergeCell ref="L101:N101"/>
    <mergeCell ref="P101:Q101"/>
    <mergeCell ref="P104:Q104"/>
    <mergeCell ref="P105:Q105"/>
    <mergeCell ref="E102:F102"/>
    <mergeCell ref="G102:I102"/>
    <mergeCell ref="J102:K102"/>
    <mergeCell ref="L102:N102"/>
    <mergeCell ref="P102:Q102"/>
    <mergeCell ref="E103:F103"/>
    <mergeCell ref="G103:I103"/>
    <mergeCell ref="J103:K103"/>
    <mergeCell ref="L103:N103"/>
    <mergeCell ref="P103:Q103"/>
    <mergeCell ref="H23:I23"/>
    <mergeCell ref="L23:M23"/>
    <mergeCell ref="H24:I24"/>
    <mergeCell ref="L24:M24"/>
    <mergeCell ref="Q64:Q65"/>
    <mergeCell ref="P64:P65"/>
    <mergeCell ref="P106:Q106"/>
    <mergeCell ref="P26:P27"/>
    <mergeCell ref="Q26:S27"/>
    <mergeCell ref="J58:K59"/>
    <mergeCell ref="L58:N59"/>
    <mergeCell ref="J51:J52"/>
    <mergeCell ref="H30:I30"/>
    <mergeCell ref="L30:M30"/>
    <mergeCell ref="H31:I31"/>
    <mergeCell ref="L31:M31"/>
    <mergeCell ref="H32:I32"/>
    <mergeCell ref="L32:M32"/>
    <mergeCell ref="H33:I33"/>
    <mergeCell ref="G86:I86"/>
    <mergeCell ref="J86:K86"/>
    <mergeCell ref="L86:N86"/>
    <mergeCell ref="P86:Q86"/>
    <mergeCell ref="H28:I28"/>
    <mergeCell ref="C68:D68"/>
    <mergeCell ref="E68:F68"/>
    <mergeCell ref="G68:I68"/>
    <mergeCell ref="J68:K68"/>
    <mergeCell ref="L68:N68"/>
    <mergeCell ref="C69:D69"/>
    <mergeCell ref="E69:F69"/>
    <mergeCell ref="G69:I69"/>
    <mergeCell ref="J69:K69"/>
    <mergeCell ref="L69:N69"/>
    <mergeCell ref="E97:F97"/>
    <mergeCell ref="G97:I97"/>
    <mergeCell ref="J97:K97"/>
    <mergeCell ref="L97:N97"/>
    <mergeCell ref="P97:Q97"/>
    <mergeCell ref="E98:F98"/>
    <mergeCell ref="G98:I98"/>
    <mergeCell ref="J98:K98"/>
    <mergeCell ref="L98:N98"/>
    <mergeCell ref="P98:Q98"/>
    <mergeCell ref="H21:I21"/>
    <mergeCell ref="L21:M21"/>
    <mergeCell ref="H22:I22"/>
    <mergeCell ref="L22:M22"/>
    <mergeCell ref="A14:D14"/>
    <mergeCell ref="H14:I14"/>
    <mergeCell ref="L14:M14"/>
    <mergeCell ref="H15:I15"/>
    <mergeCell ref="L15:M15"/>
    <mergeCell ref="H16:I16"/>
    <mergeCell ref="L16:M16"/>
    <mergeCell ref="H17:I17"/>
    <mergeCell ref="L17:M17"/>
    <mergeCell ref="E21:F21"/>
    <mergeCell ref="E22:F22"/>
    <mergeCell ref="E20:F20"/>
    <mergeCell ref="E15:F15"/>
    <mergeCell ref="E16:F16"/>
    <mergeCell ref="E17:F17"/>
    <mergeCell ref="E18:F18"/>
    <mergeCell ref="E19:F19"/>
    <mergeCell ref="H18:I18"/>
    <mergeCell ref="L18:M18"/>
    <mergeCell ref="H19:I19"/>
    <mergeCell ref="H29:I29"/>
    <mergeCell ref="L29:M29"/>
    <mergeCell ref="G51:G52"/>
    <mergeCell ref="K51:N52"/>
    <mergeCell ref="L53:M53"/>
    <mergeCell ref="H54:I54"/>
    <mergeCell ref="L54:M54"/>
    <mergeCell ref="H38:I38"/>
    <mergeCell ref="L38:M38"/>
    <mergeCell ref="H39:I39"/>
    <mergeCell ref="L39:M39"/>
    <mergeCell ref="G44:N44"/>
    <mergeCell ref="G45:N45"/>
    <mergeCell ref="G46:N46"/>
    <mergeCell ref="H37:I37"/>
    <mergeCell ref="L37:M37"/>
    <mergeCell ref="H51:I52"/>
    <mergeCell ref="H53:I53"/>
    <mergeCell ref="L78:N78"/>
    <mergeCell ref="P87:Q87"/>
    <mergeCell ref="E87:F87"/>
    <mergeCell ref="G87:I87"/>
    <mergeCell ref="J87:K87"/>
    <mergeCell ref="L87:N87"/>
    <mergeCell ref="E86:F86"/>
    <mergeCell ref="E53:F53"/>
    <mergeCell ref="H11:I12"/>
    <mergeCell ref="H13:I13"/>
    <mergeCell ref="L33:M33"/>
    <mergeCell ref="H34:I34"/>
    <mergeCell ref="L34:M34"/>
    <mergeCell ref="H35:I35"/>
    <mergeCell ref="L35:M35"/>
    <mergeCell ref="H36:I36"/>
    <mergeCell ref="L36:M36"/>
    <mergeCell ref="H25:I25"/>
    <mergeCell ref="L25:M25"/>
    <mergeCell ref="H26:I26"/>
    <mergeCell ref="L26:M26"/>
    <mergeCell ref="H27:I27"/>
    <mergeCell ref="L27:M27"/>
    <mergeCell ref="L28:M28"/>
  </mergeCells>
  <conditionalFormatting sqref="C118">
    <cfRule type="cellIs" dxfId="506" priority="125" operator="lessThan">
      <formula>0</formula>
    </cfRule>
  </conditionalFormatting>
  <conditionalFormatting sqref="E83:F83">
    <cfRule type="expression" dxfId="505" priority="42">
      <formula>IF(ISBLANK($M$83),FALSE,TRUE)</formula>
    </cfRule>
  </conditionalFormatting>
  <conditionalFormatting sqref="L116:N118">
    <cfRule type="expression" dxfId="504" priority="40">
      <formula>IF(ISBLANK($J116),FALSE,TRUE)</formula>
    </cfRule>
  </conditionalFormatting>
  <conditionalFormatting sqref="J116:K118">
    <cfRule type="expression" dxfId="503" priority="39">
      <formula>IF($C116&lt;&gt;0,TRUE,FALSE)</formula>
    </cfRule>
  </conditionalFormatting>
  <conditionalFormatting sqref="L116:N118">
    <cfRule type="expression" dxfId="502" priority="17">
      <formula>IF(ISBLANK($J116),FALSE,TRUE)</formula>
    </cfRule>
  </conditionalFormatting>
  <conditionalFormatting sqref="J116:K118">
    <cfRule type="expression" dxfId="501" priority="16">
      <formula>IF($C116&lt;&gt;0,TRUE,FALSE)</formula>
    </cfRule>
  </conditionalFormatting>
  <conditionalFormatting sqref="H21:N38 H15:J20 N15:N20">
    <cfRule type="expression" dxfId="500" priority="130">
      <formula>$X$11</formula>
    </cfRule>
  </conditionalFormatting>
  <conditionalFormatting sqref="A14:N14">
    <cfRule type="expression" dxfId="499" priority="15">
      <formula>$X$12</formula>
    </cfRule>
  </conditionalFormatting>
  <conditionalFormatting sqref="K21:K38">
    <cfRule type="expression" dxfId="498" priority="12">
      <formula>L21&lt;&gt;0</formula>
    </cfRule>
  </conditionalFormatting>
  <conditionalFormatting sqref="C118">
    <cfRule type="cellIs" dxfId="497" priority="11" operator="lessThan">
      <formula>0</formula>
    </cfRule>
  </conditionalFormatting>
  <conditionalFormatting sqref="L116:N118">
    <cfRule type="expression" dxfId="496" priority="10">
      <formula>IF(ISBLANK($J116),FALSE,TRUE)</formula>
    </cfRule>
  </conditionalFormatting>
  <conditionalFormatting sqref="J116:K118">
    <cfRule type="expression" dxfId="495" priority="9">
      <formula>IF($C116&lt;&gt;0,TRUE,FALSE)</formula>
    </cfRule>
  </conditionalFormatting>
  <conditionalFormatting sqref="A15:G38">
    <cfRule type="expression" dxfId="494" priority="6">
      <formula>$X$11</formula>
    </cfRule>
  </conditionalFormatting>
  <conditionalFormatting sqref="A15:G17">
    <cfRule type="expression" dxfId="493" priority="5">
      <formula>$X$11</formula>
    </cfRule>
  </conditionalFormatting>
  <conditionalFormatting sqref="A15:G16">
    <cfRule type="expression" dxfId="492" priority="4">
      <formula>$X$11</formula>
    </cfRule>
  </conditionalFormatting>
  <conditionalFormatting sqref="K15:M20">
    <cfRule type="expression" dxfId="491" priority="3">
      <formula>$X$11</formula>
    </cfRule>
  </conditionalFormatting>
  <conditionalFormatting sqref="K15">
    <cfRule type="expression" dxfId="490" priority="2">
      <formula>L15&lt;&gt;0</formula>
    </cfRule>
  </conditionalFormatting>
  <conditionalFormatting sqref="K16:K20">
    <cfRule type="expression" dxfId="489" priority="1">
      <formula>L16&lt;&gt;0</formula>
    </cfRule>
  </conditionalFormatting>
  <dataValidations count="5">
    <dataValidation type="list" allowBlank="1" showInputMessage="1" showErrorMessage="1" sqref="B11:D11">
      <formula1>$U$11:$U$12</formula1>
    </dataValidation>
    <dataValidation allowBlank="1" showInputMessage="1" showErrorMessage="1" errorTitle="Fehlerhafte Eingabe" error="Auswahl der Berücksichtigung Förderbeiträge aus Drop-Down selektieren." sqref="D88"/>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formula1>IF(COUNTIF($J$116:$J$118,"")-1&gt;=COUNTIF($C$116:$C$118,0),TRUE,FALSE)</formula1>
    </dataValidation>
    <dataValidation type="custom" allowBlank="1" showInputMessage="1" showErrorMessage="1" errorTitle="Eingabe ausserhalb Bereich" error="Bitte wählen Sie eine Betrachtungsdauer zwischen 1 und 50 Jahren." sqref="M83:N83">
      <formula1>IF(AND(M83&gt;0,M83&lt;=50),TRUE,FALSE)</formula1>
    </dataValidation>
    <dataValidation type="decimal" allowBlank="1" showInputMessage="1" showErrorMessage="1" error="Wert muss zwischen 0 und 100 liegen" sqref="C66 C68 C64 C62">
      <formula1>0</formula1>
      <formula2>1</formula2>
    </dataValidation>
  </dataValidations>
  <hyperlinks>
    <hyperlink ref="G2" location="Neu_in_Version" display="i"/>
  </hyperlinks>
  <pageMargins left="0.70866141732283472" right="0.70866141732283472" top="0.39370078740157483" bottom="0.98425196850393704" header="0.39370078740157483" footer="0.39370078740157483"/>
  <pageSetup paperSize="9" scale="81" firstPageNumber="3" fitToHeight="0" orientation="portrait" r:id="rId1"/>
  <headerFooter scaleWithDoc="0">
    <oddFooter>&amp;L&amp;8Das Amt für Hochbauten ist eine Dienstabteilung des
Hochbaudepartements der Stadt Zürich&amp;CSeite &amp;P/&amp;N&amp;6
                                                          &amp;D/&amp;F&amp;R&amp;G</oddFooter>
  </headerFooter>
  <rowBreaks count="1" manualBreakCount="1">
    <brk id="80" max="12" man="1"/>
  </rowBreak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theme="9" tint="-0.499984740745262"/>
    <outlinePr summaryBelow="0"/>
    <pageSetUpPr fitToPage="1"/>
  </sheetPr>
  <dimension ref="A1:BU431"/>
  <sheetViews>
    <sheetView showGridLines="0" showZeros="0" zoomScaleNormal="100" zoomScaleSheetLayoutView="100" workbookViewId="0">
      <pane ySplit="13" topLeftCell="A14" activePane="bottomLeft" state="frozen"/>
      <selection activeCell="B369" sqref="B369:C370"/>
      <selection pane="bottomLeft" activeCell="B44" sqref="B44:D44"/>
    </sheetView>
  </sheetViews>
  <sheetFormatPr baseColWidth="10" defaultColWidth="11.375" defaultRowHeight="12.9" customHeight="1" x14ac:dyDescent="0.2"/>
  <cols>
    <col min="1" max="1" width="25.375" style="86" customWidth="1"/>
    <col min="2" max="2" width="12.375" style="84" customWidth="1"/>
    <col min="3" max="4" width="5.75" style="84" customWidth="1"/>
    <col min="5" max="5" width="6.875" style="84" customWidth="1"/>
    <col min="6" max="6" width="7.75" style="84" customWidth="1"/>
    <col min="7" max="8" width="4.875" style="83" customWidth="1"/>
    <col min="9" max="9" width="7.75" style="83" customWidth="1"/>
    <col min="10" max="10" width="9.75" style="86" customWidth="1"/>
    <col min="11" max="12" width="3.375" style="86" customWidth="1"/>
    <col min="13" max="13" width="9.75" style="86" customWidth="1"/>
    <col min="14" max="14" width="4.25" style="86" customWidth="1"/>
    <col min="15" max="15" width="15.75" style="86" customWidth="1"/>
    <col min="16" max="16" width="7.375" style="270" customWidth="1"/>
    <col min="17" max="17" width="7.25" style="270" customWidth="1"/>
    <col min="18" max="18" width="8.25" style="270" customWidth="1"/>
    <col min="19" max="19" width="12.125" style="278" customWidth="1"/>
    <col min="20" max="20" width="11.625" style="270" customWidth="1"/>
    <col min="21" max="21" width="10.125" style="270" customWidth="1"/>
    <col min="22" max="22" width="11.625" style="270" customWidth="1"/>
    <col min="23" max="23" width="11" style="270" customWidth="1"/>
    <col min="24" max="24" width="10.125" style="270" customWidth="1"/>
    <col min="25" max="25" width="8.625" style="270" customWidth="1"/>
    <col min="26" max="26" width="10.125" style="270" customWidth="1"/>
    <col min="27" max="32" width="8.625" style="270" customWidth="1"/>
    <col min="33" max="35" width="8.625" style="380" customWidth="1"/>
    <col min="36" max="68" width="8.625" style="381" customWidth="1"/>
    <col min="69" max="69" width="5" style="83" customWidth="1"/>
    <col min="70" max="16384" width="11.375" style="83"/>
  </cols>
  <sheetData>
    <row r="1" spans="1:73" s="1111" customFormat="1" ht="56.25" customHeight="1" x14ac:dyDescent="0.2">
      <c r="A1" s="1131"/>
      <c r="B1" s="2705"/>
      <c r="C1" s="2705"/>
      <c r="D1" s="2705"/>
      <c r="E1" s="2705"/>
      <c r="F1" s="2705"/>
      <c r="G1" s="2705"/>
      <c r="H1" s="313"/>
      <c r="I1" s="313"/>
      <c r="J1" s="313"/>
      <c r="K1" s="313"/>
      <c r="L1" s="313"/>
      <c r="M1" s="313"/>
      <c r="N1" s="1116"/>
      <c r="O1" s="313"/>
      <c r="P1" s="295"/>
      <c r="Q1" s="274"/>
      <c r="R1" s="437"/>
      <c r="S1" s="437"/>
      <c r="T1" s="437"/>
      <c r="U1" s="437"/>
      <c r="V1" s="437"/>
      <c r="W1" s="437"/>
      <c r="X1" s="437"/>
      <c r="Y1" s="437"/>
      <c r="Z1" s="437"/>
      <c r="AA1" s="437"/>
      <c r="AB1" s="437"/>
      <c r="AC1" s="437"/>
      <c r="AD1" s="437"/>
      <c r="AE1" s="296"/>
      <c r="AF1" s="296"/>
      <c r="AG1" s="1009"/>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row>
    <row r="2" spans="1:73" s="1111" customFormat="1" ht="13.6" customHeight="1" x14ac:dyDescent="0.25">
      <c r="A2" s="1132" t="str">
        <f>CONCATENATE("Variantenvergleich Energiesysteme - Version ",Versionsinfo!$B$4)</f>
        <v>Variantenvergleich Energiesysteme - Version 2.2</v>
      </c>
      <c r="B2" s="314"/>
      <c r="C2" s="314"/>
      <c r="D2" s="314"/>
      <c r="E2" s="1535"/>
      <c r="F2" s="1536" t="s">
        <v>684</v>
      </c>
      <c r="G2" s="313"/>
      <c r="H2" s="313"/>
      <c r="I2" s="313"/>
      <c r="J2" s="313"/>
      <c r="K2" s="313"/>
      <c r="L2" s="313"/>
      <c r="M2" s="313"/>
      <c r="N2" s="1116"/>
      <c r="O2" s="199"/>
      <c r="P2" s="199"/>
      <c r="Q2" s="199"/>
      <c r="R2" s="199"/>
      <c r="S2" s="199"/>
      <c r="T2" s="439"/>
      <c r="U2" s="440"/>
      <c r="V2" s="437"/>
      <c r="W2" s="437"/>
      <c r="X2" s="437"/>
      <c r="Y2" s="437"/>
      <c r="Z2" s="437"/>
      <c r="AA2" s="437"/>
      <c r="AB2" s="437"/>
      <c r="AC2" s="437"/>
      <c r="AD2" s="437"/>
      <c r="AE2" s="296"/>
      <c r="AF2" s="296"/>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99"/>
      <c r="BR2" s="199"/>
      <c r="BS2" s="199"/>
      <c r="BT2" s="199"/>
      <c r="BU2" s="199"/>
    </row>
    <row r="3" spans="1:73" s="1111" customFormat="1" ht="12.75" customHeight="1" x14ac:dyDescent="0.2">
      <c r="A3" s="1133" t="s">
        <v>178</v>
      </c>
      <c r="B3" s="314"/>
      <c r="C3" s="314"/>
      <c r="D3" s="314"/>
      <c r="E3" s="314"/>
      <c r="F3" s="314"/>
      <c r="G3" s="314"/>
      <c r="H3" s="314"/>
      <c r="I3" s="314"/>
      <c r="J3" s="314"/>
      <c r="K3" s="314"/>
      <c r="L3" s="314"/>
      <c r="M3" s="314"/>
      <c r="O3" s="199"/>
      <c r="P3" s="199"/>
      <c r="Q3" s="199"/>
      <c r="R3" s="199"/>
      <c r="S3" s="199"/>
      <c r="T3" s="296"/>
      <c r="U3" s="296"/>
      <c r="V3" s="296"/>
      <c r="W3" s="296"/>
      <c r="X3" s="296"/>
      <c r="Y3" s="296"/>
      <c r="Z3" s="296"/>
      <c r="AA3" s="296"/>
      <c r="AB3" s="296"/>
      <c r="AC3" s="296"/>
      <c r="AD3" s="296"/>
      <c r="AE3" s="296"/>
      <c r="AF3" s="296"/>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99"/>
      <c r="BR3" s="199"/>
      <c r="BS3" s="199"/>
      <c r="BT3" s="199"/>
      <c r="BU3" s="199"/>
    </row>
    <row r="4" spans="1:73" s="1111" customFormat="1" ht="23.95" customHeight="1" x14ac:dyDescent="0.2">
      <c r="A4" s="314"/>
      <c r="B4" s="314"/>
      <c r="C4" s="314"/>
      <c r="D4" s="314"/>
      <c r="E4" s="314"/>
      <c r="F4" s="314"/>
      <c r="G4" s="314"/>
      <c r="H4" s="314"/>
      <c r="I4" s="314"/>
      <c r="J4" s="314"/>
      <c r="K4" s="314"/>
      <c r="L4" s="314"/>
      <c r="M4" s="314"/>
      <c r="O4" s="314"/>
      <c r="P4" s="296"/>
      <c r="Q4" s="275"/>
      <c r="R4" s="551"/>
      <c r="S4" s="296"/>
      <c r="T4" s="296"/>
      <c r="U4" s="296"/>
      <c r="V4" s="296"/>
      <c r="W4" s="296"/>
      <c r="X4" s="296"/>
      <c r="Y4" s="296"/>
      <c r="Z4" s="296"/>
      <c r="AA4" s="296"/>
      <c r="AB4" s="296"/>
      <c r="AC4" s="296"/>
      <c r="AD4" s="296"/>
      <c r="AE4" s="296"/>
      <c r="AF4" s="296"/>
      <c r="AG4" s="1009"/>
      <c r="AH4" s="1009"/>
      <c r="AI4" s="1009"/>
      <c r="AJ4" s="1009"/>
      <c r="AK4" s="1009"/>
      <c r="AL4" s="1009"/>
      <c r="AM4" s="1009"/>
      <c r="AN4" s="1009"/>
      <c r="AO4" s="1009"/>
      <c r="AP4" s="1009"/>
      <c r="AQ4" s="1009"/>
      <c r="AR4" s="1009"/>
      <c r="AS4" s="1009"/>
      <c r="AT4" s="1009"/>
      <c r="AU4" s="1009"/>
      <c r="AV4" s="1009"/>
      <c r="AW4" s="1009"/>
      <c r="AX4" s="1009"/>
      <c r="AY4" s="1009"/>
      <c r="AZ4" s="1009"/>
      <c r="BA4" s="1009"/>
      <c r="BB4" s="1009"/>
      <c r="BC4" s="1009"/>
      <c r="BD4" s="1009"/>
      <c r="BE4" s="1009"/>
      <c r="BF4" s="1009"/>
      <c r="BG4" s="1009"/>
      <c r="BH4" s="1009"/>
      <c r="BI4" s="1009"/>
      <c r="BJ4" s="1009"/>
      <c r="BK4" s="1009"/>
      <c r="BL4" s="1009"/>
      <c r="BM4" s="1009"/>
      <c r="BN4" s="1009"/>
      <c r="BO4" s="1009"/>
      <c r="BP4" s="1009"/>
    </row>
    <row r="5" spans="1:73" s="108" customFormat="1" ht="12.9" customHeight="1" x14ac:dyDescent="0.2">
      <c r="A5" s="1308">
        <f>Projektdaten!C8</f>
        <v>0</v>
      </c>
      <c r="K5" s="164"/>
      <c r="L5" s="164"/>
      <c r="M5" s="164">
        <f>Projektdaten!I8</f>
        <v>0</v>
      </c>
      <c r="O5" s="164"/>
      <c r="P5" s="270"/>
      <c r="Q5" s="276"/>
      <c r="R5" s="1111"/>
      <c r="S5" s="278"/>
      <c r="T5" s="270"/>
      <c r="U5" s="270"/>
      <c r="V5" s="270"/>
      <c r="W5" s="270"/>
      <c r="X5" s="270"/>
      <c r="Y5" s="270"/>
      <c r="Z5" s="270"/>
      <c r="AA5" s="270"/>
      <c r="AB5" s="270"/>
      <c r="AC5" s="270"/>
      <c r="AD5" s="270"/>
      <c r="AE5" s="270"/>
      <c r="AF5" s="270"/>
      <c r="AG5" s="380"/>
      <c r="AH5" s="380"/>
      <c r="AI5" s="380"/>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row>
    <row r="6" spans="1:73" ht="5.3" customHeight="1" x14ac:dyDescent="0.2"/>
    <row r="7" spans="1:73" s="106" customFormat="1" ht="14.95" customHeight="1" x14ac:dyDescent="0.3">
      <c r="A7" s="521" t="s">
        <v>557</v>
      </c>
      <c r="B7" s="1774">
        <f>EV_Var3!$E$6</f>
        <v>0</v>
      </c>
      <c r="C7" s="343"/>
      <c r="D7" s="343"/>
      <c r="E7" s="165"/>
      <c r="F7" s="165"/>
      <c r="G7" s="1134"/>
      <c r="H7" s="1134"/>
      <c r="I7" s="1135"/>
      <c r="J7" s="1135"/>
      <c r="K7" s="1135"/>
      <c r="L7" s="1135"/>
      <c r="M7" s="1135"/>
      <c r="O7" s="315"/>
      <c r="P7" s="297"/>
      <c r="Q7" s="279"/>
      <c r="R7" s="441"/>
      <c r="S7" s="272"/>
      <c r="T7" s="442"/>
      <c r="U7" s="400"/>
      <c r="V7" s="442"/>
      <c r="W7" s="442"/>
      <c r="X7" s="442"/>
      <c r="Y7" s="442"/>
      <c r="Z7" s="442"/>
      <c r="AA7" s="443"/>
      <c r="AB7" s="443"/>
      <c r="AC7" s="443"/>
      <c r="AD7" s="443"/>
      <c r="AE7" s="443"/>
      <c r="AF7" s="443"/>
      <c r="AG7" s="444"/>
      <c r="AH7" s="444"/>
      <c r="AI7" s="444"/>
      <c r="AJ7" s="445"/>
      <c r="AK7" s="445"/>
      <c r="AL7" s="446"/>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row>
    <row r="8" spans="1:73" s="104" customFormat="1" ht="5.95" customHeight="1" x14ac:dyDescent="0.3">
      <c r="A8" s="105"/>
      <c r="G8" s="31" t="s">
        <v>12</v>
      </c>
      <c r="H8" s="31"/>
      <c r="I8" s="84"/>
      <c r="J8" s="84"/>
      <c r="K8" s="84"/>
      <c r="L8" s="84"/>
      <c r="M8" s="84"/>
      <c r="N8" s="84"/>
      <c r="O8" s="84"/>
      <c r="P8" s="270"/>
      <c r="Q8" s="280"/>
      <c r="R8" s="281"/>
      <c r="S8" s="272"/>
      <c r="T8" s="271"/>
      <c r="U8" s="271"/>
      <c r="V8" s="271"/>
      <c r="W8" s="271"/>
      <c r="X8" s="271"/>
      <c r="Y8" s="271"/>
      <c r="Z8" s="271"/>
      <c r="AA8" s="270"/>
      <c r="AB8" s="270"/>
      <c r="AC8" s="270"/>
      <c r="AD8" s="270"/>
      <c r="AE8" s="270"/>
      <c r="AF8" s="270"/>
      <c r="AG8" s="380"/>
      <c r="AH8" s="380"/>
      <c r="AI8" s="380"/>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row>
    <row r="9" spans="1:73" ht="17.350000000000001" customHeight="1" x14ac:dyDescent="0.25">
      <c r="A9" s="1108" t="s">
        <v>729</v>
      </c>
      <c r="H9" s="317" t="s">
        <v>757</v>
      </c>
      <c r="I9" s="318">
        <f>IF(ISBLANK(Grunddaten!$V$5),Grunddaten!$U$5,Grunddaten!$V$5)</f>
        <v>2.5000000000000001E-2</v>
      </c>
      <c r="J9" s="1124" t="s">
        <v>568</v>
      </c>
      <c r="K9" s="103"/>
      <c r="L9" s="103"/>
      <c r="M9" s="103"/>
      <c r="N9" s="103"/>
      <c r="O9" s="103"/>
      <c r="P9" s="282"/>
      <c r="Q9" s="271"/>
      <c r="R9" s="283"/>
      <c r="S9" s="272"/>
      <c r="T9" s="271"/>
      <c r="U9" s="271"/>
      <c r="V9" s="271"/>
      <c r="W9" s="271"/>
      <c r="X9" s="271"/>
      <c r="Y9" s="271"/>
      <c r="Z9" s="271"/>
    </row>
    <row r="10" spans="1:73" ht="2.25" customHeight="1" thickBot="1" x14ac:dyDescent="0.25">
      <c r="N10" s="1369"/>
      <c r="O10" s="1366"/>
      <c r="P10" s="1366"/>
      <c r="Q10" s="271"/>
      <c r="R10" s="271"/>
      <c r="S10" s="272"/>
      <c r="T10" s="271"/>
      <c r="U10" s="271"/>
      <c r="V10" s="271"/>
      <c r="W10" s="271"/>
      <c r="X10" s="271"/>
      <c r="Y10" s="271"/>
      <c r="Z10" s="271"/>
    </row>
    <row r="11" spans="1:73" s="382" customFormat="1" ht="11.25" customHeight="1" x14ac:dyDescent="0.2">
      <c r="A11" s="388" t="s">
        <v>318</v>
      </c>
      <c r="B11" s="1403" t="s">
        <v>319</v>
      </c>
      <c r="C11" s="1404"/>
      <c r="D11" s="1404"/>
      <c r="E11" s="2482" t="s">
        <v>651</v>
      </c>
      <c r="F11" s="2483"/>
      <c r="G11" s="2482" t="s">
        <v>653</v>
      </c>
      <c r="H11" s="2483"/>
      <c r="I11" s="2714" t="s">
        <v>654</v>
      </c>
      <c r="J11" s="2714" t="s">
        <v>730</v>
      </c>
      <c r="K11" s="2756" t="s">
        <v>743</v>
      </c>
      <c r="L11" s="2757"/>
      <c r="M11" s="2758"/>
      <c r="N11" s="1369"/>
      <c r="O11" s="1366"/>
      <c r="P11" s="1366"/>
      <c r="Q11" s="285"/>
      <c r="R11" s="285"/>
      <c r="S11" s="280"/>
      <c r="T11" s="271"/>
      <c r="U11" s="271"/>
      <c r="V11" s="271"/>
      <c r="W11" s="271"/>
      <c r="X11" s="271"/>
      <c r="Y11" s="271"/>
      <c r="Z11" s="270"/>
      <c r="AA11" s="270"/>
      <c r="AB11" s="270"/>
      <c r="AC11" s="270"/>
      <c r="AD11" s="270"/>
      <c r="AE11" s="270"/>
      <c r="AF11" s="380"/>
      <c r="AG11" s="380"/>
      <c r="AH11" s="380"/>
      <c r="AI11" s="381"/>
      <c r="AJ11" s="381"/>
    </row>
    <row r="12" spans="1:73" s="382" customFormat="1" ht="11.25" customHeight="1" x14ac:dyDescent="0.2">
      <c r="A12" s="389"/>
      <c r="B12" s="691"/>
      <c r="C12" s="555"/>
      <c r="D12" s="555"/>
      <c r="E12" s="2484"/>
      <c r="F12" s="2485"/>
      <c r="G12" s="2484"/>
      <c r="H12" s="2485"/>
      <c r="I12" s="2715"/>
      <c r="J12" s="2715"/>
      <c r="K12" s="2759"/>
      <c r="L12" s="2760"/>
      <c r="M12" s="2761"/>
      <c r="N12" s="1369"/>
      <c r="O12" s="1366"/>
      <c r="P12" s="1366"/>
      <c r="Q12" s="285"/>
      <c r="R12" s="285"/>
      <c r="S12" s="280"/>
      <c r="T12" s="271"/>
      <c r="U12" s="271"/>
      <c r="V12" s="271"/>
      <c r="W12" s="271"/>
      <c r="X12" s="271"/>
      <c r="Y12" s="271"/>
      <c r="Z12" s="270"/>
      <c r="AA12" s="270"/>
      <c r="AB12" s="270"/>
      <c r="AC12" s="270"/>
      <c r="AD12" s="270"/>
      <c r="AE12" s="270"/>
      <c r="AF12" s="380"/>
      <c r="AG12" s="380"/>
      <c r="AH12" s="380"/>
      <c r="AI12" s="381"/>
      <c r="AJ12" s="381"/>
    </row>
    <row r="13" spans="1:73" s="382" customFormat="1" ht="11.25" customHeight="1" thickBot="1" x14ac:dyDescent="0.25">
      <c r="A13" s="1370"/>
      <c r="B13" s="1371"/>
      <c r="C13" s="1372"/>
      <c r="D13" s="1372"/>
      <c r="E13" s="2609" t="s">
        <v>652</v>
      </c>
      <c r="F13" s="2613"/>
      <c r="G13" s="2528" t="s">
        <v>29</v>
      </c>
      <c r="H13" s="2711"/>
      <c r="I13" s="2780"/>
      <c r="J13" s="693" t="s">
        <v>655</v>
      </c>
      <c r="K13" s="2609" t="s">
        <v>677</v>
      </c>
      <c r="L13" s="2613"/>
      <c r="M13" s="392" t="s">
        <v>655</v>
      </c>
      <c r="N13" s="1369"/>
      <c r="O13" s="1366"/>
      <c r="P13" s="1366"/>
      <c r="Q13" s="285"/>
      <c r="R13" s="285"/>
      <c r="S13" s="280"/>
      <c r="T13" s="271"/>
      <c r="U13" s="271"/>
      <c r="V13" s="271"/>
      <c r="W13" s="271"/>
      <c r="X13" s="271"/>
      <c r="Y13" s="271"/>
      <c r="Z13" s="270"/>
      <c r="AA13" s="270"/>
      <c r="AB13" s="270"/>
      <c r="AC13" s="270"/>
      <c r="AD13" s="270"/>
      <c r="AE13" s="270"/>
      <c r="AF13" s="380"/>
      <c r="AG13" s="380"/>
      <c r="AH13" s="380"/>
      <c r="AI13" s="381"/>
      <c r="AJ13" s="381"/>
    </row>
    <row r="14" spans="1:73" s="382" customFormat="1" ht="13.6" customHeight="1" x14ac:dyDescent="0.2">
      <c r="A14" s="2777" t="s">
        <v>640</v>
      </c>
      <c r="B14" s="2778"/>
      <c r="C14" s="2778"/>
      <c r="D14" s="2778"/>
      <c r="E14" s="2778"/>
      <c r="F14" s="2778"/>
      <c r="G14" s="2778"/>
      <c r="H14" s="2778"/>
      <c r="I14" s="2778"/>
      <c r="J14" s="2778"/>
      <c r="K14" s="2778"/>
      <c r="L14" s="2778"/>
      <c r="M14" s="2779"/>
      <c r="N14" s="1369"/>
      <c r="O14" s="1366"/>
      <c r="P14" s="1366"/>
      <c r="Q14" s="285"/>
      <c r="R14" s="285"/>
      <c r="S14" s="280"/>
      <c r="T14" s="271"/>
      <c r="U14" s="271"/>
      <c r="V14" s="271"/>
      <c r="W14" s="271"/>
      <c r="X14" s="271"/>
      <c r="Y14" s="271"/>
      <c r="Z14" s="270"/>
      <c r="AA14" s="270"/>
      <c r="AB14" s="270"/>
      <c r="AC14" s="270"/>
      <c r="AD14" s="270"/>
      <c r="AE14" s="270"/>
      <c r="AF14" s="380"/>
      <c r="AG14" s="380"/>
      <c r="AH14" s="380"/>
      <c r="AI14" s="381"/>
      <c r="AJ14" s="381"/>
    </row>
    <row r="15" spans="1:73" s="88" customFormat="1" ht="12.1" customHeight="1" x14ac:dyDescent="0.2">
      <c r="A15" s="1013" t="str">
        <f>A44</f>
        <v>1. Wärmequelle Baumeister</v>
      </c>
      <c r="B15" s="2847">
        <f>B44</f>
        <v>0</v>
      </c>
      <c r="C15" s="2848">
        <f>C44</f>
        <v>0</v>
      </c>
      <c r="D15" s="2849">
        <f>D44</f>
        <v>0</v>
      </c>
      <c r="E15" s="2781">
        <f>E44</f>
        <v>0</v>
      </c>
      <c r="F15" s="2782"/>
      <c r="G15" s="2774"/>
      <c r="H15" s="2775"/>
      <c r="I15" s="2776"/>
      <c r="J15" s="1405">
        <f>J44</f>
        <v>0</v>
      </c>
      <c r="K15" s="2799" t="str">
        <f t="shared" ref="K15:K37" si="0">IF(E15=0,"",M15/E15*100)</f>
        <v/>
      </c>
      <c r="L15" s="2800"/>
      <c r="M15" s="1451">
        <f>M44</f>
        <v>0</v>
      </c>
      <c r="N15" s="1297"/>
      <c r="O15" s="1294"/>
      <c r="P15" s="1294"/>
      <c r="Q15" s="1294"/>
      <c r="R15" s="287"/>
      <c r="S15" s="280"/>
      <c r="T15" s="280"/>
      <c r="U15" s="280"/>
      <c r="V15" s="280"/>
      <c r="W15" s="280"/>
      <c r="X15" s="280"/>
      <c r="Y15" s="280"/>
      <c r="Z15" s="284"/>
      <c r="AA15" s="284"/>
      <c r="AB15" s="284"/>
      <c r="AC15" s="284"/>
      <c r="AD15" s="284"/>
      <c r="AE15" s="284"/>
      <c r="AF15" s="447"/>
      <c r="AG15" s="447"/>
      <c r="AH15" s="447"/>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row>
    <row r="16" spans="1:73" s="88" customFormat="1" ht="12.1" customHeight="1" x14ac:dyDescent="0.2">
      <c r="A16" s="1013" t="str">
        <f>A59</f>
        <v>2. Wärmequelle Technisch</v>
      </c>
      <c r="B16" s="2801">
        <f>B59</f>
        <v>0</v>
      </c>
      <c r="C16" s="2802"/>
      <c r="D16" s="2803"/>
      <c r="E16" s="2751">
        <f>E59</f>
        <v>0</v>
      </c>
      <c r="F16" s="2752"/>
      <c r="G16" s="2753"/>
      <c r="H16" s="2754"/>
      <c r="I16" s="2755"/>
      <c r="J16" s="1414">
        <f>J59</f>
        <v>0</v>
      </c>
      <c r="K16" s="2762" t="str">
        <f t="shared" si="0"/>
        <v/>
      </c>
      <c r="L16" s="2763"/>
      <c r="M16" s="1452">
        <f>M59</f>
        <v>0</v>
      </c>
      <c r="N16" s="1297"/>
      <c r="O16" s="1294"/>
      <c r="P16" s="1294"/>
      <c r="Q16" s="1294"/>
      <c r="R16" s="287"/>
      <c r="S16" s="280"/>
      <c r="T16" s="280"/>
      <c r="U16" s="280"/>
      <c r="V16" s="280"/>
      <c r="W16" s="280"/>
      <c r="X16" s="280"/>
      <c r="Y16" s="280"/>
      <c r="Z16" s="284"/>
      <c r="AA16" s="284"/>
      <c r="AB16" s="284"/>
      <c r="AC16" s="284"/>
      <c r="AD16" s="284"/>
      <c r="AE16" s="284"/>
      <c r="AF16" s="447"/>
      <c r="AG16" s="447"/>
      <c r="AH16" s="447"/>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row>
    <row r="17" spans="1:67" s="88" customFormat="1" ht="12.1" customHeight="1" x14ac:dyDescent="0.2">
      <c r="A17" s="1013" t="str">
        <f>A74</f>
        <v>3. Energiezulieferung</v>
      </c>
      <c r="B17" s="2801">
        <f>B74</f>
        <v>0</v>
      </c>
      <c r="C17" s="2802"/>
      <c r="D17" s="2803"/>
      <c r="E17" s="2751">
        <f>E74</f>
        <v>0</v>
      </c>
      <c r="F17" s="2752"/>
      <c r="G17" s="2753"/>
      <c r="H17" s="2754"/>
      <c r="I17" s="2755"/>
      <c r="J17" s="1414">
        <f>J74</f>
        <v>0</v>
      </c>
      <c r="K17" s="2762" t="str">
        <f t="shared" si="0"/>
        <v/>
      </c>
      <c r="L17" s="2763"/>
      <c r="M17" s="1452">
        <f>M74</f>
        <v>0</v>
      </c>
      <c r="N17" s="1297"/>
      <c r="O17" s="1294"/>
      <c r="P17" s="1294"/>
      <c r="Q17" s="1294"/>
      <c r="R17" s="287"/>
      <c r="S17" s="280"/>
      <c r="T17" s="280"/>
      <c r="U17" s="280"/>
      <c r="V17" s="280"/>
      <c r="W17" s="280"/>
      <c r="X17" s="280"/>
      <c r="Y17" s="280"/>
      <c r="Z17" s="284"/>
      <c r="AA17" s="284"/>
      <c r="AB17" s="284"/>
      <c r="AC17" s="284"/>
      <c r="AD17" s="284"/>
      <c r="AE17" s="284"/>
      <c r="AF17" s="447"/>
      <c r="AG17" s="447"/>
      <c r="AH17" s="447"/>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row>
    <row r="18" spans="1:67" s="88" customFormat="1" ht="12.1" customHeight="1" x14ac:dyDescent="0.2">
      <c r="A18" s="1013" t="str">
        <f>A89</f>
        <v>4. Wärme- / Kälteerzeugung</v>
      </c>
      <c r="B18" s="2801">
        <f>B89</f>
        <v>0</v>
      </c>
      <c r="C18" s="2802"/>
      <c r="D18" s="2803"/>
      <c r="E18" s="2751">
        <f>E89</f>
        <v>0</v>
      </c>
      <c r="F18" s="2752"/>
      <c r="G18" s="2753"/>
      <c r="H18" s="2754"/>
      <c r="I18" s="2755"/>
      <c r="J18" s="1414">
        <f>J89</f>
        <v>0</v>
      </c>
      <c r="K18" s="2762" t="str">
        <f t="shared" si="0"/>
        <v/>
      </c>
      <c r="L18" s="2763"/>
      <c r="M18" s="1452">
        <f>M89</f>
        <v>0</v>
      </c>
      <c r="N18" s="1297"/>
      <c r="O18" s="1294"/>
      <c r="P18" s="1294"/>
      <c r="Q18" s="1294"/>
      <c r="R18" s="287"/>
      <c r="S18" s="280"/>
      <c r="T18" s="280"/>
      <c r="U18" s="280"/>
      <c r="V18" s="280"/>
      <c r="W18" s="280"/>
      <c r="X18" s="280"/>
      <c r="Y18" s="280"/>
      <c r="Z18" s="284"/>
      <c r="AA18" s="284"/>
      <c r="AB18" s="284"/>
      <c r="AC18" s="284"/>
      <c r="AD18" s="284"/>
      <c r="AE18" s="284"/>
      <c r="AF18" s="447"/>
      <c r="AG18" s="447"/>
      <c r="AH18" s="447"/>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row>
    <row r="19" spans="1:67" s="88" customFormat="1" ht="12.1" customHeight="1" x14ac:dyDescent="0.2">
      <c r="A19" s="1013" t="str">
        <f>A106</f>
        <v>5. Kaminanlage</v>
      </c>
      <c r="B19" s="2801">
        <f>B106</f>
        <v>0</v>
      </c>
      <c r="C19" s="2802"/>
      <c r="D19" s="2803"/>
      <c r="E19" s="2751">
        <f>E106</f>
        <v>0</v>
      </c>
      <c r="F19" s="2752"/>
      <c r="G19" s="2753"/>
      <c r="H19" s="2754"/>
      <c r="I19" s="2755"/>
      <c r="J19" s="1414">
        <f>J106</f>
        <v>0</v>
      </c>
      <c r="K19" s="2762" t="str">
        <f t="shared" si="0"/>
        <v/>
      </c>
      <c r="L19" s="2763"/>
      <c r="M19" s="1452">
        <f>M106</f>
        <v>0</v>
      </c>
      <c r="N19" s="1297"/>
      <c r="O19" s="1294"/>
      <c r="P19" s="1294"/>
      <c r="Q19" s="1294"/>
      <c r="R19" s="287"/>
      <c r="S19" s="280"/>
      <c r="T19" s="280"/>
      <c r="U19" s="280"/>
      <c r="V19" s="280"/>
      <c r="W19" s="280"/>
      <c r="X19" s="280"/>
      <c r="Y19" s="280"/>
      <c r="Z19" s="284"/>
      <c r="AA19" s="284"/>
      <c r="AB19" s="284"/>
      <c r="AC19" s="284"/>
      <c r="AD19" s="284"/>
      <c r="AE19" s="284"/>
      <c r="AF19" s="447"/>
      <c r="AG19" s="447"/>
      <c r="AH19" s="447"/>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row>
    <row r="20" spans="1:67" s="88" customFormat="1" ht="12.1" customHeight="1" x14ac:dyDescent="0.2">
      <c r="A20" s="1013" t="str">
        <f>A121</f>
        <v>6. Wärmeverteilung</v>
      </c>
      <c r="B20" s="2801">
        <f>B121</f>
        <v>0</v>
      </c>
      <c r="C20" s="2802"/>
      <c r="D20" s="2803"/>
      <c r="E20" s="2751">
        <f>E121</f>
        <v>0</v>
      </c>
      <c r="F20" s="2752"/>
      <c r="G20" s="2753"/>
      <c r="H20" s="2754"/>
      <c r="I20" s="2755"/>
      <c r="J20" s="1414">
        <f>J121</f>
        <v>0</v>
      </c>
      <c r="K20" s="2762" t="str">
        <f t="shared" si="0"/>
        <v/>
      </c>
      <c r="L20" s="2763"/>
      <c r="M20" s="1452">
        <f>M121</f>
        <v>0</v>
      </c>
      <c r="N20" s="1297"/>
      <c r="O20" s="1294"/>
      <c r="P20" s="1294"/>
      <c r="Q20" s="1294"/>
      <c r="R20" s="287"/>
      <c r="S20" s="280"/>
      <c r="T20" s="280"/>
      <c r="U20" s="280"/>
      <c r="V20" s="280"/>
      <c r="W20" s="280"/>
      <c r="X20" s="280"/>
      <c r="Y20" s="280"/>
      <c r="Z20" s="284"/>
      <c r="AA20" s="284"/>
      <c r="AB20" s="284"/>
      <c r="AC20" s="284"/>
      <c r="AD20" s="284"/>
      <c r="AE20" s="284"/>
      <c r="AF20" s="447"/>
      <c r="AG20" s="447"/>
      <c r="AH20" s="447"/>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row>
    <row r="21" spans="1:67" s="88" customFormat="1" ht="12.1" customHeight="1" x14ac:dyDescent="0.2">
      <c r="A21" s="1013" t="str">
        <f>A136</f>
        <v>7. Wärme- / Kälteabgabe</v>
      </c>
      <c r="B21" s="2801">
        <f>B136</f>
        <v>0</v>
      </c>
      <c r="C21" s="2802"/>
      <c r="D21" s="2803"/>
      <c r="E21" s="2751">
        <f>E136</f>
        <v>0</v>
      </c>
      <c r="F21" s="2752"/>
      <c r="G21" s="2753"/>
      <c r="H21" s="2754"/>
      <c r="I21" s="2755"/>
      <c r="J21" s="1414">
        <f>J136</f>
        <v>0</v>
      </c>
      <c r="K21" s="2762" t="str">
        <f t="shared" si="0"/>
        <v/>
      </c>
      <c r="L21" s="2763"/>
      <c r="M21" s="1452">
        <f>M136</f>
        <v>0</v>
      </c>
      <c r="N21" s="1297"/>
      <c r="O21" s="1294"/>
      <c r="P21" s="1294"/>
      <c r="Q21" s="1294"/>
      <c r="R21" s="287"/>
      <c r="S21" s="280"/>
      <c r="T21" s="280"/>
      <c r="U21" s="280"/>
      <c r="V21" s="280"/>
      <c r="W21" s="280"/>
      <c r="X21" s="280"/>
      <c r="Y21" s="280"/>
      <c r="Z21" s="284"/>
      <c r="AA21" s="284"/>
      <c r="AB21" s="284"/>
      <c r="AC21" s="284"/>
      <c r="AD21" s="284"/>
      <c r="AE21" s="284"/>
      <c r="AF21" s="447"/>
      <c r="AG21" s="447"/>
      <c r="AH21" s="447"/>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row>
    <row r="22" spans="1:67" s="88" customFormat="1" ht="12.1" customHeight="1" x14ac:dyDescent="0.2">
      <c r="A22" s="1013" t="str">
        <f>A151</f>
        <v>8. Sicherheit</v>
      </c>
      <c r="B22" s="2801">
        <f>B151</f>
        <v>0</v>
      </c>
      <c r="C22" s="2802"/>
      <c r="D22" s="2803"/>
      <c r="E22" s="2751">
        <f>E151</f>
        <v>0</v>
      </c>
      <c r="F22" s="2752"/>
      <c r="G22" s="2753"/>
      <c r="H22" s="2754"/>
      <c r="I22" s="2755"/>
      <c r="J22" s="1414">
        <f>J151</f>
        <v>0</v>
      </c>
      <c r="K22" s="2762" t="str">
        <f t="shared" si="0"/>
        <v/>
      </c>
      <c r="L22" s="2763"/>
      <c r="M22" s="1452">
        <f>M151</f>
        <v>0</v>
      </c>
      <c r="N22" s="1297"/>
      <c r="O22" s="1294"/>
      <c r="P22" s="1294"/>
      <c r="Q22" s="1294"/>
      <c r="R22" s="287"/>
      <c r="S22" s="280"/>
      <c r="T22" s="280"/>
      <c r="U22" s="280"/>
      <c r="V22" s="280"/>
      <c r="W22" s="280"/>
      <c r="X22" s="280"/>
      <c r="Y22" s="280"/>
      <c r="Z22" s="284"/>
      <c r="AA22" s="284"/>
      <c r="AB22" s="284"/>
      <c r="AC22" s="284"/>
      <c r="AD22" s="284"/>
      <c r="AE22" s="284"/>
      <c r="AF22" s="447"/>
      <c r="AG22" s="447"/>
      <c r="AH22" s="447"/>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row>
    <row r="23" spans="1:67" s="88" customFormat="1" ht="12.1" customHeight="1" x14ac:dyDescent="0.2">
      <c r="A23" s="1013" t="str">
        <f>A166</f>
        <v>9. Sanitär</v>
      </c>
      <c r="B23" s="2801">
        <f>B166</f>
        <v>0</v>
      </c>
      <c r="C23" s="2802"/>
      <c r="D23" s="2803"/>
      <c r="E23" s="2751">
        <f>E166</f>
        <v>0</v>
      </c>
      <c r="F23" s="2752"/>
      <c r="G23" s="2753"/>
      <c r="H23" s="2754"/>
      <c r="I23" s="2755"/>
      <c r="J23" s="1414">
        <f>J166</f>
        <v>0</v>
      </c>
      <c r="K23" s="2762" t="str">
        <f t="shared" si="0"/>
        <v/>
      </c>
      <c r="L23" s="2763"/>
      <c r="M23" s="1452">
        <f>M166</f>
        <v>0</v>
      </c>
      <c r="N23" s="1297"/>
      <c r="O23" s="1294"/>
      <c r="P23" s="1294"/>
      <c r="Q23" s="1294"/>
      <c r="R23" s="287"/>
      <c r="S23" s="280"/>
      <c r="T23" s="280"/>
      <c r="U23" s="280"/>
      <c r="V23" s="280"/>
      <c r="W23" s="280"/>
      <c r="X23" s="280"/>
      <c r="Y23" s="280"/>
      <c r="Z23" s="284"/>
      <c r="AA23" s="284"/>
      <c r="AB23" s="284"/>
      <c r="AC23" s="284"/>
      <c r="AD23" s="284"/>
      <c r="AE23" s="284"/>
      <c r="AF23" s="447"/>
      <c r="AG23" s="447"/>
      <c r="AH23" s="447"/>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row>
    <row r="24" spans="1:67" s="88" customFormat="1" ht="12.1" customHeight="1" x14ac:dyDescent="0.2">
      <c r="A24" s="1013" t="str">
        <f>A181</f>
        <v>10. Lüftung</v>
      </c>
      <c r="B24" s="2801">
        <f>B181</f>
        <v>0</v>
      </c>
      <c r="C24" s="2802"/>
      <c r="D24" s="2803"/>
      <c r="E24" s="2751">
        <f>E181</f>
        <v>0</v>
      </c>
      <c r="F24" s="2752"/>
      <c r="G24" s="2753"/>
      <c r="H24" s="2754"/>
      <c r="I24" s="2755"/>
      <c r="J24" s="1414">
        <f>J181</f>
        <v>0</v>
      </c>
      <c r="K24" s="2762" t="str">
        <f t="shared" si="0"/>
        <v/>
      </c>
      <c r="L24" s="2763"/>
      <c r="M24" s="1452">
        <f>M181</f>
        <v>0</v>
      </c>
      <c r="N24" s="1297"/>
      <c r="O24" s="1294"/>
      <c r="P24" s="1294"/>
      <c r="Q24" s="1294"/>
      <c r="R24" s="287"/>
      <c r="S24" s="280"/>
      <c r="T24" s="280"/>
      <c r="U24" s="280"/>
      <c r="V24" s="280"/>
      <c r="W24" s="280"/>
      <c r="X24" s="280"/>
      <c r="Y24" s="280"/>
      <c r="Z24" s="284"/>
      <c r="AA24" s="284"/>
      <c r="AB24" s="284"/>
      <c r="AC24" s="284"/>
      <c r="AD24" s="284"/>
      <c r="AE24" s="284"/>
      <c r="AF24" s="447"/>
      <c r="AG24" s="447"/>
      <c r="AH24" s="447"/>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row>
    <row r="25" spans="1:67" s="88" customFormat="1" ht="12.1" customHeight="1" x14ac:dyDescent="0.2">
      <c r="A25" s="1013" t="str">
        <f>A196</f>
        <v>11. Metallbauarbeiten</v>
      </c>
      <c r="B25" s="2801">
        <f>B196</f>
        <v>0</v>
      </c>
      <c r="C25" s="2802"/>
      <c r="D25" s="2803"/>
      <c r="E25" s="2751">
        <f>E196</f>
        <v>0</v>
      </c>
      <c r="F25" s="2752"/>
      <c r="G25" s="2753"/>
      <c r="H25" s="2754"/>
      <c r="I25" s="2755"/>
      <c r="J25" s="1414">
        <f>J196</f>
        <v>0</v>
      </c>
      <c r="K25" s="2762" t="str">
        <f t="shared" si="0"/>
        <v/>
      </c>
      <c r="L25" s="2763"/>
      <c r="M25" s="1452">
        <f>M196</f>
        <v>0</v>
      </c>
      <c r="N25" s="1297"/>
      <c r="O25" s="1294"/>
      <c r="P25" s="1294"/>
      <c r="Q25" s="1294"/>
      <c r="R25" s="287"/>
      <c r="S25" s="280"/>
      <c r="T25" s="280"/>
      <c r="U25" s="280"/>
      <c r="V25" s="280"/>
      <c r="W25" s="280"/>
      <c r="X25" s="280"/>
      <c r="Y25" s="280"/>
      <c r="Z25" s="284"/>
      <c r="AA25" s="284"/>
      <c r="AB25" s="284"/>
      <c r="AC25" s="284"/>
      <c r="AD25" s="284"/>
      <c r="AE25" s="284"/>
      <c r="AF25" s="447"/>
      <c r="AG25" s="447"/>
      <c r="AH25" s="447"/>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row>
    <row r="26" spans="1:67" s="88" customFormat="1" ht="12.1" customHeight="1" x14ac:dyDescent="0.2">
      <c r="A26" s="1013" t="str">
        <f>A211</f>
        <v>12. Bauliches Zentrale</v>
      </c>
      <c r="B26" s="2801">
        <f>B211</f>
        <v>0</v>
      </c>
      <c r="C26" s="2802"/>
      <c r="D26" s="2803"/>
      <c r="E26" s="2751">
        <f>E211</f>
        <v>0</v>
      </c>
      <c r="F26" s="2752"/>
      <c r="G26" s="2753"/>
      <c r="H26" s="2754"/>
      <c r="I26" s="2755"/>
      <c r="J26" s="1414">
        <f>J211</f>
        <v>0</v>
      </c>
      <c r="K26" s="2762" t="str">
        <f t="shared" si="0"/>
        <v/>
      </c>
      <c r="L26" s="2763"/>
      <c r="M26" s="1452">
        <f>M211</f>
        <v>0</v>
      </c>
      <c r="N26" s="1297"/>
      <c r="O26" s="1294"/>
      <c r="P26" s="1294"/>
      <c r="Q26" s="1294"/>
      <c r="R26" s="287"/>
      <c r="S26" s="280"/>
      <c r="T26" s="280"/>
      <c r="U26" s="280"/>
      <c r="V26" s="280"/>
      <c r="W26" s="280"/>
      <c r="X26" s="280"/>
      <c r="Y26" s="280"/>
      <c r="Z26" s="284"/>
      <c r="AA26" s="284"/>
      <c r="AB26" s="284"/>
      <c r="AC26" s="284"/>
      <c r="AD26" s="284"/>
      <c r="AE26" s="284"/>
      <c r="AF26" s="447"/>
      <c r="AG26" s="447"/>
      <c r="AH26" s="447"/>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row>
    <row r="27" spans="1:67" s="88" customFormat="1" ht="12.1" customHeight="1" x14ac:dyDescent="0.2">
      <c r="A27" s="1013" t="str">
        <f>A226</f>
        <v>13. Wärmeverbund Baumeister</v>
      </c>
      <c r="B27" s="2801">
        <f>B226</f>
        <v>0</v>
      </c>
      <c r="C27" s="2802"/>
      <c r="D27" s="2803"/>
      <c r="E27" s="2751">
        <f>E226</f>
        <v>0</v>
      </c>
      <c r="F27" s="2752"/>
      <c r="G27" s="2753"/>
      <c r="H27" s="2754"/>
      <c r="I27" s="2755"/>
      <c r="J27" s="1414">
        <f>J226</f>
        <v>0</v>
      </c>
      <c r="K27" s="2762" t="str">
        <f t="shared" si="0"/>
        <v/>
      </c>
      <c r="L27" s="2763"/>
      <c r="M27" s="1452">
        <f>M226</f>
        <v>0</v>
      </c>
      <c r="N27" s="1297"/>
      <c r="O27" s="1294"/>
      <c r="P27" s="1294"/>
      <c r="Q27" s="1294"/>
      <c r="R27" s="287"/>
      <c r="S27" s="280"/>
      <c r="T27" s="280"/>
      <c r="U27" s="280"/>
      <c r="V27" s="280"/>
      <c r="W27" s="280"/>
      <c r="X27" s="280"/>
      <c r="Y27" s="280"/>
      <c r="Z27" s="284"/>
      <c r="AA27" s="284"/>
      <c r="AB27" s="284"/>
      <c r="AC27" s="284"/>
      <c r="AD27" s="284"/>
      <c r="AE27" s="284"/>
      <c r="AF27" s="447"/>
      <c r="AG27" s="447"/>
      <c r="AH27" s="447"/>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row>
    <row r="28" spans="1:67" s="88" customFormat="1" ht="12.1" customHeight="1" x14ac:dyDescent="0.2">
      <c r="A28" s="1013" t="str">
        <f>A241</f>
        <v>14. Wärmeverbund Leitungen</v>
      </c>
      <c r="B28" s="2801">
        <f>B241</f>
        <v>0</v>
      </c>
      <c r="C28" s="2802"/>
      <c r="D28" s="2803"/>
      <c r="E28" s="2751">
        <f>E241</f>
        <v>0</v>
      </c>
      <c r="F28" s="2752"/>
      <c r="G28" s="2753"/>
      <c r="H28" s="2754"/>
      <c r="I28" s="2755"/>
      <c r="J28" s="1414">
        <f>J241</f>
        <v>0</v>
      </c>
      <c r="K28" s="2762" t="str">
        <f t="shared" si="0"/>
        <v/>
      </c>
      <c r="L28" s="2763"/>
      <c r="M28" s="1452">
        <f>M241</f>
        <v>0</v>
      </c>
      <c r="N28" s="1297"/>
      <c r="O28" s="1294"/>
      <c r="P28" s="1294"/>
      <c r="Q28" s="1294"/>
      <c r="R28" s="287"/>
      <c r="S28" s="280"/>
      <c r="T28" s="280"/>
      <c r="U28" s="280"/>
      <c r="V28" s="280"/>
      <c r="W28" s="280"/>
      <c r="X28" s="280"/>
      <c r="Y28" s="280"/>
      <c r="Z28" s="284"/>
      <c r="AA28" s="284"/>
      <c r="AB28" s="284"/>
      <c r="AC28" s="284"/>
      <c r="AD28" s="284"/>
      <c r="AE28" s="284"/>
      <c r="AF28" s="447"/>
      <c r="AG28" s="447"/>
      <c r="AH28" s="447"/>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row>
    <row r="29" spans="1:67" s="88" customFormat="1" ht="12.1" customHeight="1" x14ac:dyDescent="0.2">
      <c r="A29" s="1013" t="str">
        <f>A256</f>
        <v>15. MSRL</v>
      </c>
      <c r="B29" s="2801">
        <f>B256</f>
        <v>0</v>
      </c>
      <c r="C29" s="2802"/>
      <c r="D29" s="2803"/>
      <c r="E29" s="2751">
        <f>E256</f>
        <v>0</v>
      </c>
      <c r="F29" s="2752"/>
      <c r="G29" s="2753"/>
      <c r="H29" s="2754"/>
      <c r="I29" s="2755"/>
      <c r="J29" s="1414">
        <f>J256</f>
        <v>0</v>
      </c>
      <c r="K29" s="2762" t="str">
        <f t="shared" si="0"/>
        <v/>
      </c>
      <c r="L29" s="2763"/>
      <c r="M29" s="1452">
        <f>M256</f>
        <v>0</v>
      </c>
      <c r="N29" s="1297"/>
      <c r="O29" s="1294"/>
      <c r="P29" s="1294"/>
      <c r="Q29" s="1294"/>
      <c r="R29" s="287"/>
      <c r="S29" s="280"/>
      <c r="T29" s="280"/>
      <c r="U29" s="280"/>
      <c r="V29" s="280"/>
      <c r="W29" s="280"/>
      <c r="X29" s="280"/>
      <c r="Y29" s="280"/>
      <c r="Z29" s="284"/>
      <c r="AA29" s="284"/>
      <c r="AB29" s="284"/>
      <c r="AC29" s="284"/>
      <c r="AD29" s="284"/>
      <c r="AE29" s="284"/>
      <c r="AF29" s="447"/>
      <c r="AG29" s="447"/>
      <c r="AH29" s="447"/>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row>
    <row r="30" spans="1:67" s="88" customFormat="1" ht="12.1" customHeight="1" x14ac:dyDescent="0.2">
      <c r="A30" s="1013" t="str">
        <f>A271</f>
        <v>16. Elektro</v>
      </c>
      <c r="B30" s="2801">
        <f>B271</f>
        <v>0</v>
      </c>
      <c r="C30" s="2802"/>
      <c r="D30" s="2803"/>
      <c r="E30" s="2751">
        <f>E271</f>
        <v>0</v>
      </c>
      <c r="F30" s="2752"/>
      <c r="G30" s="2753"/>
      <c r="H30" s="2754"/>
      <c r="I30" s="2755"/>
      <c r="J30" s="1414">
        <f>J271</f>
        <v>0</v>
      </c>
      <c r="K30" s="2762" t="str">
        <f t="shared" si="0"/>
        <v/>
      </c>
      <c r="L30" s="2763"/>
      <c r="M30" s="1452">
        <f>M271</f>
        <v>0</v>
      </c>
      <c r="N30" s="1297"/>
      <c r="O30" s="1294"/>
      <c r="P30" s="1294"/>
      <c r="Q30" s="1294"/>
      <c r="R30" s="287"/>
      <c r="S30" s="280"/>
      <c r="T30" s="280"/>
      <c r="U30" s="280"/>
      <c r="V30" s="280"/>
      <c r="W30" s="280"/>
      <c r="X30" s="280"/>
      <c r="Y30" s="280"/>
      <c r="Z30" s="284"/>
      <c r="AA30" s="284"/>
      <c r="AB30" s="284"/>
      <c r="AC30" s="284"/>
      <c r="AD30" s="284"/>
      <c r="AE30" s="284"/>
      <c r="AF30" s="447"/>
      <c r="AG30" s="447"/>
      <c r="AH30" s="447"/>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row>
    <row r="31" spans="1:67" s="88" customFormat="1" ht="12.1" customHeight="1" x14ac:dyDescent="0.2">
      <c r="A31" s="1013" t="str">
        <f>+A286</f>
        <v>17. Baumeister</v>
      </c>
      <c r="B31" s="2801">
        <f>+B286</f>
        <v>0</v>
      </c>
      <c r="C31" s="2802"/>
      <c r="D31" s="2803"/>
      <c r="E31" s="2751">
        <f>+E286</f>
        <v>0</v>
      </c>
      <c r="F31" s="2752"/>
      <c r="G31" s="2753"/>
      <c r="H31" s="2754"/>
      <c r="I31" s="2755"/>
      <c r="J31" s="1414">
        <f>+J286</f>
        <v>0</v>
      </c>
      <c r="K31" s="2762" t="str">
        <f t="shared" si="0"/>
        <v/>
      </c>
      <c r="L31" s="2763"/>
      <c r="M31" s="1452">
        <f>+M286</f>
        <v>0</v>
      </c>
      <c r="N31" s="1297"/>
      <c r="O31" s="1294"/>
      <c r="P31" s="1294"/>
      <c r="Q31" s="1294"/>
      <c r="R31" s="287"/>
      <c r="S31" s="280"/>
      <c r="T31" s="280"/>
      <c r="U31" s="280"/>
      <c r="V31" s="280"/>
      <c r="W31" s="280"/>
      <c r="X31" s="280"/>
      <c r="Y31" s="280"/>
      <c r="Z31" s="284"/>
      <c r="AA31" s="284"/>
      <c r="AB31" s="284"/>
      <c r="AC31" s="284"/>
      <c r="AD31" s="284"/>
      <c r="AE31" s="284"/>
      <c r="AF31" s="447"/>
      <c r="AG31" s="447"/>
      <c r="AH31" s="447"/>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row>
    <row r="32" spans="1:67" s="88" customFormat="1" ht="12.1" customHeight="1" x14ac:dyDescent="0.2">
      <c r="A32" s="1013" t="str">
        <f>A301</f>
        <v>18. Weiteres (ohne Baumeister)</v>
      </c>
      <c r="B32" s="2801">
        <f>B301</f>
        <v>0</v>
      </c>
      <c r="C32" s="2802"/>
      <c r="D32" s="2803"/>
      <c r="E32" s="2751">
        <f>E301</f>
        <v>0</v>
      </c>
      <c r="F32" s="2752"/>
      <c r="G32" s="2753"/>
      <c r="H32" s="2754"/>
      <c r="I32" s="2755"/>
      <c r="J32" s="1414">
        <f>J301</f>
        <v>0</v>
      </c>
      <c r="K32" s="2762" t="str">
        <f t="shared" si="0"/>
        <v/>
      </c>
      <c r="L32" s="2763"/>
      <c r="M32" s="1452">
        <f>M301</f>
        <v>0</v>
      </c>
      <c r="N32" s="1297"/>
      <c r="O32" s="1294"/>
      <c r="P32" s="1294"/>
      <c r="Q32" s="1294"/>
      <c r="R32" s="287"/>
      <c r="S32" s="280"/>
      <c r="T32" s="280"/>
      <c r="U32" s="280"/>
      <c r="V32" s="280"/>
      <c r="W32" s="280"/>
      <c r="X32" s="280"/>
      <c r="Y32" s="280"/>
      <c r="Z32" s="284"/>
      <c r="AA32" s="284"/>
      <c r="AB32" s="284"/>
      <c r="AC32" s="284"/>
      <c r="AD32" s="284"/>
      <c r="AE32" s="284"/>
      <c r="AF32" s="447"/>
      <c r="AG32" s="447"/>
      <c r="AH32" s="447"/>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row>
    <row r="33" spans="1:68" s="88" customFormat="1" ht="12.1" customHeight="1" x14ac:dyDescent="0.2">
      <c r="A33" s="1013" t="str">
        <f>A316</f>
        <v>19. Baunebenkosten</v>
      </c>
      <c r="B33" s="2801">
        <f>B316</f>
        <v>0</v>
      </c>
      <c r="C33" s="2802"/>
      <c r="D33" s="2803"/>
      <c r="E33" s="2751">
        <f>E316</f>
        <v>0</v>
      </c>
      <c r="F33" s="2752"/>
      <c r="G33" s="2753"/>
      <c r="H33" s="2754"/>
      <c r="I33" s="2755"/>
      <c r="J33" s="1414">
        <f>J316</f>
        <v>0</v>
      </c>
      <c r="K33" s="2762" t="str">
        <f t="shared" si="0"/>
        <v/>
      </c>
      <c r="L33" s="2763"/>
      <c r="M33" s="1452">
        <f>M316</f>
        <v>0</v>
      </c>
      <c r="N33" s="1297"/>
      <c r="O33" s="1294"/>
      <c r="P33" s="1294"/>
      <c r="Q33" s="1294"/>
      <c r="R33" s="287"/>
      <c r="S33" s="280"/>
      <c r="T33" s="280"/>
      <c r="U33" s="280"/>
      <c r="V33" s="280"/>
      <c r="W33" s="280"/>
      <c r="X33" s="280"/>
      <c r="Y33" s="280"/>
      <c r="Z33" s="284"/>
      <c r="AA33" s="284"/>
      <c r="AB33" s="284"/>
      <c r="AC33" s="284"/>
      <c r="AD33" s="284"/>
      <c r="AE33" s="284"/>
      <c r="AF33" s="447"/>
      <c r="AG33" s="447"/>
      <c r="AH33" s="447"/>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row>
    <row r="34" spans="1:68" s="88" customFormat="1" ht="12.1" customHeight="1" x14ac:dyDescent="0.2">
      <c r="A34" s="1013" t="str">
        <f>A331</f>
        <v>20. Unvorhergesehenes</v>
      </c>
      <c r="B34" s="2801">
        <f>B331</f>
        <v>0</v>
      </c>
      <c r="C34" s="2802"/>
      <c r="D34" s="2803"/>
      <c r="E34" s="2751">
        <f>E331</f>
        <v>0</v>
      </c>
      <c r="F34" s="2752"/>
      <c r="G34" s="2753"/>
      <c r="H34" s="2754"/>
      <c r="I34" s="2755"/>
      <c r="J34" s="1414">
        <f>J331</f>
        <v>0</v>
      </c>
      <c r="K34" s="2762" t="str">
        <f t="shared" si="0"/>
        <v/>
      </c>
      <c r="L34" s="2763"/>
      <c r="M34" s="1452">
        <f>M331</f>
        <v>0</v>
      </c>
      <c r="N34" s="1297"/>
      <c r="O34" s="1294"/>
      <c r="P34" s="1294"/>
      <c r="Q34" s="1294"/>
      <c r="R34" s="287"/>
      <c r="S34" s="280"/>
      <c r="T34" s="280"/>
      <c r="U34" s="280"/>
      <c r="V34" s="280"/>
      <c r="W34" s="280"/>
      <c r="X34" s="280"/>
      <c r="Y34" s="280"/>
      <c r="Z34" s="284"/>
      <c r="AA34" s="284"/>
      <c r="AB34" s="284"/>
      <c r="AC34" s="284"/>
      <c r="AD34" s="284"/>
      <c r="AE34" s="284"/>
      <c r="AF34" s="447"/>
      <c r="AG34" s="447"/>
      <c r="AH34" s="447"/>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row>
    <row r="35" spans="1:68" s="88" customFormat="1" ht="12.1" customHeight="1" x14ac:dyDescent="0.2">
      <c r="A35" s="1013" t="str">
        <f>A347</f>
        <v>21. Honorare / Nebenkosten</v>
      </c>
      <c r="B35" s="2801">
        <f>B347</f>
        <v>0</v>
      </c>
      <c r="C35" s="2802"/>
      <c r="D35" s="2803"/>
      <c r="E35" s="2751">
        <f>E347</f>
        <v>0</v>
      </c>
      <c r="F35" s="2752"/>
      <c r="G35" s="2753"/>
      <c r="H35" s="2754"/>
      <c r="I35" s="2755"/>
      <c r="J35" s="1414">
        <f>J347</f>
        <v>0</v>
      </c>
      <c r="K35" s="2762" t="str">
        <f t="shared" si="0"/>
        <v/>
      </c>
      <c r="L35" s="2763"/>
      <c r="M35" s="1452">
        <f>M347</f>
        <v>0</v>
      </c>
      <c r="N35" s="1297"/>
      <c r="O35" s="1294"/>
      <c r="P35" s="1294"/>
      <c r="Q35" s="1294"/>
      <c r="R35" s="287"/>
      <c r="S35" s="280"/>
      <c r="T35" s="280"/>
      <c r="U35" s="280"/>
      <c r="V35" s="280"/>
      <c r="W35" s="280"/>
      <c r="X35" s="280"/>
      <c r="Y35" s="280"/>
      <c r="Z35" s="284"/>
      <c r="AA35" s="284"/>
      <c r="AB35" s="284"/>
      <c r="AC35" s="284"/>
      <c r="AD35" s="284"/>
      <c r="AE35" s="284"/>
      <c r="AF35" s="447"/>
      <c r="AG35" s="447"/>
      <c r="AH35" s="447"/>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row>
    <row r="36" spans="1:68" s="88" customFormat="1" ht="12.1" customHeight="1" x14ac:dyDescent="0.2">
      <c r="A36" s="1085" t="str">
        <f>A408</f>
        <v>22. Betriebsführung</v>
      </c>
      <c r="B36" s="2804">
        <f>B408</f>
        <v>0</v>
      </c>
      <c r="C36" s="2805"/>
      <c r="D36" s="2806"/>
      <c r="E36" s="2793">
        <f>E408</f>
        <v>0</v>
      </c>
      <c r="F36" s="2794"/>
      <c r="G36" s="2771"/>
      <c r="H36" s="2772"/>
      <c r="I36" s="2773"/>
      <c r="J36" s="1415">
        <f>J408</f>
        <v>0</v>
      </c>
      <c r="K36" s="2797" t="str">
        <f t="shared" si="0"/>
        <v/>
      </c>
      <c r="L36" s="2798"/>
      <c r="M36" s="1453">
        <f>M408</f>
        <v>0</v>
      </c>
      <c r="N36" s="1297"/>
      <c r="O36" s="1294"/>
      <c r="P36" s="1294"/>
      <c r="Q36" s="1294"/>
      <c r="R36" s="287"/>
      <c r="S36" s="280"/>
      <c r="T36" s="280"/>
      <c r="U36" s="280"/>
      <c r="V36" s="280"/>
      <c r="W36" s="280"/>
      <c r="X36" s="280"/>
      <c r="Y36" s="280"/>
      <c r="Z36" s="284"/>
      <c r="AA36" s="284"/>
      <c r="AB36" s="284"/>
      <c r="AC36" s="284"/>
      <c r="AD36" s="284"/>
      <c r="AE36" s="284"/>
      <c r="AF36" s="447"/>
      <c r="AG36" s="447"/>
      <c r="AH36" s="447"/>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row>
    <row r="37" spans="1:68" s="93" customFormat="1" ht="14.1" customHeight="1" thickBot="1" x14ac:dyDescent="0.3">
      <c r="A37" s="1305" t="s">
        <v>599</v>
      </c>
      <c r="B37" s="1319"/>
      <c r="C37" s="1320"/>
      <c r="D37" s="1321"/>
      <c r="E37" s="2795">
        <f>E414</f>
        <v>0</v>
      </c>
      <c r="F37" s="2796"/>
      <c r="G37" s="2766"/>
      <c r="H37" s="2767"/>
      <c r="I37" s="2768"/>
      <c r="J37" s="1416">
        <f>J414</f>
        <v>0</v>
      </c>
      <c r="K37" s="2769" t="str">
        <f t="shared" si="0"/>
        <v/>
      </c>
      <c r="L37" s="2770"/>
      <c r="M37" s="1454">
        <f>M414</f>
        <v>0</v>
      </c>
      <c r="N37" s="868"/>
      <c r="O37" s="152"/>
      <c r="P37" s="152"/>
      <c r="Q37" s="152"/>
      <c r="R37" s="1316"/>
      <c r="S37" s="281"/>
      <c r="T37" s="281"/>
      <c r="U37" s="281"/>
      <c r="V37" s="281"/>
      <c r="W37" s="281"/>
      <c r="X37" s="281"/>
      <c r="Y37" s="281"/>
      <c r="Z37" s="1317"/>
      <c r="AA37" s="1317"/>
      <c r="AB37" s="1317"/>
      <c r="AC37" s="1317"/>
      <c r="AD37" s="1317"/>
      <c r="AE37" s="1317"/>
      <c r="AF37" s="1318"/>
      <c r="AG37" s="1318"/>
      <c r="AH37" s="1318"/>
    </row>
    <row r="38" spans="1:68" s="104" customFormat="1" ht="10.55" customHeight="1" x14ac:dyDescent="0.3">
      <c r="A38" s="105"/>
      <c r="G38" s="31" t="s">
        <v>12</v>
      </c>
      <c r="H38" s="31"/>
      <c r="I38" s="84"/>
      <c r="J38" s="84"/>
      <c r="K38" s="84"/>
      <c r="L38" s="84"/>
      <c r="M38" s="84"/>
      <c r="N38" s="84"/>
      <c r="O38" s="1294"/>
      <c r="P38" s="1294"/>
      <c r="Q38" s="1294"/>
      <c r="R38" s="281"/>
      <c r="S38" s="272"/>
      <c r="T38" s="271"/>
      <c r="U38" s="271"/>
      <c r="V38" s="271"/>
      <c r="W38" s="271"/>
      <c r="X38" s="271"/>
      <c r="Y38" s="271"/>
      <c r="Z38" s="271"/>
      <c r="AA38" s="270"/>
      <c r="AB38" s="270"/>
      <c r="AC38" s="270"/>
      <c r="AD38" s="270"/>
      <c r="AE38" s="270"/>
      <c r="AF38" s="270"/>
      <c r="AG38" s="380"/>
      <c r="AH38" s="380"/>
      <c r="AI38" s="380"/>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row>
    <row r="39" spans="1:68" ht="17.350000000000001" customHeight="1" x14ac:dyDescent="0.25">
      <c r="A39" s="1108" t="s">
        <v>736</v>
      </c>
      <c r="H39" s="317"/>
      <c r="I39" s="318"/>
      <c r="J39" s="1124"/>
      <c r="K39" s="103"/>
      <c r="L39" s="103"/>
      <c r="M39" s="103"/>
      <c r="N39" s="103"/>
      <c r="O39" s="103"/>
      <c r="P39" s="282"/>
      <c r="Q39" s="271"/>
      <c r="R39" s="283"/>
      <c r="S39" s="272"/>
      <c r="T39" s="271"/>
      <c r="U39" s="271"/>
      <c r="V39" s="271"/>
      <c r="W39" s="271"/>
      <c r="X39" s="271"/>
      <c r="Y39" s="271"/>
      <c r="Z39" s="271"/>
    </row>
    <row r="40" spans="1:68" ht="2.25" customHeight="1" thickBot="1" x14ac:dyDescent="0.25">
      <c r="N40" s="1111"/>
      <c r="Q40" s="271"/>
      <c r="R40" s="271"/>
      <c r="S40" s="272"/>
      <c r="T40" s="271"/>
      <c r="U40" s="271"/>
      <c r="V40" s="271"/>
      <c r="W40" s="271"/>
      <c r="X40" s="271"/>
      <c r="Y40" s="271"/>
      <c r="Z40" s="271"/>
    </row>
    <row r="41" spans="1:68" s="382" customFormat="1" ht="11.25" customHeight="1" x14ac:dyDescent="0.2">
      <c r="A41" s="388" t="s">
        <v>318</v>
      </c>
      <c r="B41" s="1113" t="s">
        <v>319</v>
      </c>
      <c r="C41" s="1114"/>
      <c r="D41" s="1114"/>
      <c r="E41" s="2482" t="s">
        <v>651</v>
      </c>
      <c r="F41" s="2483"/>
      <c r="G41" s="2482" t="s">
        <v>653</v>
      </c>
      <c r="H41" s="2483"/>
      <c r="I41" s="2714" t="s">
        <v>654</v>
      </c>
      <c r="J41" s="2714" t="s">
        <v>730</v>
      </c>
      <c r="K41" s="2756" t="s">
        <v>743</v>
      </c>
      <c r="L41" s="2757"/>
      <c r="M41" s="2758"/>
      <c r="N41" s="1111"/>
      <c r="O41" s="383" t="s">
        <v>451</v>
      </c>
      <c r="P41" s="681"/>
      <c r="Q41" s="285"/>
      <c r="R41" s="285"/>
      <c r="S41" s="280"/>
      <c r="T41" s="271"/>
      <c r="U41" s="271"/>
      <c r="V41" s="271"/>
      <c r="W41" s="271"/>
      <c r="X41" s="271"/>
      <c r="Y41" s="271"/>
      <c r="Z41" s="270"/>
      <c r="AA41" s="270"/>
      <c r="AB41" s="270"/>
      <c r="AC41" s="270"/>
      <c r="AD41" s="270"/>
      <c r="AE41" s="270"/>
      <c r="AF41" s="380"/>
      <c r="AG41" s="380"/>
      <c r="AH41" s="380"/>
      <c r="AI41" s="381"/>
      <c r="AJ41" s="381"/>
    </row>
    <row r="42" spans="1:68" s="382" customFormat="1" ht="11.25" customHeight="1" x14ac:dyDescent="0.2">
      <c r="A42" s="389"/>
      <c r="B42" s="691"/>
      <c r="C42" s="555"/>
      <c r="D42" s="555"/>
      <c r="E42" s="2484"/>
      <c r="F42" s="2485"/>
      <c r="G42" s="2484"/>
      <c r="H42" s="2485"/>
      <c r="I42" s="2715"/>
      <c r="J42" s="2715"/>
      <c r="K42" s="2759"/>
      <c r="L42" s="2760"/>
      <c r="M42" s="2761"/>
      <c r="N42" s="1111"/>
      <c r="O42" s="384" t="s">
        <v>755</v>
      </c>
      <c r="P42" s="681"/>
      <c r="Q42" s="285"/>
      <c r="R42" s="285"/>
      <c r="S42" s="280"/>
      <c r="T42" s="271"/>
      <c r="U42" s="271"/>
      <c r="V42" s="271"/>
      <c r="W42" s="271"/>
      <c r="X42" s="271"/>
      <c r="Y42" s="271"/>
      <c r="Z42" s="270"/>
      <c r="AA42" s="270"/>
      <c r="AB42" s="270"/>
      <c r="AC42" s="270"/>
      <c r="AD42" s="270"/>
      <c r="AE42" s="270"/>
      <c r="AF42" s="380"/>
      <c r="AG42" s="380"/>
      <c r="AH42" s="380"/>
      <c r="AI42" s="381"/>
      <c r="AJ42" s="381"/>
    </row>
    <row r="43" spans="1:68" s="382" customFormat="1" ht="11.25" customHeight="1" x14ac:dyDescent="0.2">
      <c r="A43" s="389"/>
      <c r="B43" s="692"/>
      <c r="C43" s="92"/>
      <c r="D43" s="92"/>
      <c r="E43" s="2609" t="s">
        <v>652</v>
      </c>
      <c r="F43" s="2613"/>
      <c r="G43" s="2528" t="s">
        <v>29</v>
      </c>
      <c r="H43" s="2711"/>
      <c r="I43" s="2780"/>
      <c r="J43" s="693" t="s">
        <v>655</v>
      </c>
      <c r="K43" s="2609" t="s">
        <v>677</v>
      </c>
      <c r="L43" s="2613"/>
      <c r="M43" s="392" t="s">
        <v>655</v>
      </c>
      <c r="N43" s="1111"/>
      <c r="O43" s="385" t="s">
        <v>29</v>
      </c>
      <c r="P43" s="681"/>
      <c r="Q43" s="285"/>
      <c r="R43" s="285"/>
      <c r="S43" s="280"/>
      <c r="T43" s="271"/>
      <c r="U43" s="271"/>
      <c r="V43" s="271"/>
      <c r="W43" s="271"/>
      <c r="X43" s="271"/>
      <c r="Y43" s="271"/>
      <c r="Z43" s="270"/>
      <c r="AA43" s="270"/>
      <c r="AB43" s="270"/>
      <c r="AC43" s="270"/>
      <c r="AD43" s="270"/>
      <c r="AE43" s="270"/>
      <c r="AF43" s="380"/>
      <c r="AG43" s="380"/>
      <c r="AH43" s="380"/>
      <c r="AI43" s="381"/>
      <c r="AJ43" s="381"/>
    </row>
    <row r="44" spans="1:68" s="88" customFormat="1" ht="10.55" customHeight="1" x14ac:dyDescent="0.2">
      <c r="A44" s="1122" t="s">
        <v>320</v>
      </c>
      <c r="B44" s="2783"/>
      <c r="C44" s="2784"/>
      <c r="D44" s="2785"/>
      <c r="E44" s="2786">
        <f>SUM(E45:E57)</f>
        <v>0</v>
      </c>
      <c r="F44" s="2787"/>
      <c r="G44" s="2788"/>
      <c r="H44" s="2789"/>
      <c r="I44" s="1435">
        <f>IF(E44=0,0,J44/E44)</f>
        <v>0</v>
      </c>
      <c r="J44" s="1411">
        <f>SUM(J45:J57)</f>
        <v>0</v>
      </c>
      <c r="K44" s="2749">
        <f>IF(E44=0,0,M44/E44*100)</f>
        <v>0</v>
      </c>
      <c r="L44" s="2750"/>
      <c r="M44" s="1412">
        <f>SUM(M45:M57)</f>
        <v>0</v>
      </c>
      <c r="N44" s="1111"/>
      <c r="O44" s="386">
        <f t="shared" ref="O44:O58" si="1">IF(ISBLANK(H44),G44,H44)</f>
        <v>0</v>
      </c>
      <c r="P44" s="682"/>
      <c r="Q44" s="286"/>
      <c r="R44" s="287"/>
      <c r="S44" s="280"/>
      <c r="T44" s="280"/>
      <c r="U44" s="280"/>
      <c r="V44" s="280"/>
      <c r="W44" s="280"/>
      <c r="X44" s="280"/>
      <c r="Y44" s="280"/>
      <c r="Z44" s="284"/>
      <c r="AA44" s="284"/>
      <c r="AB44" s="284"/>
      <c r="AC44" s="284"/>
      <c r="AD44" s="284"/>
      <c r="AE44" s="284"/>
      <c r="AF44" s="447"/>
      <c r="AG44" s="447"/>
      <c r="AH44" s="447"/>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row>
    <row r="45" spans="1:68" s="88" customFormat="1" ht="10.55" customHeight="1" x14ac:dyDescent="0.2">
      <c r="A45" s="1013" t="s">
        <v>321</v>
      </c>
      <c r="B45" s="2790"/>
      <c r="C45" s="2791"/>
      <c r="D45" s="2792"/>
      <c r="E45" s="2734"/>
      <c r="F45" s="2735"/>
      <c r="G45" s="1785">
        <v>30</v>
      </c>
      <c r="H45" s="524"/>
      <c r="I45" s="1409">
        <f t="shared" ref="I45:I58" si="2">IF($O45&gt;0,-PMT(($I$9),$O45,1),0)</f>
        <v>4.7777640736176463E-2</v>
      </c>
      <c r="J45" s="1421">
        <f t="shared" ref="J45:J57" si="3">ROUND(E45*I45,0)</f>
        <v>0</v>
      </c>
      <c r="K45" s="678">
        <v>1.5</v>
      </c>
      <c r="L45" s="1002"/>
      <c r="M45" s="1428">
        <f t="shared" ref="M45:M58" si="4">ROUND(E45/100*IF(ISBLANK(L45),K45,L45),0)</f>
        <v>0</v>
      </c>
      <c r="N45" s="1111"/>
      <c r="O45" s="674">
        <f t="shared" si="1"/>
        <v>30</v>
      </c>
      <c r="P45" s="682"/>
      <c r="Q45" s="286"/>
      <c r="R45" s="287"/>
      <c r="S45" s="280"/>
      <c r="T45" s="280"/>
      <c r="U45" s="280"/>
      <c r="V45" s="280"/>
      <c r="W45" s="280"/>
      <c r="X45" s="280"/>
      <c r="Y45" s="280"/>
      <c r="Z45" s="284"/>
      <c r="AA45" s="284"/>
      <c r="AB45" s="284"/>
      <c r="AC45" s="284"/>
      <c r="AD45" s="284"/>
      <c r="AE45" s="284"/>
      <c r="AF45" s="447"/>
      <c r="AG45" s="447"/>
      <c r="AH45" s="447"/>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row>
    <row r="46" spans="1:68" s="88" customFormat="1" ht="10.55" customHeight="1" x14ac:dyDescent="0.2">
      <c r="A46" s="1013" t="s">
        <v>322</v>
      </c>
      <c r="B46" s="2807"/>
      <c r="C46" s="2808"/>
      <c r="D46" s="2809"/>
      <c r="E46" s="2561"/>
      <c r="F46" s="2562"/>
      <c r="G46" s="1785">
        <v>30</v>
      </c>
      <c r="H46" s="524"/>
      <c r="I46" s="1409">
        <f t="shared" si="2"/>
        <v>4.7777640736176463E-2</v>
      </c>
      <c r="J46" s="1421">
        <f t="shared" si="3"/>
        <v>0</v>
      </c>
      <c r="K46" s="678">
        <v>2</v>
      </c>
      <c r="L46" s="1002"/>
      <c r="M46" s="1428">
        <f t="shared" si="4"/>
        <v>0</v>
      </c>
      <c r="N46" s="1111"/>
      <c r="O46" s="674">
        <f t="shared" si="1"/>
        <v>30</v>
      </c>
      <c r="P46" s="682"/>
      <c r="Q46" s="286"/>
      <c r="R46" s="287"/>
      <c r="S46" s="280"/>
      <c r="T46" s="280"/>
      <c r="U46" s="280"/>
      <c r="V46" s="280"/>
      <c r="W46" s="280"/>
      <c r="X46" s="280"/>
      <c r="Y46" s="280"/>
      <c r="Z46" s="284"/>
      <c r="AA46" s="284"/>
      <c r="AB46" s="284"/>
      <c r="AC46" s="284"/>
      <c r="AD46" s="284"/>
      <c r="AE46" s="284"/>
      <c r="AF46" s="447"/>
      <c r="AG46" s="447"/>
      <c r="AH46" s="447"/>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row>
    <row r="47" spans="1:68" s="88" customFormat="1" ht="10.55" customHeight="1" x14ac:dyDescent="0.2">
      <c r="A47" s="1013" t="s">
        <v>455</v>
      </c>
      <c r="B47" s="2807"/>
      <c r="C47" s="2808"/>
      <c r="D47" s="2809"/>
      <c r="E47" s="2561"/>
      <c r="F47" s="2562"/>
      <c r="G47" s="1785">
        <v>30</v>
      </c>
      <c r="H47" s="524"/>
      <c r="I47" s="1409">
        <f t="shared" si="2"/>
        <v>4.7777640736176463E-2</v>
      </c>
      <c r="J47" s="1421">
        <f t="shared" si="3"/>
        <v>0</v>
      </c>
      <c r="K47" s="678">
        <v>2</v>
      </c>
      <c r="L47" s="1002"/>
      <c r="M47" s="1428">
        <f t="shared" si="4"/>
        <v>0</v>
      </c>
      <c r="N47" s="1111"/>
      <c r="O47" s="674">
        <f t="shared" si="1"/>
        <v>30</v>
      </c>
      <c r="P47" s="682"/>
      <c r="Q47" s="286"/>
      <c r="R47" s="287"/>
      <c r="S47" s="280"/>
      <c r="T47" s="280"/>
      <c r="U47" s="280"/>
      <c r="V47" s="280"/>
      <c r="W47" s="280"/>
      <c r="X47" s="280"/>
      <c r="Y47" s="280"/>
      <c r="Z47" s="284"/>
      <c r="AA47" s="284"/>
      <c r="AB47" s="284"/>
      <c r="AC47" s="284"/>
      <c r="AD47" s="284"/>
      <c r="AE47" s="284"/>
      <c r="AF47" s="447"/>
      <c r="AG47" s="447"/>
      <c r="AH47" s="447"/>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c r="BO47" s="382"/>
    </row>
    <row r="48" spans="1:68" s="88" customFormat="1" ht="10.55" customHeight="1" x14ac:dyDescent="0.2">
      <c r="A48" s="1013" t="s">
        <v>825</v>
      </c>
      <c r="B48" s="2807"/>
      <c r="C48" s="2808"/>
      <c r="D48" s="2809"/>
      <c r="E48" s="2561"/>
      <c r="F48" s="2562"/>
      <c r="G48" s="1785">
        <v>30</v>
      </c>
      <c r="H48" s="524"/>
      <c r="I48" s="1409">
        <f t="shared" si="2"/>
        <v>4.7777640736176463E-2</v>
      </c>
      <c r="J48" s="1421">
        <f t="shared" si="3"/>
        <v>0</v>
      </c>
      <c r="K48" s="678">
        <v>0.5</v>
      </c>
      <c r="L48" s="1002"/>
      <c r="M48" s="1428">
        <f t="shared" si="4"/>
        <v>0</v>
      </c>
      <c r="N48" s="1111"/>
      <c r="O48" s="674">
        <f t="shared" si="1"/>
        <v>30</v>
      </c>
      <c r="P48" s="682"/>
      <c r="Q48" s="286"/>
      <c r="R48" s="287"/>
      <c r="S48" s="280"/>
      <c r="T48" s="280"/>
      <c r="U48" s="280"/>
      <c r="V48" s="280"/>
      <c r="W48" s="280"/>
      <c r="X48" s="280"/>
      <c r="Y48" s="280"/>
      <c r="Z48" s="284"/>
      <c r="AA48" s="284"/>
      <c r="AB48" s="284"/>
      <c r="AC48" s="284"/>
      <c r="AD48" s="284"/>
      <c r="AE48" s="284"/>
      <c r="AF48" s="447"/>
      <c r="AG48" s="447"/>
      <c r="AH48" s="447"/>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c r="BO48" s="382"/>
    </row>
    <row r="49" spans="1:67" s="88" customFormat="1" ht="10.55" customHeight="1" x14ac:dyDescent="0.2">
      <c r="A49" s="1013" t="s">
        <v>456</v>
      </c>
      <c r="B49" s="2807"/>
      <c r="C49" s="2808"/>
      <c r="D49" s="2809"/>
      <c r="E49" s="2561"/>
      <c r="F49" s="2562"/>
      <c r="G49" s="1785">
        <v>30</v>
      </c>
      <c r="H49" s="524"/>
      <c r="I49" s="1409">
        <f t="shared" si="2"/>
        <v>4.7777640736176463E-2</v>
      </c>
      <c r="J49" s="1421">
        <f t="shared" si="3"/>
        <v>0</v>
      </c>
      <c r="K49" s="678">
        <v>0</v>
      </c>
      <c r="L49" s="1002"/>
      <c r="M49" s="1428">
        <f t="shared" si="4"/>
        <v>0</v>
      </c>
      <c r="N49" s="1111"/>
      <c r="O49" s="674">
        <f t="shared" si="1"/>
        <v>30</v>
      </c>
      <c r="P49" s="682"/>
      <c r="Q49" s="286"/>
      <c r="R49" s="287"/>
      <c r="S49" s="280"/>
      <c r="T49" s="280"/>
      <c r="U49" s="280"/>
      <c r="V49" s="280"/>
      <c r="W49" s="280"/>
      <c r="X49" s="280"/>
      <c r="Y49" s="280"/>
      <c r="Z49" s="284"/>
      <c r="AA49" s="284"/>
      <c r="AB49" s="284"/>
      <c r="AC49" s="284"/>
      <c r="AD49" s="284"/>
      <c r="AE49" s="284"/>
      <c r="AF49" s="447"/>
      <c r="AG49" s="447"/>
      <c r="AH49" s="447"/>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c r="BN49" s="382"/>
      <c r="BO49" s="382"/>
    </row>
    <row r="50" spans="1:67" s="88" customFormat="1" ht="10.55" customHeight="1" x14ac:dyDescent="0.2">
      <c r="A50" s="1013" t="s">
        <v>323</v>
      </c>
      <c r="B50" s="2807"/>
      <c r="C50" s="2808"/>
      <c r="D50" s="2809"/>
      <c r="E50" s="2561"/>
      <c r="F50" s="2562"/>
      <c r="G50" s="1785">
        <v>30</v>
      </c>
      <c r="H50" s="524"/>
      <c r="I50" s="1409">
        <f t="shared" si="2"/>
        <v>4.7777640736176463E-2</v>
      </c>
      <c r="J50" s="1421">
        <f t="shared" si="3"/>
        <v>0</v>
      </c>
      <c r="K50" s="678">
        <v>1.5</v>
      </c>
      <c r="L50" s="1002"/>
      <c r="M50" s="1428">
        <f t="shared" si="4"/>
        <v>0</v>
      </c>
      <c r="N50" s="1111"/>
      <c r="O50" s="674">
        <f t="shared" si="1"/>
        <v>30</v>
      </c>
      <c r="P50" s="682"/>
      <c r="Q50" s="286"/>
      <c r="R50" s="287"/>
      <c r="S50" s="280"/>
      <c r="T50" s="280"/>
      <c r="U50" s="280"/>
      <c r="V50" s="280"/>
      <c r="W50" s="280"/>
      <c r="X50" s="280"/>
      <c r="Y50" s="280"/>
      <c r="Z50" s="284"/>
      <c r="AA50" s="284"/>
      <c r="AB50" s="284"/>
      <c r="AC50" s="284"/>
      <c r="AD50" s="284"/>
      <c r="AE50" s="284"/>
      <c r="AF50" s="447"/>
      <c r="AG50" s="447"/>
      <c r="AH50" s="447"/>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row>
    <row r="51" spans="1:67" s="88" customFormat="1" ht="10.55" customHeight="1" x14ac:dyDescent="0.2">
      <c r="A51" s="1013" t="s">
        <v>826</v>
      </c>
      <c r="B51" s="2807"/>
      <c r="C51" s="2808"/>
      <c r="D51" s="2809"/>
      <c r="E51" s="2561"/>
      <c r="F51" s="2562"/>
      <c r="G51" s="1785">
        <v>30</v>
      </c>
      <c r="H51" s="524"/>
      <c r="I51" s="1409">
        <f t="shared" si="2"/>
        <v>4.7777640736176463E-2</v>
      </c>
      <c r="J51" s="1421">
        <f t="shared" si="3"/>
        <v>0</v>
      </c>
      <c r="K51" s="678">
        <v>2.5</v>
      </c>
      <c r="L51" s="1002"/>
      <c r="M51" s="1428">
        <f t="shared" si="4"/>
        <v>0</v>
      </c>
      <c r="N51" s="1111"/>
      <c r="O51" s="674">
        <f t="shared" si="1"/>
        <v>30</v>
      </c>
      <c r="P51" s="682"/>
      <c r="Q51" s="286"/>
      <c r="R51" s="287"/>
      <c r="S51" s="280"/>
      <c r="T51" s="280"/>
      <c r="U51" s="280"/>
      <c r="V51" s="280"/>
      <c r="W51" s="280"/>
      <c r="X51" s="280"/>
      <c r="Y51" s="280"/>
      <c r="Z51" s="284"/>
      <c r="AA51" s="284"/>
      <c r="AB51" s="284"/>
      <c r="AC51" s="284"/>
      <c r="AD51" s="284"/>
      <c r="AE51" s="284"/>
      <c r="AF51" s="447"/>
      <c r="AG51" s="447"/>
      <c r="AH51" s="447"/>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row>
    <row r="52" spans="1:67" s="88" customFormat="1" ht="10.55" customHeight="1" x14ac:dyDescent="0.2">
      <c r="A52" s="675"/>
      <c r="B52" s="2807"/>
      <c r="C52" s="2808"/>
      <c r="D52" s="2809"/>
      <c r="E52" s="2561"/>
      <c r="F52" s="2562"/>
      <c r="G52" s="1015"/>
      <c r="H52" s="524"/>
      <c r="I52" s="1409">
        <f t="shared" si="2"/>
        <v>0</v>
      </c>
      <c r="J52" s="1421">
        <f t="shared" si="3"/>
        <v>0</v>
      </c>
      <c r="K52" s="679"/>
      <c r="L52" s="1002"/>
      <c r="M52" s="1428">
        <f t="shared" si="4"/>
        <v>0</v>
      </c>
      <c r="N52" s="1111"/>
      <c r="O52" s="674">
        <f t="shared" si="1"/>
        <v>0</v>
      </c>
      <c r="P52" s="682"/>
      <c r="Q52" s="286"/>
      <c r="R52" s="287"/>
      <c r="S52" s="280"/>
      <c r="T52" s="280"/>
      <c r="U52" s="280"/>
      <c r="V52" s="280"/>
      <c r="W52" s="280"/>
      <c r="X52" s="280"/>
      <c r="Y52" s="280"/>
      <c r="Z52" s="284"/>
      <c r="AA52" s="284"/>
      <c r="AB52" s="284"/>
      <c r="AC52" s="284"/>
      <c r="AD52" s="284"/>
      <c r="AE52" s="284"/>
      <c r="AF52" s="447"/>
      <c r="AG52" s="447"/>
      <c r="AH52" s="447"/>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row>
    <row r="53" spans="1:67" s="88" customFormat="1" ht="10.55" customHeight="1" x14ac:dyDescent="0.2">
      <c r="A53" s="675"/>
      <c r="B53" s="2807"/>
      <c r="C53" s="2808"/>
      <c r="D53" s="2809"/>
      <c r="E53" s="2561"/>
      <c r="F53" s="2562"/>
      <c r="G53" s="1015"/>
      <c r="H53" s="524"/>
      <c r="I53" s="1409">
        <f t="shared" si="2"/>
        <v>0</v>
      </c>
      <c r="J53" s="1421">
        <f t="shared" si="3"/>
        <v>0</v>
      </c>
      <c r="K53" s="679"/>
      <c r="L53" s="1002"/>
      <c r="M53" s="1428">
        <f t="shared" si="4"/>
        <v>0</v>
      </c>
      <c r="N53" s="1111"/>
      <c r="O53" s="674">
        <f t="shared" si="1"/>
        <v>0</v>
      </c>
      <c r="P53" s="682"/>
      <c r="Q53" s="286"/>
      <c r="R53" s="287"/>
      <c r="S53" s="280"/>
      <c r="T53" s="280"/>
      <c r="U53" s="280"/>
      <c r="V53" s="280"/>
      <c r="W53" s="280"/>
      <c r="X53" s="280"/>
      <c r="Y53" s="280"/>
      <c r="Z53" s="284"/>
      <c r="AA53" s="284"/>
      <c r="AB53" s="284"/>
      <c r="AC53" s="284"/>
      <c r="AD53" s="284"/>
      <c r="AE53" s="284"/>
      <c r="AF53" s="447"/>
      <c r="AG53" s="447"/>
      <c r="AH53" s="447"/>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row>
    <row r="54" spans="1:67" s="88" customFormat="1" ht="10.55" customHeight="1" x14ac:dyDescent="0.2">
      <c r="A54" s="675"/>
      <c r="B54" s="2807"/>
      <c r="C54" s="2808"/>
      <c r="D54" s="2809"/>
      <c r="E54" s="2561"/>
      <c r="F54" s="2562"/>
      <c r="G54" s="1015"/>
      <c r="H54" s="524"/>
      <c r="I54" s="1409">
        <f t="shared" si="2"/>
        <v>0</v>
      </c>
      <c r="J54" s="1421">
        <f t="shared" si="3"/>
        <v>0</v>
      </c>
      <c r="K54" s="679"/>
      <c r="L54" s="1002"/>
      <c r="M54" s="1428">
        <f t="shared" si="4"/>
        <v>0</v>
      </c>
      <c r="N54" s="1111"/>
      <c r="O54" s="674">
        <f t="shared" si="1"/>
        <v>0</v>
      </c>
      <c r="P54" s="682"/>
      <c r="Q54" s="286"/>
      <c r="R54" s="287"/>
      <c r="S54" s="280"/>
      <c r="T54" s="280"/>
      <c r="U54" s="280"/>
      <c r="V54" s="280"/>
      <c r="W54" s="280"/>
      <c r="X54" s="280"/>
      <c r="Y54" s="280"/>
      <c r="Z54" s="284"/>
      <c r="AA54" s="284"/>
      <c r="AB54" s="284"/>
      <c r="AC54" s="284"/>
      <c r="AD54" s="284"/>
      <c r="AE54" s="284"/>
      <c r="AF54" s="447"/>
      <c r="AG54" s="447"/>
      <c r="AH54" s="447"/>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row>
    <row r="55" spans="1:67" s="88" customFormat="1" ht="10.55" customHeight="1" x14ac:dyDescent="0.2">
      <c r="A55" s="675"/>
      <c r="B55" s="2807"/>
      <c r="C55" s="2808"/>
      <c r="D55" s="2809"/>
      <c r="E55" s="2561"/>
      <c r="F55" s="2562"/>
      <c r="G55" s="1015"/>
      <c r="H55" s="524"/>
      <c r="I55" s="1409">
        <f t="shared" si="2"/>
        <v>0</v>
      </c>
      <c r="J55" s="1421">
        <f t="shared" si="3"/>
        <v>0</v>
      </c>
      <c r="K55" s="679"/>
      <c r="L55" s="1002"/>
      <c r="M55" s="1428">
        <f t="shared" si="4"/>
        <v>0</v>
      </c>
      <c r="N55" s="1111"/>
      <c r="O55" s="674">
        <f t="shared" si="1"/>
        <v>0</v>
      </c>
      <c r="P55" s="682"/>
      <c r="Q55" s="286"/>
      <c r="R55" s="287"/>
      <c r="S55" s="280"/>
      <c r="T55" s="280"/>
      <c r="U55" s="280"/>
      <c r="V55" s="280"/>
      <c r="W55" s="280"/>
      <c r="X55" s="280"/>
      <c r="Y55" s="280"/>
      <c r="Z55" s="284"/>
      <c r="AA55" s="284"/>
      <c r="AB55" s="284"/>
      <c r="AC55" s="284"/>
      <c r="AD55" s="284"/>
      <c r="AE55" s="284"/>
      <c r="AF55" s="447"/>
      <c r="AG55" s="447"/>
      <c r="AH55" s="447"/>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row>
    <row r="56" spans="1:67" s="88" customFormat="1" ht="10.55" customHeight="1" x14ac:dyDescent="0.2">
      <c r="A56" s="675"/>
      <c r="B56" s="2807"/>
      <c r="C56" s="2808"/>
      <c r="D56" s="2809"/>
      <c r="E56" s="2561"/>
      <c r="F56" s="2562"/>
      <c r="G56" s="1015"/>
      <c r="H56" s="524"/>
      <c r="I56" s="1409">
        <f t="shared" si="2"/>
        <v>0</v>
      </c>
      <c r="J56" s="1421">
        <f t="shared" si="3"/>
        <v>0</v>
      </c>
      <c r="K56" s="679"/>
      <c r="L56" s="1002"/>
      <c r="M56" s="1428">
        <f t="shared" si="4"/>
        <v>0</v>
      </c>
      <c r="N56" s="1111"/>
      <c r="O56" s="674">
        <f t="shared" si="1"/>
        <v>0</v>
      </c>
      <c r="P56" s="682"/>
      <c r="Q56" s="286"/>
      <c r="R56" s="287"/>
      <c r="S56" s="280"/>
      <c r="T56" s="280"/>
      <c r="U56" s="280"/>
      <c r="V56" s="280"/>
      <c r="W56" s="280"/>
      <c r="X56" s="280"/>
      <c r="Y56" s="280"/>
      <c r="Z56" s="284"/>
      <c r="AA56" s="284"/>
      <c r="AB56" s="284"/>
      <c r="AC56" s="284"/>
      <c r="AD56" s="284"/>
      <c r="AE56" s="284"/>
      <c r="AF56" s="447"/>
      <c r="AG56" s="447"/>
      <c r="AH56" s="447"/>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row>
    <row r="57" spans="1:67" s="88" customFormat="1" ht="10.55" customHeight="1" x14ac:dyDescent="0.2">
      <c r="A57" s="675"/>
      <c r="B57" s="2807"/>
      <c r="C57" s="2808"/>
      <c r="D57" s="2809"/>
      <c r="E57" s="2561"/>
      <c r="F57" s="2562"/>
      <c r="G57" s="1016"/>
      <c r="H57" s="525"/>
      <c r="I57" s="1409">
        <f t="shared" si="2"/>
        <v>0</v>
      </c>
      <c r="J57" s="1421">
        <f t="shared" si="3"/>
        <v>0</v>
      </c>
      <c r="K57" s="679"/>
      <c r="L57" s="1002"/>
      <c r="M57" s="1428">
        <f t="shared" si="4"/>
        <v>0</v>
      </c>
      <c r="N57" s="1111"/>
      <c r="O57" s="674">
        <f t="shared" si="1"/>
        <v>0</v>
      </c>
      <c r="P57" s="682"/>
      <c r="Q57" s="286"/>
      <c r="R57" s="287"/>
      <c r="S57" s="280"/>
      <c r="T57" s="280"/>
      <c r="U57" s="280"/>
      <c r="V57" s="280"/>
      <c r="W57" s="280"/>
      <c r="X57" s="280"/>
      <c r="Y57" s="280"/>
      <c r="Z57" s="284"/>
      <c r="AA57" s="284"/>
      <c r="AB57" s="284"/>
      <c r="AC57" s="284"/>
      <c r="AD57" s="284"/>
      <c r="AE57" s="284"/>
      <c r="AF57" s="447"/>
      <c r="AG57" s="447"/>
      <c r="AH57" s="447"/>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row>
    <row r="58" spans="1:67" s="88" customFormat="1" ht="10.55" customHeight="1" x14ac:dyDescent="0.2">
      <c r="A58" s="1017"/>
      <c r="B58" s="2804"/>
      <c r="C58" s="2805"/>
      <c r="D58" s="2806"/>
      <c r="E58" s="2793"/>
      <c r="F58" s="2794"/>
      <c r="G58" s="1018"/>
      <c r="H58" s="1019"/>
      <c r="I58" s="1436">
        <f t="shared" si="2"/>
        <v>0</v>
      </c>
      <c r="J58" s="1422"/>
      <c r="K58" s="680"/>
      <c r="L58" s="1020"/>
      <c r="M58" s="1429">
        <f t="shared" si="4"/>
        <v>0</v>
      </c>
      <c r="N58" s="1111"/>
      <c r="O58" s="674">
        <f t="shared" si="1"/>
        <v>0</v>
      </c>
      <c r="P58" s="682"/>
      <c r="Q58" s="286"/>
      <c r="R58" s="287"/>
      <c r="S58" s="280"/>
      <c r="T58" s="280"/>
      <c r="U58" s="280"/>
      <c r="V58" s="280"/>
      <c r="W58" s="280"/>
      <c r="X58" s="280"/>
      <c r="Y58" s="280"/>
      <c r="Z58" s="284"/>
      <c r="AA58" s="284"/>
      <c r="AB58" s="284"/>
      <c r="AC58" s="284"/>
      <c r="AD58" s="284"/>
      <c r="AE58" s="284"/>
      <c r="AF58" s="447"/>
      <c r="AG58" s="447"/>
      <c r="AH58" s="447"/>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row>
    <row r="59" spans="1:67" s="88" customFormat="1" ht="10.55" customHeight="1" x14ac:dyDescent="0.2">
      <c r="A59" s="1122" t="s">
        <v>324</v>
      </c>
      <c r="B59" s="2783"/>
      <c r="C59" s="2784"/>
      <c r="D59" s="2785"/>
      <c r="E59" s="2810">
        <f>SUM(E60:E72)</f>
        <v>0</v>
      </c>
      <c r="F59" s="2811"/>
      <c r="G59" s="2747"/>
      <c r="H59" s="2748"/>
      <c r="I59" s="1435">
        <f>IF(E59=0,0,J59/E59)</f>
        <v>0</v>
      </c>
      <c r="J59" s="1423">
        <f>SUM(J60:J72)</f>
        <v>0</v>
      </c>
      <c r="K59" s="2749">
        <f>IF(E59=0,0,M59/E59*100)</f>
        <v>0</v>
      </c>
      <c r="L59" s="2750"/>
      <c r="M59" s="1430">
        <f>SUM(M60:M72)</f>
        <v>0</v>
      </c>
      <c r="N59" s="1111"/>
      <c r="O59" s="387">
        <f>IF(H59="",G59,H59)</f>
        <v>0</v>
      </c>
      <c r="P59" s="682"/>
      <c r="Q59" s="286"/>
      <c r="R59" s="287"/>
      <c r="S59" s="280"/>
      <c r="T59" s="280"/>
      <c r="U59" s="280"/>
      <c r="V59" s="280"/>
      <c r="W59" s="280"/>
      <c r="X59" s="280"/>
      <c r="Y59" s="280"/>
      <c r="Z59" s="284"/>
      <c r="AA59" s="284"/>
      <c r="AB59" s="284"/>
      <c r="AC59" s="284"/>
      <c r="AD59" s="284"/>
      <c r="AE59" s="284"/>
      <c r="AF59" s="447"/>
      <c r="AG59" s="447"/>
      <c r="AH59" s="447"/>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row>
    <row r="60" spans="1:67" s="88" customFormat="1" ht="10.55" customHeight="1" x14ac:dyDescent="0.2">
      <c r="A60" s="1013" t="s">
        <v>325</v>
      </c>
      <c r="B60" s="2790"/>
      <c r="C60" s="2791"/>
      <c r="D60" s="2792"/>
      <c r="E60" s="2734"/>
      <c r="F60" s="2735"/>
      <c r="G60" s="1785">
        <v>50</v>
      </c>
      <c r="H60" s="524"/>
      <c r="I60" s="1409">
        <f t="shared" ref="I60:I73" si="5">IF($O60&gt;0,-PMT(($I$9),$O60,1),0)</f>
        <v>3.525805693356223E-2</v>
      </c>
      <c r="J60" s="1421">
        <f t="shared" ref="J60:J72" si="6">ROUND(E60*I60,0)</f>
        <v>0</v>
      </c>
      <c r="K60" s="1784">
        <v>0</v>
      </c>
      <c r="L60" s="1002"/>
      <c r="M60" s="1428">
        <f t="shared" ref="M60:M73" si="7">ROUND(E60/100*IF(ISBLANK(L60),K60,L60),0)</f>
        <v>0</v>
      </c>
      <c r="N60" s="1111"/>
      <c r="O60" s="674">
        <f t="shared" ref="O60:O73" si="8">IF(ISBLANK(H60),G60,H60)</f>
        <v>50</v>
      </c>
      <c r="P60" s="682"/>
      <c r="Q60" s="286"/>
      <c r="R60" s="287"/>
      <c r="S60" s="280"/>
      <c r="T60" s="280"/>
      <c r="U60" s="280"/>
      <c r="V60" s="280"/>
      <c r="W60" s="280"/>
      <c r="X60" s="280"/>
      <c r="Y60" s="280"/>
      <c r="Z60" s="284"/>
      <c r="AA60" s="284"/>
      <c r="AB60" s="284"/>
      <c r="AC60" s="284"/>
      <c r="AD60" s="284"/>
      <c r="AE60" s="284"/>
      <c r="AF60" s="447"/>
      <c r="AG60" s="447"/>
      <c r="AH60" s="447"/>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row>
    <row r="61" spans="1:67" s="88" customFormat="1" ht="10.55" customHeight="1" x14ac:dyDescent="0.2">
      <c r="A61" s="1013" t="s">
        <v>326</v>
      </c>
      <c r="B61" s="2807"/>
      <c r="C61" s="2808"/>
      <c r="D61" s="2809"/>
      <c r="E61" s="2561"/>
      <c r="F61" s="2562"/>
      <c r="G61" s="1785">
        <v>30</v>
      </c>
      <c r="H61" s="524"/>
      <c r="I61" s="1409">
        <f t="shared" si="5"/>
        <v>4.7777640736176463E-2</v>
      </c>
      <c r="J61" s="1421">
        <f t="shared" si="6"/>
        <v>0</v>
      </c>
      <c r="K61" s="678"/>
      <c r="L61" s="1002"/>
      <c r="M61" s="1428">
        <f t="shared" si="7"/>
        <v>0</v>
      </c>
      <c r="N61" s="1111"/>
      <c r="O61" s="674">
        <f t="shared" si="8"/>
        <v>30</v>
      </c>
      <c r="P61" s="682"/>
      <c r="Q61" s="286"/>
      <c r="R61" s="287"/>
      <c r="S61" s="280"/>
      <c r="T61" s="280"/>
      <c r="U61" s="280"/>
      <c r="V61" s="280"/>
      <c r="W61" s="280"/>
      <c r="X61" s="280"/>
      <c r="Y61" s="280"/>
      <c r="Z61" s="284"/>
      <c r="AA61" s="284"/>
      <c r="AB61" s="284"/>
      <c r="AC61" s="284"/>
      <c r="AD61" s="284"/>
      <c r="AE61" s="284"/>
      <c r="AF61" s="447"/>
      <c r="AG61" s="447"/>
      <c r="AH61" s="447"/>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row>
    <row r="62" spans="1:67" s="88" customFormat="1" ht="10.55" customHeight="1" x14ac:dyDescent="0.2">
      <c r="A62" s="1013" t="s">
        <v>457</v>
      </c>
      <c r="B62" s="2807"/>
      <c r="C62" s="2808"/>
      <c r="D62" s="2809"/>
      <c r="E62" s="2561"/>
      <c r="F62" s="2562"/>
      <c r="G62" s="1785">
        <v>20</v>
      </c>
      <c r="H62" s="524"/>
      <c r="I62" s="1409">
        <f t="shared" si="5"/>
        <v>6.4147128734474465E-2</v>
      </c>
      <c r="J62" s="1421">
        <f t="shared" si="6"/>
        <v>0</v>
      </c>
      <c r="K62" s="678">
        <v>2.5</v>
      </c>
      <c r="L62" s="1002"/>
      <c r="M62" s="1428">
        <f t="shared" si="7"/>
        <v>0</v>
      </c>
      <c r="N62" s="1111"/>
      <c r="O62" s="674">
        <f t="shared" si="8"/>
        <v>20</v>
      </c>
      <c r="P62" s="682"/>
      <c r="Q62" s="286"/>
      <c r="R62" s="287"/>
      <c r="S62" s="280"/>
      <c r="T62" s="280"/>
      <c r="U62" s="280"/>
      <c r="V62" s="280"/>
      <c r="W62" s="280"/>
      <c r="X62" s="280"/>
      <c r="Y62" s="280"/>
      <c r="Z62" s="284"/>
      <c r="AA62" s="284"/>
      <c r="AB62" s="284"/>
      <c r="AC62" s="284"/>
      <c r="AD62" s="284"/>
      <c r="AE62" s="284"/>
      <c r="AF62" s="447"/>
      <c r="AG62" s="447"/>
      <c r="AH62" s="447"/>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c r="BO62" s="382"/>
    </row>
    <row r="63" spans="1:67" s="88" customFormat="1" ht="10.55" customHeight="1" x14ac:dyDescent="0.2">
      <c r="A63" s="1013" t="s">
        <v>327</v>
      </c>
      <c r="B63" s="2807"/>
      <c r="C63" s="2808"/>
      <c r="D63" s="2809"/>
      <c r="E63" s="2561"/>
      <c r="F63" s="2562"/>
      <c r="G63" s="1785">
        <v>20</v>
      </c>
      <c r="H63" s="524"/>
      <c r="I63" s="1409">
        <f t="shared" si="5"/>
        <v>6.4147128734474465E-2</v>
      </c>
      <c r="J63" s="1421">
        <f t="shared" si="6"/>
        <v>0</v>
      </c>
      <c r="K63" s="678">
        <v>3.5</v>
      </c>
      <c r="L63" s="1002"/>
      <c r="M63" s="1428">
        <f t="shared" si="7"/>
        <v>0</v>
      </c>
      <c r="N63" s="1111"/>
      <c r="O63" s="674">
        <f t="shared" si="8"/>
        <v>20</v>
      </c>
      <c r="P63" s="682"/>
      <c r="Q63" s="286"/>
      <c r="R63" s="287"/>
      <c r="S63" s="280"/>
      <c r="T63" s="280"/>
      <c r="U63" s="280"/>
      <c r="V63" s="280"/>
      <c r="W63" s="280"/>
      <c r="X63" s="280"/>
      <c r="Y63" s="280"/>
      <c r="Z63" s="284"/>
      <c r="AA63" s="284"/>
      <c r="AB63" s="284"/>
      <c r="AC63" s="284"/>
      <c r="AD63" s="284"/>
      <c r="AE63" s="284"/>
      <c r="AF63" s="447"/>
      <c r="AG63" s="447"/>
      <c r="AH63" s="447"/>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row>
    <row r="64" spans="1:67" s="88" customFormat="1" ht="10.55" customHeight="1" x14ac:dyDescent="0.2">
      <c r="A64" s="1013" t="s">
        <v>328</v>
      </c>
      <c r="B64" s="2807"/>
      <c r="C64" s="2808"/>
      <c r="D64" s="2809"/>
      <c r="E64" s="2561"/>
      <c r="F64" s="2562"/>
      <c r="G64" s="1785">
        <v>20</v>
      </c>
      <c r="H64" s="524"/>
      <c r="I64" s="1409">
        <f t="shared" si="5"/>
        <v>6.4147128734474465E-2</v>
      </c>
      <c r="J64" s="1421">
        <f t="shared" si="6"/>
        <v>0</v>
      </c>
      <c r="K64" s="678">
        <v>3</v>
      </c>
      <c r="L64" s="1002"/>
      <c r="M64" s="1428">
        <f t="shared" si="7"/>
        <v>0</v>
      </c>
      <c r="N64" s="1111"/>
      <c r="O64" s="674">
        <f t="shared" si="8"/>
        <v>20</v>
      </c>
      <c r="P64" s="682"/>
      <c r="Q64" s="286"/>
      <c r="R64" s="287"/>
      <c r="S64" s="280"/>
      <c r="T64" s="280"/>
      <c r="U64" s="280"/>
      <c r="V64" s="280"/>
      <c r="W64" s="280"/>
      <c r="X64" s="280"/>
      <c r="Y64" s="280"/>
      <c r="Z64" s="284"/>
      <c r="AA64" s="284"/>
      <c r="AB64" s="284"/>
      <c r="AC64" s="284"/>
      <c r="AD64" s="284"/>
      <c r="AE64" s="284"/>
      <c r="AF64" s="447"/>
      <c r="AG64" s="447"/>
      <c r="AH64" s="447"/>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row>
    <row r="65" spans="1:67" s="88" customFormat="1" ht="10.55" customHeight="1" x14ac:dyDescent="0.2">
      <c r="A65" s="1013" t="s">
        <v>329</v>
      </c>
      <c r="B65" s="2807"/>
      <c r="C65" s="2808"/>
      <c r="D65" s="2809"/>
      <c r="E65" s="2561"/>
      <c r="F65" s="2562"/>
      <c r="G65" s="1785">
        <v>20</v>
      </c>
      <c r="H65" s="524"/>
      <c r="I65" s="1409">
        <f t="shared" si="5"/>
        <v>6.4147128734474465E-2</v>
      </c>
      <c r="J65" s="1421">
        <f t="shared" si="6"/>
        <v>0</v>
      </c>
      <c r="K65" s="678">
        <v>2</v>
      </c>
      <c r="L65" s="1002"/>
      <c r="M65" s="1428">
        <f t="shared" si="7"/>
        <v>0</v>
      </c>
      <c r="N65" s="1111"/>
      <c r="O65" s="674">
        <f t="shared" si="8"/>
        <v>20</v>
      </c>
      <c r="P65" s="682"/>
      <c r="Q65" s="286"/>
      <c r="R65" s="287"/>
      <c r="S65" s="280"/>
      <c r="T65" s="280"/>
      <c r="U65" s="280"/>
      <c r="V65" s="280"/>
      <c r="W65" s="280"/>
      <c r="X65" s="280"/>
      <c r="Y65" s="280"/>
      <c r="Z65" s="284"/>
      <c r="AA65" s="284"/>
      <c r="AB65" s="284"/>
      <c r="AC65" s="284"/>
      <c r="AD65" s="284"/>
      <c r="AE65" s="284"/>
      <c r="AF65" s="447"/>
      <c r="AG65" s="447"/>
      <c r="AH65" s="447"/>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row>
    <row r="66" spans="1:67" s="88" customFormat="1" ht="10.55" customHeight="1" x14ac:dyDescent="0.2">
      <c r="A66" s="1013" t="s">
        <v>330</v>
      </c>
      <c r="B66" s="2807"/>
      <c r="C66" s="2808"/>
      <c r="D66" s="2809"/>
      <c r="E66" s="2561"/>
      <c r="F66" s="2562"/>
      <c r="G66" s="1785">
        <v>20</v>
      </c>
      <c r="H66" s="524"/>
      <c r="I66" s="1409">
        <f t="shared" si="5"/>
        <v>6.4147128734474465E-2</v>
      </c>
      <c r="J66" s="1421">
        <f t="shared" si="6"/>
        <v>0</v>
      </c>
      <c r="K66" s="678">
        <v>3</v>
      </c>
      <c r="L66" s="1002"/>
      <c r="M66" s="1428">
        <f t="shared" si="7"/>
        <v>0</v>
      </c>
      <c r="N66" s="1111"/>
      <c r="O66" s="674">
        <f t="shared" si="8"/>
        <v>20</v>
      </c>
      <c r="P66" s="682"/>
      <c r="Q66" s="286"/>
      <c r="R66" s="287"/>
      <c r="S66" s="280"/>
      <c r="T66" s="280"/>
      <c r="U66" s="280"/>
      <c r="V66" s="280"/>
      <c r="W66" s="280"/>
      <c r="X66" s="280"/>
      <c r="Y66" s="280"/>
      <c r="Z66" s="284"/>
      <c r="AA66" s="284"/>
      <c r="AB66" s="284"/>
      <c r="AC66" s="284"/>
      <c r="AD66" s="284"/>
      <c r="AE66" s="284"/>
      <c r="AF66" s="447"/>
      <c r="AG66" s="447"/>
      <c r="AH66" s="447"/>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row>
    <row r="67" spans="1:67" s="88" customFormat="1" ht="10.55" customHeight="1" x14ac:dyDescent="0.2">
      <c r="A67" s="1013" t="s">
        <v>331</v>
      </c>
      <c r="B67" s="2807"/>
      <c r="C67" s="2808"/>
      <c r="D67" s="2809"/>
      <c r="E67" s="2561"/>
      <c r="F67" s="2562"/>
      <c r="G67" s="1785">
        <v>20</v>
      </c>
      <c r="H67" s="524"/>
      <c r="I67" s="1409">
        <f t="shared" si="5"/>
        <v>6.4147128734474465E-2</v>
      </c>
      <c r="J67" s="1421">
        <f t="shared" si="6"/>
        <v>0</v>
      </c>
      <c r="K67" s="678">
        <v>3</v>
      </c>
      <c r="L67" s="1002"/>
      <c r="M67" s="1428">
        <f t="shared" si="7"/>
        <v>0</v>
      </c>
      <c r="N67" s="1111"/>
      <c r="O67" s="674">
        <f t="shared" si="8"/>
        <v>20</v>
      </c>
      <c r="P67" s="682"/>
      <c r="Q67" s="286"/>
      <c r="R67" s="287"/>
      <c r="S67" s="280"/>
      <c r="T67" s="280"/>
      <c r="U67" s="280"/>
      <c r="V67" s="280"/>
      <c r="W67" s="280"/>
      <c r="X67" s="280"/>
      <c r="Y67" s="280"/>
      <c r="Z67" s="284"/>
      <c r="AA67" s="284"/>
      <c r="AB67" s="284"/>
      <c r="AC67" s="284"/>
      <c r="AD67" s="284"/>
      <c r="AE67" s="284"/>
      <c r="AF67" s="447"/>
      <c r="AG67" s="447"/>
      <c r="AH67" s="447"/>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row>
    <row r="68" spans="1:67" s="88" customFormat="1" ht="10.55" customHeight="1" x14ac:dyDescent="0.2">
      <c r="A68" s="1013" t="s">
        <v>332</v>
      </c>
      <c r="B68" s="2807"/>
      <c r="C68" s="2808"/>
      <c r="D68" s="2809"/>
      <c r="E68" s="2561"/>
      <c r="F68" s="2562"/>
      <c r="G68" s="1785">
        <v>40</v>
      </c>
      <c r="H68" s="524"/>
      <c r="I68" s="1409">
        <f t="shared" si="5"/>
        <v>3.9836233162469814E-2</v>
      </c>
      <c r="J68" s="1421">
        <f t="shared" si="6"/>
        <v>0</v>
      </c>
      <c r="K68" s="678">
        <v>0</v>
      </c>
      <c r="L68" s="1002"/>
      <c r="M68" s="1428">
        <f t="shared" si="7"/>
        <v>0</v>
      </c>
      <c r="N68" s="1111"/>
      <c r="O68" s="674">
        <f t="shared" si="8"/>
        <v>40</v>
      </c>
      <c r="P68" s="682"/>
      <c r="Q68" s="286"/>
      <c r="R68" s="287"/>
      <c r="S68" s="280"/>
      <c r="T68" s="280"/>
      <c r="U68" s="280"/>
      <c r="V68" s="280"/>
      <c r="W68" s="280"/>
      <c r="X68" s="280"/>
      <c r="Y68" s="280"/>
      <c r="Z68" s="284"/>
      <c r="AA68" s="284"/>
      <c r="AB68" s="284"/>
      <c r="AC68" s="284"/>
      <c r="AD68" s="284"/>
      <c r="AE68" s="284"/>
      <c r="AF68" s="447"/>
      <c r="AG68" s="447"/>
      <c r="AH68" s="447"/>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row>
    <row r="69" spans="1:67" s="88" customFormat="1" ht="10.55" customHeight="1" x14ac:dyDescent="0.2">
      <c r="A69" s="1013" t="s">
        <v>333</v>
      </c>
      <c r="B69" s="2807"/>
      <c r="C69" s="2808"/>
      <c r="D69" s="2809"/>
      <c r="E69" s="2561"/>
      <c r="F69" s="2562"/>
      <c r="G69" s="1785">
        <v>20</v>
      </c>
      <c r="H69" s="524"/>
      <c r="I69" s="1409">
        <f t="shared" si="5"/>
        <v>6.4147128734474465E-2</v>
      </c>
      <c r="J69" s="1421">
        <f t="shared" si="6"/>
        <v>0</v>
      </c>
      <c r="K69" s="678">
        <v>8</v>
      </c>
      <c r="L69" s="1002"/>
      <c r="M69" s="1428">
        <f t="shared" si="7"/>
        <v>0</v>
      </c>
      <c r="N69" s="1111"/>
      <c r="O69" s="674">
        <f t="shared" si="8"/>
        <v>20</v>
      </c>
      <c r="P69" s="682"/>
      <c r="Q69" s="286"/>
      <c r="R69" s="287"/>
      <c r="S69" s="280"/>
      <c r="T69" s="280"/>
      <c r="U69" s="280"/>
      <c r="V69" s="280"/>
      <c r="W69" s="280"/>
      <c r="X69" s="280"/>
      <c r="Y69" s="280"/>
      <c r="Z69" s="284"/>
      <c r="AA69" s="284"/>
      <c r="AB69" s="284"/>
      <c r="AC69" s="284"/>
      <c r="AD69" s="284"/>
      <c r="AE69" s="284"/>
      <c r="AF69" s="447"/>
      <c r="AG69" s="447"/>
      <c r="AH69" s="447"/>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row>
    <row r="70" spans="1:67" s="88" customFormat="1" ht="10.55" customHeight="1" x14ac:dyDescent="0.2">
      <c r="A70" s="1013" t="s">
        <v>334</v>
      </c>
      <c r="B70" s="2807"/>
      <c r="C70" s="2808"/>
      <c r="D70" s="2809"/>
      <c r="E70" s="2561"/>
      <c r="F70" s="2562"/>
      <c r="G70" s="1785">
        <v>20</v>
      </c>
      <c r="H70" s="524"/>
      <c r="I70" s="1409">
        <f t="shared" si="5"/>
        <v>6.4147128734474465E-2</v>
      </c>
      <c r="J70" s="1421">
        <f t="shared" si="6"/>
        <v>0</v>
      </c>
      <c r="K70" s="1784">
        <v>0</v>
      </c>
      <c r="L70" s="1002"/>
      <c r="M70" s="1428">
        <f t="shared" si="7"/>
        <v>0</v>
      </c>
      <c r="N70" s="1111"/>
      <c r="O70" s="674">
        <f t="shared" si="8"/>
        <v>20</v>
      </c>
      <c r="P70" s="682"/>
      <c r="Q70" s="286"/>
      <c r="R70" s="287"/>
      <c r="S70" s="280"/>
      <c r="T70" s="280"/>
      <c r="U70" s="280"/>
      <c r="V70" s="280"/>
      <c r="W70" s="280"/>
      <c r="X70" s="280"/>
      <c r="Y70" s="280"/>
      <c r="Z70" s="284"/>
      <c r="AA70" s="284"/>
      <c r="AB70" s="284"/>
      <c r="AC70" s="284"/>
      <c r="AD70" s="284"/>
      <c r="AE70" s="284"/>
      <c r="AF70" s="447"/>
      <c r="AG70" s="447"/>
      <c r="AH70" s="447"/>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row>
    <row r="71" spans="1:67" s="88" customFormat="1" ht="10.55" customHeight="1" x14ac:dyDescent="0.2">
      <c r="A71" s="675"/>
      <c r="B71" s="2807"/>
      <c r="C71" s="2808"/>
      <c r="D71" s="2809"/>
      <c r="E71" s="2561"/>
      <c r="F71" s="2562"/>
      <c r="G71" s="1015"/>
      <c r="H71" s="524"/>
      <c r="I71" s="1409">
        <f t="shared" si="5"/>
        <v>0</v>
      </c>
      <c r="J71" s="1421">
        <f t="shared" si="6"/>
        <v>0</v>
      </c>
      <c r="K71" s="679"/>
      <c r="L71" s="1002"/>
      <c r="M71" s="1428">
        <f t="shared" si="7"/>
        <v>0</v>
      </c>
      <c r="N71" s="1111"/>
      <c r="O71" s="674">
        <f t="shared" si="8"/>
        <v>0</v>
      </c>
      <c r="P71" s="682"/>
      <c r="Q71" s="286"/>
      <c r="R71" s="287"/>
      <c r="S71" s="280"/>
      <c r="T71" s="280"/>
      <c r="U71" s="280"/>
      <c r="V71" s="280"/>
      <c r="W71" s="280"/>
      <c r="X71" s="280"/>
      <c r="Y71" s="280"/>
      <c r="Z71" s="284"/>
      <c r="AA71" s="284"/>
      <c r="AB71" s="284"/>
      <c r="AC71" s="284"/>
      <c r="AD71" s="284"/>
      <c r="AE71" s="284"/>
      <c r="AF71" s="447"/>
      <c r="AG71" s="447"/>
      <c r="AH71" s="447"/>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row>
    <row r="72" spans="1:67" s="88" customFormat="1" ht="10.55" customHeight="1" x14ac:dyDescent="0.2">
      <c r="A72" s="675"/>
      <c r="B72" s="2807"/>
      <c r="C72" s="2808"/>
      <c r="D72" s="2809"/>
      <c r="E72" s="2561"/>
      <c r="F72" s="2562"/>
      <c r="G72" s="1015"/>
      <c r="H72" s="524"/>
      <c r="I72" s="1409">
        <f t="shared" si="5"/>
        <v>0</v>
      </c>
      <c r="J72" s="1421">
        <f t="shared" si="6"/>
        <v>0</v>
      </c>
      <c r="K72" s="679"/>
      <c r="L72" s="1002"/>
      <c r="M72" s="1428">
        <f t="shared" si="7"/>
        <v>0</v>
      </c>
      <c r="N72" s="1111"/>
      <c r="O72" s="674">
        <f t="shared" si="8"/>
        <v>0</v>
      </c>
      <c r="P72" s="682"/>
      <c r="Q72" s="286"/>
      <c r="R72" s="287"/>
      <c r="S72" s="280"/>
      <c r="T72" s="280"/>
      <c r="U72" s="280"/>
      <c r="V72" s="280"/>
      <c r="W72" s="280"/>
      <c r="X72" s="280"/>
      <c r="Y72" s="280"/>
      <c r="Z72" s="284"/>
      <c r="AA72" s="284"/>
      <c r="AB72" s="284"/>
      <c r="AC72" s="284"/>
      <c r="AD72" s="284"/>
      <c r="AE72" s="284"/>
      <c r="AF72" s="447"/>
      <c r="AG72" s="447"/>
      <c r="AH72" s="447"/>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row>
    <row r="73" spans="1:67" s="88" customFormat="1" ht="10.55" customHeight="1" x14ac:dyDescent="0.2">
      <c r="A73" s="1085"/>
      <c r="B73" s="2804"/>
      <c r="C73" s="2805"/>
      <c r="D73" s="2806"/>
      <c r="E73" s="2793"/>
      <c r="F73" s="2794"/>
      <c r="G73" s="1086"/>
      <c r="H73" s="1087"/>
      <c r="I73" s="1437">
        <f t="shared" si="5"/>
        <v>0</v>
      </c>
      <c r="J73" s="1413"/>
      <c r="K73" s="1088"/>
      <c r="L73" s="1089"/>
      <c r="M73" s="1431">
        <f t="shared" si="7"/>
        <v>0</v>
      </c>
      <c r="N73" s="1111"/>
      <c r="O73" s="674">
        <f t="shared" si="8"/>
        <v>0</v>
      </c>
      <c r="P73" s="682"/>
      <c r="Q73" s="286"/>
      <c r="R73" s="287"/>
      <c r="S73" s="280"/>
      <c r="T73" s="280"/>
      <c r="U73" s="280"/>
      <c r="V73" s="280"/>
      <c r="W73" s="280"/>
      <c r="X73" s="280"/>
      <c r="Y73" s="280"/>
      <c r="Z73" s="284"/>
      <c r="AA73" s="284"/>
      <c r="AB73" s="284"/>
      <c r="AC73" s="284"/>
      <c r="AD73" s="284"/>
      <c r="AE73" s="284"/>
      <c r="AF73" s="447"/>
      <c r="AG73" s="447"/>
      <c r="AH73" s="447"/>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row>
    <row r="74" spans="1:67" s="88" customFormat="1" ht="10.55" customHeight="1" x14ac:dyDescent="0.2">
      <c r="A74" s="1122" t="s">
        <v>335</v>
      </c>
      <c r="B74" s="2783"/>
      <c r="C74" s="2784"/>
      <c r="D74" s="2785"/>
      <c r="E74" s="2810">
        <f>SUM(E75:E87)</f>
        <v>0</v>
      </c>
      <c r="F74" s="2811"/>
      <c r="G74" s="2747"/>
      <c r="H74" s="2748"/>
      <c r="I74" s="1435">
        <f>IF(E74=0,0,J74/E74)</f>
        <v>0</v>
      </c>
      <c r="J74" s="1423">
        <f>SUM(J75:J87)</f>
        <v>0</v>
      </c>
      <c r="K74" s="2749">
        <f>IF(E74=0,0,M74/E74*100)</f>
        <v>0</v>
      </c>
      <c r="L74" s="2750"/>
      <c r="M74" s="1430">
        <f>SUM(M75:M87)</f>
        <v>0</v>
      </c>
      <c r="N74" s="1111"/>
      <c r="O74" s="387">
        <f>IF(H74="",G74,H74)</f>
        <v>0</v>
      </c>
      <c r="P74" s="682"/>
      <c r="Q74" s="286"/>
      <c r="R74" s="287"/>
      <c r="S74" s="280"/>
      <c r="T74" s="280"/>
      <c r="U74" s="280"/>
      <c r="V74" s="280"/>
      <c r="W74" s="280"/>
      <c r="X74" s="280"/>
      <c r="Y74" s="280"/>
      <c r="Z74" s="284"/>
      <c r="AA74" s="284"/>
      <c r="AB74" s="284"/>
      <c r="AC74" s="284"/>
      <c r="AD74" s="284"/>
      <c r="AE74" s="284"/>
      <c r="AF74" s="447"/>
      <c r="AG74" s="447"/>
      <c r="AH74" s="447"/>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row>
    <row r="75" spans="1:67" s="88" customFormat="1" ht="10.55" customHeight="1" x14ac:dyDescent="0.2">
      <c r="A75" s="1013" t="s">
        <v>336</v>
      </c>
      <c r="B75" s="2790"/>
      <c r="C75" s="2791"/>
      <c r="D75" s="2792"/>
      <c r="E75" s="2734"/>
      <c r="F75" s="2735"/>
      <c r="G75" s="1785">
        <v>40</v>
      </c>
      <c r="H75" s="524"/>
      <c r="I75" s="1409">
        <f t="shared" ref="I75:I88" si="9">IF($O75&gt;0,-PMT(($I$9),$O75,1),0)</f>
        <v>3.9836233162469814E-2</v>
      </c>
      <c r="J75" s="1421">
        <f t="shared" ref="J75:J87" si="10">ROUND(E75*I75,0)</f>
        <v>0</v>
      </c>
      <c r="K75" s="678">
        <v>1.5</v>
      </c>
      <c r="L75" s="1002"/>
      <c r="M75" s="1428">
        <f t="shared" ref="M75:M88" si="11">ROUND(E75/100*IF(ISBLANK(L75),K75,L75),0)</f>
        <v>0</v>
      </c>
      <c r="N75" s="1111"/>
      <c r="O75" s="674">
        <f t="shared" ref="O75:O88" si="12">IF(ISBLANK(H75),G75,H75)</f>
        <v>40</v>
      </c>
      <c r="P75" s="682"/>
      <c r="Q75" s="286"/>
      <c r="R75" s="287"/>
      <c r="S75" s="280"/>
      <c r="T75" s="280"/>
      <c r="U75" s="280"/>
      <c r="V75" s="280"/>
      <c r="W75" s="280"/>
      <c r="X75" s="280"/>
      <c r="Y75" s="280"/>
      <c r="Z75" s="284"/>
      <c r="AA75" s="284"/>
      <c r="AB75" s="284"/>
      <c r="AC75" s="284"/>
      <c r="AD75" s="284"/>
      <c r="AE75" s="284"/>
      <c r="AF75" s="447"/>
      <c r="AG75" s="447"/>
      <c r="AH75" s="447"/>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row>
    <row r="76" spans="1:67" s="88" customFormat="1" ht="10.55" customHeight="1" x14ac:dyDescent="0.2">
      <c r="A76" s="1013" t="s">
        <v>337</v>
      </c>
      <c r="B76" s="2807"/>
      <c r="C76" s="2808"/>
      <c r="D76" s="2809"/>
      <c r="E76" s="2561"/>
      <c r="F76" s="2562"/>
      <c r="G76" s="1785">
        <v>40</v>
      </c>
      <c r="H76" s="524"/>
      <c r="I76" s="1409">
        <f t="shared" si="9"/>
        <v>3.9836233162469814E-2</v>
      </c>
      <c r="J76" s="1421">
        <f t="shared" si="10"/>
        <v>0</v>
      </c>
      <c r="K76" s="678">
        <v>0.5</v>
      </c>
      <c r="L76" s="1002"/>
      <c r="M76" s="1428">
        <f t="shared" si="11"/>
        <v>0</v>
      </c>
      <c r="N76" s="1111"/>
      <c r="O76" s="674">
        <f t="shared" si="12"/>
        <v>40</v>
      </c>
      <c r="P76" s="682"/>
      <c r="Q76" s="286"/>
      <c r="R76" s="287"/>
      <c r="S76" s="280"/>
      <c r="T76" s="280"/>
      <c r="U76" s="280"/>
      <c r="V76" s="280"/>
      <c r="W76" s="280"/>
      <c r="X76" s="280"/>
      <c r="Y76" s="280"/>
      <c r="Z76" s="284"/>
      <c r="AA76" s="284"/>
      <c r="AB76" s="284"/>
      <c r="AC76" s="284"/>
      <c r="AD76" s="284"/>
      <c r="AE76" s="284"/>
      <c r="AF76" s="447"/>
      <c r="AG76" s="447"/>
      <c r="AH76" s="447"/>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row>
    <row r="77" spans="1:67" s="88" customFormat="1" ht="10.55" customHeight="1" x14ac:dyDescent="0.2">
      <c r="A77" s="1013" t="s">
        <v>338</v>
      </c>
      <c r="B77" s="2807"/>
      <c r="C77" s="2808"/>
      <c r="D77" s="2809"/>
      <c r="E77" s="2561"/>
      <c r="F77" s="2562"/>
      <c r="G77" s="1785">
        <v>20</v>
      </c>
      <c r="H77" s="524"/>
      <c r="I77" s="1409">
        <f t="shared" si="9"/>
        <v>6.4147128734474465E-2</v>
      </c>
      <c r="J77" s="1421">
        <f t="shared" si="10"/>
        <v>0</v>
      </c>
      <c r="K77" s="678">
        <v>1</v>
      </c>
      <c r="L77" s="1002"/>
      <c r="M77" s="1428">
        <f t="shared" si="11"/>
        <v>0</v>
      </c>
      <c r="N77" s="1111"/>
      <c r="O77" s="674">
        <f t="shared" si="12"/>
        <v>20</v>
      </c>
      <c r="P77" s="682"/>
      <c r="Q77" s="286"/>
      <c r="R77" s="287"/>
      <c r="S77" s="280"/>
      <c r="T77" s="280"/>
      <c r="U77" s="280"/>
      <c r="V77" s="280"/>
      <c r="W77" s="280"/>
      <c r="X77" s="280"/>
      <c r="Y77" s="280"/>
      <c r="Z77" s="284"/>
      <c r="AA77" s="284"/>
      <c r="AB77" s="284"/>
      <c r="AC77" s="284"/>
      <c r="AD77" s="284"/>
      <c r="AE77" s="284"/>
      <c r="AF77" s="447"/>
      <c r="AG77" s="447"/>
      <c r="AH77" s="447"/>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row>
    <row r="78" spans="1:67" s="88" customFormat="1" ht="10.55" customHeight="1" x14ac:dyDescent="0.2">
      <c r="A78" s="1013" t="s">
        <v>339</v>
      </c>
      <c r="B78" s="2807"/>
      <c r="C78" s="2808"/>
      <c r="D78" s="2809"/>
      <c r="E78" s="2561"/>
      <c r="F78" s="2562"/>
      <c r="G78" s="1785">
        <v>30</v>
      </c>
      <c r="H78" s="524"/>
      <c r="I78" s="1409">
        <f t="shared" si="9"/>
        <v>4.7777640736176463E-2</v>
      </c>
      <c r="J78" s="1421">
        <f t="shared" si="10"/>
        <v>0</v>
      </c>
      <c r="K78" s="678">
        <v>2</v>
      </c>
      <c r="L78" s="1002"/>
      <c r="M78" s="1428">
        <f t="shared" si="11"/>
        <v>0</v>
      </c>
      <c r="N78" s="1111"/>
      <c r="O78" s="674">
        <f t="shared" si="12"/>
        <v>30</v>
      </c>
      <c r="P78" s="682"/>
      <c r="Q78" s="286"/>
      <c r="R78" s="287"/>
      <c r="S78" s="280"/>
      <c r="T78" s="280"/>
      <c r="U78" s="280"/>
      <c r="V78" s="280"/>
      <c r="W78" s="280"/>
      <c r="X78" s="280"/>
      <c r="Y78" s="280"/>
      <c r="Z78" s="284"/>
      <c r="AA78" s="284"/>
      <c r="AB78" s="284"/>
      <c r="AC78" s="284"/>
      <c r="AD78" s="284"/>
      <c r="AE78" s="284"/>
      <c r="AF78" s="447"/>
      <c r="AG78" s="447"/>
      <c r="AH78" s="447"/>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row>
    <row r="79" spans="1:67" s="88" customFormat="1" ht="10.55" customHeight="1" x14ac:dyDescent="0.2">
      <c r="A79" s="1013" t="s">
        <v>340</v>
      </c>
      <c r="B79" s="2807"/>
      <c r="C79" s="2808"/>
      <c r="D79" s="2809"/>
      <c r="E79" s="2561"/>
      <c r="F79" s="2562"/>
      <c r="G79" s="1785">
        <v>30</v>
      </c>
      <c r="H79" s="524"/>
      <c r="I79" s="1409">
        <f t="shared" si="9"/>
        <v>4.7777640736176463E-2</v>
      </c>
      <c r="J79" s="1421">
        <f t="shared" si="10"/>
        <v>0</v>
      </c>
      <c r="K79" s="678">
        <v>1.5</v>
      </c>
      <c r="L79" s="1002"/>
      <c r="M79" s="1428">
        <f t="shared" si="11"/>
        <v>0</v>
      </c>
      <c r="N79" s="1111"/>
      <c r="O79" s="674">
        <f t="shared" si="12"/>
        <v>30</v>
      </c>
      <c r="P79" s="682"/>
      <c r="Q79" s="286"/>
      <c r="R79" s="287"/>
      <c r="S79" s="280"/>
      <c r="T79" s="280"/>
      <c r="U79" s="280"/>
      <c r="V79" s="280"/>
      <c r="W79" s="280"/>
      <c r="X79" s="280"/>
      <c r="Y79" s="280"/>
      <c r="Z79" s="284"/>
      <c r="AA79" s="284"/>
      <c r="AB79" s="284"/>
      <c r="AC79" s="284"/>
      <c r="AD79" s="284"/>
      <c r="AE79" s="284"/>
      <c r="AF79" s="447"/>
      <c r="AG79" s="447"/>
      <c r="AH79" s="447"/>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row>
    <row r="80" spans="1:67" s="88" customFormat="1" ht="10.55" customHeight="1" x14ac:dyDescent="0.2">
      <c r="A80" s="1013" t="s">
        <v>341</v>
      </c>
      <c r="B80" s="2807"/>
      <c r="C80" s="2808"/>
      <c r="D80" s="2809"/>
      <c r="E80" s="2561"/>
      <c r="F80" s="2562"/>
      <c r="G80" s="1785">
        <v>20</v>
      </c>
      <c r="H80" s="524"/>
      <c r="I80" s="1409">
        <f t="shared" si="9"/>
        <v>6.4147128734474465E-2</v>
      </c>
      <c r="J80" s="1421">
        <f t="shared" si="10"/>
        <v>0</v>
      </c>
      <c r="K80" s="678">
        <v>1</v>
      </c>
      <c r="L80" s="1002"/>
      <c r="M80" s="1428">
        <f t="shared" si="11"/>
        <v>0</v>
      </c>
      <c r="N80" s="1111"/>
      <c r="O80" s="674">
        <f t="shared" si="12"/>
        <v>20</v>
      </c>
      <c r="P80" s="682"/>
      <c r="Q80" s="286"/>
      <c r="R80" s="287"/>
      <c r="S80" s="280"/>
      <c r="T80" s="280"/>
      <c r="U80" s="280"/>
      <c r="V80" s="280"/>
      <c r="W80" s="280"/>
      <c r="X80" s="280"/>
      <c r="Y80" s="280"/>
      <c r="Z80" s="284"/>
      <c r="AA80" s="284"/>
      <c r="AB80" s="284"/>
      <c r="AC80" s="284"/>
      <c r="AD80" s="284"/>
      <c r="AE80" s="284"/>
      <c r="AF80" s="447"/>
      <c r="AG80" s="447"/>
      <c r="AH80" s="447"/>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row>
    <row r="81" spans="1:67" s="88" customFormat="1" ht="10.55" customHeight="1" x14ac:dyDescent="0.2">
      <c r="A81" s="1013" t="s">
        <v>827</v>
      </c>
      <c r="B81" s="2807"/>
      <c r="C81" s="2808"/>
      <c r="D81" s="2809"/>
      <c r="E81" s="2561"/>
      <c r="F81" s="2562"/>
      <c r="G81" s="1785">
        <v>15</v>
      </c>
      <c r="H81" s="524"/>
      <c r="I81" s="1409">
        <f t="shared" si="9"/>
        <v>8.0766456051533542E-2</v>
      </c>
      <c r="J81" s="1421">
        <f t="shared" si="10"/>
        <v>0</v>
      </c>
      <c r="K81" s="678">
        <v>4</v>
      </c>
      <c r="L81" s="1002"/>
      <c r="M81" s="1428">
        <f t="shared" si="11"/>
        <v>0</v>
      </c>
      <c r="N81" s="1111"/>
      <c r="O81" s="674">
        <f t="shared" si="12"/>
        <v>15</v>
      </c>
      <c r="P81" s="682"/>
      <c r="Q81" s="286"/>
      <c r="R81" s="287"/>
      <c r="S81" s="280"/>
      <c r="T81" s="280"/>
      <c r="U81" s="280"/>
      <c r="V81" s="280"/>
      <c r="W81" s="280"/>
      <c r="X81" s="280"/>
      <c r="Y81" s="280"/>
      <c r="Z81" s="284"/>
      <c r="AA81" s="284"/>
      <c r="AB81" s="284"/>
      <c r="AC81" s="284"/>
      <c r="AD81" s="284"/>
      <c r="AE81" s="284"/>
      <c r="AF81" s="447"/>
      <c r="AG81" s="447"/>
      <c r="AH81" s="447"/>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row>
    <row r="82" spans="1:67" s="88" customFormat="1" ht="10.55" customHeight="1" x14ac:dyDescent="0.2">
      <c r="A82" s="675"/>
      <c r="B82" s="2807"/>
      <c r="C82" s="2808"/>
      <c r="D82" s="2809"/>
      <c r="E82" s="2561"/>
      <c r="F82" s="2562"/>
      <c r="G82" s="1015"/>
      <c r="H82" s="524"/>
      <c r="I82" s="1409">
        <f t="shared" si="9"/>
        <v>0</v>
      </c>
      <c r="J82" s="1421">
        <f t="shared" si="10"/>
        <v>0</v>
      </c>
      <c r="K82" s="679"/>
      <c r="L82" s="1002"/>
      <c r="M82" s="1428">
        <f t="shared" si="11"/>
        <v>0</v>
      </c>
      <c r="N82" s="1111"/>
      <c r="O82" s="674">
        <f t="shared" si="12"/>
        <v>0</v>
      </c>
      <c r="P82" s="682"/>
      <c r="Q82" s="286"/>
      <c r="R82" s="287"/>
      <c r="S82" s="280"/>
      <c r="T82" s="280"/>
      <c r="U82" s="280"/>
      <c r="V82" s="280"/>
      <c r="W82" s="280"/>
      <c r="X82" s="280"/>
      <c r="Y82" s="280"/>
      <c r="Z82" s="284"/>
      <c r="AA82" s="284"/>
      <c r="AB82" s="284"/>
      <c r="AC82" s="284"/>
      <c r="AD82" s="284"/>
      <c r="AE82" s="284"/>
      <c r="AF82" s="447"/>
      <c r="AG82" s="447"/>
      <c r="AH82" s="447"/>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row>
    <row r="83" spans="1:67" s="88" customFormat="1" ht="10.55" customHeight="1" x14ac:dyDescent="0.2">
      <c r="A83" s="675"/>
      <c r="B83" s="2807"/>
      <c r="C83" s="2808"/>
      <c r="D83" s="2809"/>
      <c r="E83" s="2561"/>
      <c r="F83" s="2562"/>
      <c r="G83" s="1015"/>
      <c r="H83" s="524"/>
      <c r="I83" s="1409">
        <f t="shared" si="9"/>
        <v>0</v>
      </c>
      <c r="J83" s="1421">
        <f t="shared" si="10"/>
        <v>0</v>
      </c>
      <c r="K83" s="679"/>
      <c r="L83" s="1002"/>
      <c r="M83" s="1428">
        <f t="shared" si="11"/>
        <v>0</v>
      </c>
      <c r="N83" s="1111"/>
      <c r="O83" s="674">
        <f t="shared" si="12"/>
        <v>0</v>
      </c>
      <c r="P83" s="682"/>
      <c r="Q83" s="286"/>
      <c r="R83" s="287"/>
      <c r="S83" s="280"/>
      <c r="T83" s="280"/>
      <c r="U83" s="280"/>
      <c r="V83" s="280"/>
      <c r="W83" s="280"/>
      <c r="X83" s="280"/>
      <c r="Y83" s="280"/>
      <c r="Z83" s="284"/>
      <c r="AA83" s="284"/>
      <c r="AB83" s="284"/>
      <c r="AC83" s="284"/>
      <c r="AD83" s="284"/>
      <c r="AE83" s="284"/>
      <c r="AF83" s="447"/>
      <c r="AG83" s="447"/>
      <c r="AH83" s="447"/>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row>
    <row r="84" spans="1:67" s="88" customFormat="1" ht="10.55" customHeight="1" x14ac:dyDescent="0.2">
      <c r="A84" s="675"/>
      <c r="B84" s="2807"/>
      <c r="C84" s="2808"/>
      <c r="D84" s="2809"/>
      <c r="E84" s="2561"/>
      <c r="F84" s="2562"/>
      <c r="G84" s="1015"/>
      <c r="H84" s="524"/>
      <c r="I84" s="1409">
        <f t="shared" si="9"/>
        <v>0</v>
      </c>
      <c r="J84" s="1421">
        <f t="shared" si="10"/>
        <v>0</v>
      </c>
      <c r="K84" s="679"/>
      <c r="L84" s="1002"/>
      <c r="M84" s="1428">
        <f t="shared" si="11"/>
        <v>0</v>
      </c>
      <c r="N84" s="1111"/>
      <c r="O84" s="674">
        <f t="shared" si="12"/>
        <v>0</v>
      </c>
      <c r="P84" s="682"/>
      <c r="Q84" s="286"/>
      <c r="R84" s="287"/>
      <c r="S84" s="280"/>
      <c r="T84" s="280"/>
      <c r="U84" s="280"/>
      <c r="V84" s="280"/>
      <c r="W84" s="280"/>
      <c r="X84" s="280"/>
      <c r="Y84" s="280"/>
      <c r="Z84" s="284"/>
      <c r="AA84" s="284"/>
      <c r="AB84" s="284"/>
      <c r="AC84" s="284"/>
      <c r="AD84" s="284"/>
      <c r="AE84" s="284"/>
      <c r="AF84" s="447"/>
      <c r="AG84" s="447"/>
      <c r="AH84" s="447"/>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row>
    <row r="85" spans="1:67" s="88" customFormat="1" ht="10.55" customHeight="1" x14ac:dyDescent="0.2">
      <c r="A85" s="675"/>
      <c r="B85" s="2807"/>
      <c r="C85" s="2808"/>
      <c r="D85" s="2809"/>
      <c r="E85" s="2561"/>
      <c r="F85" s="2562"/>
      <c r="G85" s="1015"/>
      <c r="H85" s="524"/>
      <c r="I85" s="1409">
        <f t="shared" si="9"/>
        <v>0</v>
      </c>
      <c r="J85" s="1421">
        <f t="shared" si="10"/>
        <v>0</v>
      </c>
      <c r="K85" s="679"/>
      <c r="L85" s="1002"/>
      <c r="M85" s="1428">
        <f t="shared" si="11"/>
        <v>0</v>
      </c>
      <c r="N85" s="1111"/>
      <c r="O85" s="674">
        <f t="shared" si="12"/>
        <v>0</v>
      </c>
      <c r="P85" s="682"/>
      <c r="Q85" s="286"/>
      <c r="R85" s="287"/>
      <c r="S85" s="280"/>
      <c r="T85" s="280"/>
      <c r="U85" s="280"/>
      <c r="V85" s="280"/>
      <c r="W85" s="280"/>
      <c r="X85" s="280"/>
      <c r="Y85" s="280"/>
      <c r="Z85" s="284"/>
      <c r="AA85" s="284"/>
      <c r="AB85" s="284"/>
      <c r="AC85" s="284"/>
      <c r="AD85" s="284"/>
      <c r="AE85" s="284"/>
      <c r="AF85" s="447"/>
      <c r="AG85" s="447"/>
      <c r="AH85" s="447"/>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row>
    <row r="86" spans="1:67" s="88" customFormat="1" ht="10.55" customHeight="1" x14ac:dyDescent="0.2">
      <c r="A86" s="675"/>
      <c r="B86" s="2807"/>
      <c r="C86" s="2808"/>
      <c r="D86" s="2809"/>
      <c r="E86" s="2561"/>
      <c r="F86" s="2562"/>
      <c r="G86" s="1015"/>
      <c r="H86" s="524"/>
      <c r="I86" s="1409">
        <f t="shared" si="9"/>
        <v>0</v>
      </c>
      <c r="J86" s="1421">
        <f t="shared" si="10"/>
        <v>0</v>
      </c>
      <c r="K86" s="679"/>
      <c r="L86" s="1002"/>
      <c r="M86" s="1428">
        <f t="shared" si="11"/>
        <v>0</v>
      </c>
      <c r="N86" s="1111"/>
      <c r="O86" s="674">
        <f t="shared" si="12"/>
        <v>0</v>
      </c>
      <c r="P86" s="682"/>
      <c r="Q86" s="286"/>
      <c r="R86" s="287"/>
      <c r="S86" s="280"/>
      <c r="T86" s="280"/>
      <c r="U86" s="280"/>
      <c r="V86" s="280"/>
      <c r="W86" s="280"/>
      <c r="X86" s="280"/>
      <c r="Y86" s="280"/>
      <c r="Z86" s="284"/>
      <c r="AA86" s="284"/>
      <c r="AB86" s="284"/>
      <c r="AC86" s="284"/>
      <c r="AD86" s="284"/>
      <c r="AE86" s="284"/>
      <c r="AF86" s="447"/>
      <c r="AG86" s="447"/>
      <c r="AH86" s="447"/>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row>
    <row r="87" spans="1:67" s="88" customFormat="1" ht="10.55" customHeight="1" x14ac:dyDescent="0.2">
      <c r="A87" s="675"/>
      <c r="B87" s="2807"/>
      <c r="C87" s="2808"/>
      <c r="D87" s="2809"/>
      <c r="E87" s="2561"/>
      <c r="F87" s="2562"/>
      <c r="G87" s="1015"/>
      <c r="H87" s="524"/>
      <c r="I87" s="1409">
        <f t="shared" si="9"/>
        <v>0</v>
      </c>
      <c r="J87" s="1421">
        <f t="shared" si="10"/>
        <v>0</v>
      </c>
      <c r="K87" s="679"/>
      <c r="L87" s="1002"/>
      <c r="M87" s="1428">
        <f t="shared" si="11"/>
        <v>0</v>
      </c>
      <c r="N87" s="1111"/>
      <c r="O87" s="674">
        <f t="shared" si="12"/>
        <v>0</v>
      </c>
      <c r="P87" s="682"/>
      <c r="Q87" s="286"/>
      <c r="R87" s="287"/>
      <c r="S87" s="280"/>
      <c r="T87" s="280"/>
      <c r="U87" s="280"/>
      <c r="V87" s="280"/>
      <c r="W87" s="280"/>
      <c r="X87" s="280"/>
      <c r="Y87" s="280"/>
      <c r="Z87" s="284"/>
      <c r="AA87" s="284"/>
      <c r="AB87" s="284"/>
      <c r="AC87" s="284"/>
      <c r="AD87" s="284"/>
      <c r="AE87" s="284"/>
      <c r="AF87" s="447"/>
      <c r="AG87" s="447"/>
      <c r="AH87" s="447"/>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row>
    <row r="88" spans="1:67" s="88" customFormat="1" ht="10.55" customHeight="1" x14ac:dyDescent="0.2">
      <c r="A88" s="1017"/>
      <c r="B88" s="2804"/>
      <c r="C88" s="2805"/>
      <c r="D88" s="2806"/>
      <c r="E88" s="2793"/>
      <c r="F88" s="2794"/>
      <c r="G88" s="1018"/>
      <c r="H88" s="1019"/>
      <c r="I88" s="1436">
        <f t="shared" si="9"/>
        <v>0</v>
      </c>
      <c r="J88" s="1422"/>
      <c r="K88" s="680"/>
      <c r="L88" s="1020"/>
      <c r="M88" s="1429">
        <f t="shared" si="11"/>
        <v>0</v>
      </c>
      <c r="N88" s="1111"/>
      <c r="O88" s="674">
        <f t="shared" si="12"/>
        <v>0</v>
      </c>
      <c r="P88" s="682"/>
      <c r="Q88" s="286"/>
      <c r="R88" s="287"/>
      <c r="S88" s="280"/>
      <c r="T88" s="280"/>
      <c r="U88" s="280"/>
      <c r="V88" s="280"/>
      <c r="W88" s="280"/>
      <c r="X88" s="280"/>
      <c r="Y88" s="280"/>
      <c r="Z88" s="284"/>
      <c r="AA88" s="284"/>
      <c r="AB88" s="284"/>
      <c r="AC88" s="284"/>
      <c r="AD88" s="284"/>
      <c r="AE88" s="284"/>
      <c r="AF88" s="447"/>
      <c r="AG88" s="447"/>
      <c r="AH88" s="447"/>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row>
    <row r="89" spans="1:67" s="88" customFormat="1" ht="10.55" customHeight="1" x14ac:dyDescent="0.2">
      <c r="A89" s="1122" t="s">
        <v>342</v>
      </c>
      <c r="B89" s="2783"/>
      <c r="C89" s="2784"/>
      <c r="D89" s="2785"/>
      <c r="E89" s="2810">
        <f>SUM(E90:E104)</f>
        <v>0</v>
      </c>
      <c r="F89" s="2811"/>
      <c r="G89" s="2747"/>
      <c r="H89" s="2748"/>
      <c r="I89" s="1435">
        <f>IF(E89=0,0,J89/E89)</f>
        <v>0</v>
      </c>
      <c r="J89" s="1423">
        <f>SUM(J90:J104)</f>
        <v>0</v>
      </c>
      <c r="K89" s="2749">
        <f>IF(E89=0,0,M89/E89*100)</f>
        <v>0</v>
      </c>
      <c r="L89" s="2750"/>
      <c r="M89" s="1430">
        <f>SUM(M90:M104)</f>
        <v>0</v>
      </c>
      <c r="N89" s="1111"/>
      <c r="O89" s="387">
        <f>IF(H89="",G89,H89)</f>
        <v>0</v>
      </c>
      <c r="P89" s="682"/>
      <c r="Q89" s="286"/>
      <c r="R89" s="287"/>
      <c r="S89" s="280"/>
      <c r="T89" s="280"/>
      <c r="U89" s="280"/>
      <c r="V89" s="280"/>
      <c r="W89" s="280"/>
      <c r="X89" s="280"/>
      <c r="Y89" s="280"/>
      <c r="Z89" s="284"/>
      <c r="AA89" s="284"/>
      <c r="AB89" s="284"/>
      <c r="AC89" s="284"/>
      <c r="AD89" s="284"/>
      <c r="AE89" s="284"/>
      <c r="AF89" s="447"/>
      <c r="AG89" s="447"/>
      <c r="AH89" s="447"/>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row>
    <row r="90" spans="1:67" s="88" customFormat="1" ht="10.55" customHeight="1" x14ac:dyDescent="0.2">
      <c r="A90" s="1013" t="s">
        <v>58</v>
      </c>
      <c r="B90" s="2790"/>
      <c r="C90" s="2791"/>
      <c r="D90" s="2792"/>
      <c r="E90" s="2734"/>
      <c r="F90" s="2735"/>
      <c r="G90" s="1785">
        <v>20</v>
      </c>
      <c r="H90" s="524"/>
      <c r="I90" s="1409">
        <f t="shared" ref="I90:I105" si="13">IF($O90&gt;0,-PMT(($I$9),$O90,1),0)</f>
        <v>6.4147128734474465E-2</v>
      </c>
      <c r="J90" s="1421">
        <f t="shared" ref="J90:J104" si="14">ROUND(E90*I90,0)</f>
        <v>0</v>
      </c>
      <c r="K90" s="678">
        <v>2.5</v>
      </c>
      <c r="L90" s="1002"/>
      <c r="M90" s="1428">
        <f t="shared" ref="M90:M105" si="15">ROUND(E90/100*IF(ISBLANK(L90),K90,L90),0)</f>
        <v>0</v>
      </c>
      <c r="N90" s="1111"/>
      <c r="O90" s="674">
        <f t="shared" ref="O90:O105" si="16">IF(ISBLANK(H90),G90,H90)</f>
        <v>20</v>
      </c>
      <c r="P90" s="682"/>
      <c r="Q90" s="286"/>
      <c r="R90" s="287"/>
      <c r="S90" s="280"/>
      <c r="T90" s="280"/>
      <c r="U90" s="280"/>
      <c r="V90" s="280"/>
      <c r="W90" s="280"/>
      <c r="X90" s="280"/>
      <c r="Y90" s="280"/>
      <c r="Z90" s="284"/>
      <c r="AA90" s="284"/>
      <c r="AB90" s="284"/>
      <c r="AC90" s="284"/>
      <c r="AD90" s="284"/>
      <c r="AE90" s="284"/>
      <c r="AF90" s="447"/>
      <c r="AG90" s="447"/>
      <c r="AH90" s="447"/>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row>
    <row r="91" spans="1:67" s="88" customFormat="1" ht="10.55" customHeight="1" x14ac:dyDescent="0.2">
      <c r="A91" s="1013" t="s">
        <v>59</v>
      </c>
      <c r="B91" s="2807"/>
      <c r="C91" s="2808"/>
      <c r="D91" s="2809"/>
      <c r="E91" s="2561"/>
      <c r="F91" s="2562"/>
      <c r="G91" s="1785">
        <v>20</v>
      </c>
      <c r="H91" s="524"/>
      <c r="I91" s="1409">
        <f t="shared" si="13"/>
        <v>6.4147128734474465E-2</v>
      </c>
      <c r="J91" s="1421">
        <f t="shared" si="14"/>
        <v>0</v>
      </c>
      <c r="K91" s="678">
        <v>2.5</v>
      </c>
      <c r="L91" s="1002"/>
      <c r="M91" s="1428">
        <f t="shared" si="15"/>
        <v>0</v>
      </c>
      <c r="N91" s="1111"/>
      <c r="O91" s="674">
        <f t="shared" si="16"/>
        <v>20</v>
      </c>
      <c r="P91" s="682"/>
      <c r="Q91" s="286"/>
      <c r="R91" s="287"/>
      <c r="S91" s="280"/>
      <c r="T91" s="280"/>
      <c r="U91" s="280"/>
      <c r="V91" s="280"/>
      <c r="W91" s="280"/>
      <c r="X91" s="280"/>
      <c r="Y91" s="280"/>
      <c r="Z91" s="284"/>
      <c r="AA91" s="284"/>
      <c r="AB91" s="284"/>
      <c r="AC91" s="284"/>
      <c r="AD91" s="284"/>
      <c r="AE91" s="284"/>
      <c r="AF91" s="447"/>
      <c r="AG91" s="447"/>
      <c r="AH91" s="447"/>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row>
    <row r="92" spans="1:67" s="88" customFormat="1" ht="10.55" customHeight="1" x14ac:dyDescent="0.2">
      <c r="A92" s="1013" t="s">
        <v>830</v>
      </c>
      <c r="B92" s="2807"/>
      <c r="C92" s="2808"/>
      <c r="D92" s="2809"/>
      <c r="E92" s="2561"/>
      <c r="F92" s="2562"/>
      <c r="G92" s="1785">
        <v>20</v>
      </c>
      <c r="H92" s="524"/>
      <c r="I92" s="1409">
        <f t="shared" si="13"/>
        <v>6.4147128734474465E-2</v>
      </c>
      <c r="J92" s="1421">
        <f t="shared" si="14"/>
        <v>0</v>
      </c>
      <c r="K92" s="678">
        <v>5</v>
      </c>
      <c r="L92" s="1002"/>
      <c r="M92" s="1428">
        <f t="shared" si="15"/>
        <v>0</v>
      </c>
      <c r="N92" s="1111"/>
      <c r="O92" s="674">
        <f t="shared" si="16"/>
        <v>20</v>
      </c>
      <c r="P92" s="682"/>
      <c r="Q92" s="286"/>
      <c r="R92" s="287"/>
      <c r="S92" s="280"/>
      <c r="T92" s="280"/>
      <c r="U92" s="280"/>
      <c r="V92" s="280"/>
      <c r="W92" s="280"/>
      <c r="X92" s="280"/>
      <c r="Y92" s="280"/>
      <c r="Z92" s="284"/>
      <c r="AA92" s="284"/>
      <c r="AB92" s="284"/>
      <c r="AC92" s="284"/>
      <c r="AD92" s="284"/>
      <c r="AE92" s="284"/>
      <c r="AF92" s="447"/>
      <c r="AG92" s="447"/>
      <c r="AH92" s="447"/>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row>
    <row r="93" spans="1:67" s="88" customFormat="1" ht="10.55" customHeight="1" x14ac:dyDescent="0.2">
      <c r="A93" s="1013" t="s">
        <v>75</v>
      </c>
      <c r="B93" s="2807"/>
      <c r="C93" s="2808"/>
      <c r="D93" s="2809"/>
      <c r="E93" s="2561"/>
      <c r="F93" s="2562"/>
      <c r="G93" s="1785">
        <v>20</v>
      </c>
      <c r="H93" s="524"/>
      <c r="I93" s="1409">
        <f t="shared" si="13"/>
        <v>6.4147128734474465E-2</v>
      </c>
      <c r="J93" s="1421">
        <f t="shared" si="14"/>
        <v>0</v>
      </c>
      <c r="K93" s="678">
        <v>3.5</v>
      </c>
      <c r="L93" s="1002"/>
      <c r="M93" s="1428">
        <f t="shared" si="15"/>
        <v>0</v>
      </c>
      <c r="N93" s="1111"/>
      <c r="O93" s="674">
        <f t="shared" si="16"/>
        <v>20</v>
      </c>
      <c r="P93" s="682"/>
      <c r="Q93" s="286"/>
      <c r="R93" s="287"/>
      <c r="S93" s="280"/>
      <c r="T93" s="280"/>
      <c r="U93" s="280"/>
      <c r="V93" s="280"/>
      <c r="W93" s="280"/>
      <c r="X93" s="280"/>
      <c r="Y93" s="280"/>
      <c r="Z93" s="284"/>
      <c r="AA93" s="284"/>
      <c r="AB93" s="284"/>
      <c r="AC93" s="284"/>
      <c r="AD93" s="284"/>
      <c r="AE93" s="284"/>
      <c r="AF93" s="447"/>
      <c r="AG93" s="447"/>
      <c r="AH93" s="447"/>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row>
    <row r="94" spans="1:67" s="88" customFormat="1" ht="10.55" customHeight="1" x14ac:dyDescent="0.2">
      <c r="A94" s="1013" t="s">
        <v>82</v>
      </c>
      <c r="B94" s="2807"/>
      <c r="C94" s="2808"/>
      <c r="D94" s="2809"/>
      <c r="E94" s="2561"/>
      <c r="F94" s="2562"/>
      <c r="G94" s="1785">
        <v>20</v>
      </c>
      <c r="H94" s="524"/>
      <c r="I94" s="1409">
        <f t="shared" si="13"/>
        <v>6.4147128734474465E-2</v>
      </c>
      <c r="J94" s="1421">
        <f t="shared" si="14"/>
        <v>0</v>
      </c>
      <c r="K94" s="678">
        <v>3.5</v>
      </c>
      <c r="L94" s="1002"/>
      <c r="M94" s="1428">
        <f t="shared" si="15"/>
        <v>0</v>
      </c>
      <c r="N94" s="1111"/>
      <c r="O94" s="674">
        <f t="shared" si="16"/>
        <v>20</v>
      </c>
      <c r="P94" s="682"/>
      <c r="Q94" s="286"/>
      <c r="R94" s="287"/>
      <c r="S94" s="280"/>
      <c r="T94" s="280"/>
      <c r="U94" s="280"/>
      <c r="V94" s="280"/>
      <c r="W94" s="280"/>
      <c r="X94" s="280"/>
      <c r="Y94" s="280"/>
      <c r="Z94" s="284"/>
      <c r="AA94" s="284"/>
      <c r="AB94" s="284"/>
      <c r="AC94" s="284"/>
      <c r="AD94" s="284"/>
      <c r="AE94" s="284"/>
      <c r="AF94" s="447"/>
      <c r="AG94" s="447"/>
      <c r="AH94" s="447"/>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row>
    <row r="95" spans="1:67" s="88" customFormat="1" ht="10.55" customHeight="1" x14ac:dyDescent="0.2">
      <c r="A95" s="1013" t="s">
        <v>831</v>
      </c>
      <c r="B95" s="2807"/>
      <c r="C95" s="2808"/>
      <c r="D95" s="2809"/>
      <c r="E95" s="2561"/>
      <c r="F95" s="2562"/>
      <c r="G95" s="1785">
        <v>20</v>
      </c>
      <c r="H95" s="524"/>
      <c r="I95" s="1409">
        <f t="shared" si="13"/>
        <v>6.4147128734474465E-2</v>
      </c>
      <c r="J95" s="1421">
        <f t="shared" si="14"/>
        <v>0</v>
      </c>
      <c r="K95" s="678">
        <v>3.5</v>
      </c>
      <c r="L95" s="1002"/>
      <c r="M95" s="1428">
        <f t="shared" si="15"/>
        <v>0</v>
      </c>
      <c r="N95" s="1111"/>
      <c r="O95" s="674">
        <f t="shared" si="16"/>
        <v>20</v>
      </c>
      <c r="P95" s="682"/>
      <c r="Q95" s="286"/>
      <c r="R95" s="287"/>
      <c r="S95" s="280"/>
      <c r="T95" s="280"/>
      <c r="U95" s="280"/>
      <c r="V95" s="280"/>
      <c r="W95" s="280"/>
      <c r="X95" s="280"/>
      <c r="Y95" s="280"/>
      <c r="Z95" s="284"/>
      <c r="AA95" s="284"/>
      <c r="AB95" s="284"/>
      <c r="AC95" s="284"/>
      <c r="AD95" s="284"/>
      <c r="AE95" s="284"/>
      <c r="AF95" s="447"/>
      <c r="AG95" s="447"/>
      <c r="AH95" s="447"/>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row>
    <row r="96" spans="1:67" s="88" customFormat="1" ht="10.55" customHeight="1" x14ac:dyDescent="0.2">
      <c r="A96" s="1013" t="s">
        <v>90</v>
      </c>
      <c r="B96" s="2807"/>
      <c r="C96" s="2808"/>
      <c r="D96" s="2809"/>
      <c r="E96" s="2561"/>
      <c r="F96" s="2562"/>
      <c r="G96" s="1785">
        <v>20</v>
      </c>
      <c r="H96" s="524"/>
      <c r="I96" s="1409">
        <f t="shared" si="13"/>
        <v>6.4147128734474465E-2</v>
      </c>
      <c r="J96" s="1421">
        <f t="shared" si="14"/>
        <v>0</v>
      </c>
      <c r="K96" s="678">
        <v>3.5</v>
      </c>
      <c r="L96" s="1002"/>
      <c r="M96" s="1428">
        <f t="shared" si="15"/>
        <v>0</v>
      </c>
      <c r="N96" s="1111"/>
      <c r="O96" s="674">
        <f t="shared" si="16"/>
        <v>20</v>
      </c>
      <c r="P96" s="682"/>
      <c r="Q96" s="286"/>
      <c r="R96" s="287"/>
      <c r="S96" s="280"/>
      <c r="T96" s="280"/>
      <c r="U96" s="280"/>
      <c r="V96" s="280"/>
      <c r="W96" s="280"/>
      <c r="X96" s="280"/>
      <c r="Y96" s="280"/>
      <c r="Z96" s="284"/>
      <c r="AA96" s="284"/>
      <c r="AB96" s="284"/>
      <c r="AC96" s="284"/>
      <c r="AD96" s="284"/>
      <c r="AE96" s="284"/>
      <c r="AF96" s="447"/>
      <c r="AG96" s="447"/>
      <c r="AH96" s="447"/>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row>
    <row r="97" spans="1:67" s="88" customFormat="1" ht="10.55" customHeight="1" x14ac:dyDescent="0.2">
      <c r="A97" s="1013" t="s">
        <v>177</v>
      </c>
      <c r="B97" s="2807"/>
      <c r="C97" s="2808"/>
      <c r="D97" s="2809"/>
      <c r="E97" s="2561"/>
      <c r="F97" s="2562"/>
      <c r="G97" s="1785">
        <v>20</v>
      </c>
      <c r="H97" s="524"/>
      <c r="I97" s="1409">
        <f t="shared" si="13"/>
        <v>6.4147128734474465E-2</v>
      </c>
      <c r="J97" s="1421">
        <f t="shared" si="14"/>
        <v>0</v>
      </c>
      <c r="K97" s="678">
        <v>3.5</v>
      </c>
      <c r="L97" s="1002"/>
      <c r="M97" s="1428">
        <f t="shared" si="15"/>
        <v>0</v>
      </c>
      <c r="N97" s="1111"/>
      <c r="O97" s="674">
        <f t="shared" si="16"/>
        <v>20</v>
      </c>
      <c r="P97" s="682"/>
      <c r="Q97" s="286"/>
      <c r="R97" s="287"/>
      <c r="S97" s="280"/>
      <c r="T97" s="280"/>
      <c r="U97" s="280"/>
      <c r="V97" s="280"/>
      <c r="W97" s="280"/>
      <c r="X97" s="280"/>
      <c r="Y97" s="280"/>
      <c r="Z97" s="284"/>
      <c r="AA97" s="284"/>
      <c r="AB97" s="284"/>
      <c r="AC97" s="284"/>
      <c r="AD97" s="284"/>
      <c r="AE97" s="284"/>
      <c r="AF97" s="447"/>
      <c r="AG97" s="447"/>
      <c r="AH97" s="447"/>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row>
    <row r="98" spans="1:67" s="88" customFormat="1" ht="10.55" customHeight="1" x14ac:dyDescent="0.2">
      <c r="A98" s="1013" t="s">
        <v>828</v>
      </c>
      <c r="B98" s="2807"/>
      <c r="C98" s="2808"/>
      <c r="D98" s="2809"/>
      <c r="E98" s="2561"/>
      <c r="F98" s="2562"/>
      <c r="G98" s="1785">
        <v>20</v>
      </c>
      <c r="H98" s="524"/>
      <c r="I98" s="1409">
        <f t="shared" si="13"/>
        <v>6.4147128734474465E-2</v>
      </c>
      <c r="J98" s="1421">
        <f t="shared" si="14"/>
        <v>0</v>
      </c>
      <c r="K98" s="678">
        <v>1.5</v>
      </c>
      <c r="L98" s="1002"/>
      <c r="M98" s="1428">
        <f t="shared" si="15"/>
        <v>0</v>
      </c>
      <c r="N98" s="1111"/>
      <c r="O98" s="674">
        <f t="shared" si="16"/>
        <v>20</v>
      </c>
      <c r="P98" s="682"/>
      <c r="Q98" s="286"/>
      <c r="R98" s="287"/>
      <c r="S98" s="280"/>
      <c r="T98" s="280"/>
      <c r="U98" s="280"/>
      <c r="V98" s="280"/>
      <c r="W98" s="280"/>
      <c r="X98" s="280"/>
      <c r="Y98" s="280"/>
      <c r="Z98" s="284"/>
      <c r="AA98" s="284"/>
      <c r="AB98" s="284"/>
      <c r="AC98" s="284"/>
      <c r="AD98" s="284"/>
      <c r="AE98" s="284"/>
      <c r="AF98" s="447"/>
      <c r="AG98" s="447"/>
      <c r="AH98" s="447"/>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row>
    <row r="99" spans="1:67" s="88" customFormat="1" ht="10.55" customHeight="1" x14ac:dyDescent="0.2">
      <c r="A99" s="1013" t="s">
        <v>829</v>
      </c>
      <c r="B99" s="2807"/>
      <c r="C99" s="2808"/>
      <c r="D99" s="2809"/>
      <c r="E99" s="2561"/>
      <c r="F99" s="2562"/>
      <c r="G99" s="1785">
        <v>20</v>
      </c>
      <c r="H99" s="524"/>
      <c r="I99" s="1409">
        <f t="shared" si="13"/>
        <v>6.4147128734474465E-2</v>
      </c>
      <c r="J99" s="1421">
        <f t="shared" ref="J99:J100" si="17">ROUND(E99*I99,0)</f>
        <v>0</v>
      </c>
      <c r="K99" s="678">
        <v>1.5</v>
      </c>
      <c r="L99" s="1002"/>
      <c r="M99" s="1428">
        <f t="shared" ref="M99:M100" si="18">ROUND(E99/100*IF(ISBLANK(L99),K99,L99),0)</f>
        <v>0</v>
      </c>
      <c r="N99" s="1791"/>
      <c r="O99" s="674">
        <f t="shared" ref="O99:O100" si="19">IF(ISBLANK(H99),G99,H99)</f>
        <v>20</v>
      </c>
      <c r="P99" s="682"/>
      <c r="Q99" s="286"/>
      <c r="R99" s="287"/>
      <c r="S99" s="280"/>
      <c r="T99" s="280"/>
      <c r="U99" s="280"/>
      <c r="V99" s="280"/>
      <c r="W99" s="280"/>
      <c r="X99" s="280"/>
      <c r="Y99" s="280"/>
      <c r="Z99" s="284"/>
      <c r="AA99" s="284"/>
      <c r="AB99" s="284"/>
      <c r="AC99" s="284"/>
      <c r="AD99" s="284"/>
      <c r="AE99" s="284"/>
      <c r="AF99" s="447"/>
      <c r="AG99" s="447"/>
      <c r="AH99" s="447"/>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row>
    <row r="100" spans="1:67" s="88" customFormat="1" ht="10.55" customHeight="1" x14ac:dyDescent="0.2">
      <c r="A100" s="1013" t="s">
        <v>343</v>
      </c>
      <c r="B100" s="2807"/>
      <c r="C100" s="2808"/>
      <c r="D100" s="2809"/>
      <c r="E100" s="2561"/>
      <c r="F100" s="2562"/>
      <c r="G100" s="1785">
        <v>30</v>
      </c>
      <c r="H100" s="524"/>
      <c r="I100" s="1409">
        <f t="shared" si="13"/>
        <v>4.7777640736176463E-2</v>
      </c>
      <c r="J100" s="1421">
        <f t="shared" si="17"/>
        <v>0</v>
      </c>
      <c r="K100" s="678">
        <v>0.5</v>
      </c>
      <c r="L100" s="1002"/>
      <c r="M100" s="1428">
        <f t="shared" si="18"/>
        <v>0</v>
      </c>
      <c r="N100" s="1791"/>
      <c r="O100" s="674">
        <f t="shared" si="19"/>
        <v>30</v>
      </c>
      <c r="P100" s="682"/>
      <c r="Q100" s="286"/>
      <c r="R100" s="287"/>
      <c r="S100" s="280"/>
      <c r="T100" s="280"/>
      <c r="U100" s="280"/>
      <c r="V100" s="280"/>
      <c r="W100" s="280"/>
      <c r="X100" s="280"/>
      <c r="Y100" s="280"/>
      <c r="Z100" s="284"/>
      <c r="AA100" s="284"/>
      <c r="AB100" s="284"/>
      <c r="AC100" s="284"/>
      <c r="AD100" s="284"/>
      <c r="AE100" s="284"/>
      <c r="AF100" s="447"/>
      <c r="AG100" s="447"/>
      <c r="AH100" s="447"/>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row>
    <row r="101" spans="1:67" s="88" customFormat="1" ht="10.55" customHeight="1" x14ac:dyDescent="0.2">
      <c r="A101" s="1013" t="s">
        <v>344</v>
      </c>
      <c r="B101" s="2807"/>
      <c r="C101" s="2808"/>
      <c r="D101" s="2809"/>
      <c r="E101" s="2561"/>
      <c r="F101" s="2562"/>
      <c r="G101" s="1785">
        <v>30</v>
      </c>
      <c r="H101" s="524"/>
      <c r="I101" s="1409">
        <f t="shared" si="13"/>
        <v>4.7777640736176463E-2</v>
      </c>
      <c r="J101" s="1421">
        <f t="shared" si="14"/>
        <v>0</v>
      </c>
      <c r="K101" s="678">
        <v>0.5</v>
      </c>
      <c r="L101" s="1002"/>
      <c r="M101" s="1428">
        <f t="shared" si="15"/>
        <v>0</v>
      </c>
      <c r="N101" s="1111"/>
      <c r="O101" s="674">
        <f t="shared" si="16"/>
        <v>30</v>
      </c>
      <c r="P101" s="682"/>
      <c r="Q101" s="286"/>
      <c r="R101" s="287"/>
      <c r="S101" s="280"/>
      <c r="T101" s="280"/>
      <c r="U101" s="280"/>
      <c r="V101" s="280"/>
      <c r="W101" s="280"/>
      <c r="X101" s="280"/>
      <c r="Y101" s="280"/>
      <c r="Z101" s="284"/>
      <c r="AA101" s="284"/>
      <c r="AB101" s="284"/>
      <c r="AC101" s="284"/>
      <c r="AD101" s="284"/>
      <c r="AE101" s="284"/>
      <c r="AF101" s="447"/>
      <c r="AG101" s="447"/>
      <c r="AH101" s="447"/>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row>
    <row r="102" spans="1:67" s="88" customFormat="1" ht="10.55" customHeight="1" x14ac:dyDescent="0.2">
      <c r="A102" s="1013" t="s">
        <v>334</v>
      </c>
      <c r="B102" s="2807"/>
      <c r="C102" s="2808"/>
      <c r="D102" s="2809"/>
      <c r="E102" s="2561"/>
      <c r="F102" s="2562"/>
      <c r="G102" s="1785">
        <v>30</v>
      </c>
      <c r="H102" s="524"/>
      <c r="I102" s="1409">
        <f t="shared" si="13"/>
        <v>4.7777640736176463E-2</v>
      </c>
      <c r="J102" s="1421">
        <f t="shared" si="14"/>
        <v>0</v>
      </c>
      <c r="K102" s="678">
        <v>0</v>
      </c>
      <c r="L102" s="1002"/>
      <c r="M102" s="1428">
        <f t="shared" si="15"/>
        <v>0</v>
      </c>
      <c r="N102" s="1111"/>
      <c r="O102" s="674">
        <f t="shared" si="16"/>
        <v>30</v>
      </c>
      <c r="P102" s="682"/>
      <c r="Q102" s="286"/>
      <c r="R102" s="287"/>
      <c r="S102" s="280"/>
      <c r="T102" s="280"/>
      <c r="U102" s="280"/>
      <c r="V102" s="280"/>
      <c r="W102" s="280"/>
      <c r="X102" s="280"/>
      <c r="Y102" s="280"/>
      <c r="Z102" s="284"/>
      <c r="AA102" s="284"/>
      <c r="AB102" s="284"/>
      <c r="AC102" s="284"/>
      <c r="AD102" s="284"/>
      <c r="AE102" s="284"/>
      <c r="AF102" s="447"/>
      <c r="AG102" s="447"/>
      <c r="AH102" s="447"/>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row>
    <row r="103" spans="1:67" s="88" customFormat="1" ht="10.55" customHeight="1" x14ac:dyDescent="0.2">
      <c r="A103" s="675"/>
      <c r="B103" s="2807"/>
      <c r="C103" s="2808"/>
      <c r="D103" s="2809"/>
      <c r="E103" s="2561"/>
      <c r="F103" s="2562"/>
      <c r="G103" s="1015"/>
      <c r="H103" s="524"/>
      <c r="I103" s="1409">
        <f t="shared" si="13"/>
        <v>0</v>
      </c>
      <c r="J103" s="1421">
        <f t="shared" si="14"/>
        <v>0</v>
      </c>
      <c r="K103" s="679"/>
      <c r="L103" s="1002"/>
      <c r="M103" s="1428">
        <f t="shared" si="15"/>
        <v>0</v>
      </c>
      <c r="N103" s="1111"/>
      <c r="O103" s="674">
        <f t="shared" si="16"/>
        <v>0</v>
      </c>
      <c r="P103" s="682"/>
      <c r="Q103" s="286"/>
      <c r="R103" s="287"/>
      <c r="S103" s="280"/>
      <c r="T103" s="280"/>
      <c r="U103" s="280"/>
      <c r="V103" s="280"/>
      <c r="W103" s="280"/>
      <c r="X103" s="280"/>
      <c r="Y103" s="280"/>
      <c r="Z103" s="284"/>
      <c r="AA103" s="284"/>
      <c r="AB103" s="284"/>
      <c r="AC103" s="284"/>
      <c r="AD103" s="284"/>
      <c r="AE103" s="284"/>
      <c r="AF103" s="447"/>
      <c r="AG103" s="447"/>
      <c r="AH103" s="447"/>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row>
    <row r="104" spans="1:67" s="88" customFormat="1" ht="10.55" customHeight="1" x14ac:dyDescent="0.2">
      <c r="A104" s="675"/>
      <c r="B104" s="2807"/>
      <c r="C104" s="2808"/>
      <c r="D104" s="2809"/>
      <c r="E104" s="2561"/>
      <c r="F104" s="2562"/>
      <c r="G104" s="1015"/>
      <c r="H104" s="524"/>
      <c r="I104" s="1409">
        <f t="shared" si="13"/>
        <v>0</v>
      </c>
      <c r="J104" s="1421">
        <f t="shared" si="14"/>
        <v>0</v>
      </c>
      <c r="K104" s="679"/>
      <c r="L104" s="1002"/>
      <c r="M104" s="1428">
        <f t="shared" si="15"/>
        <v>0</v>
      </c>
      <c r="N104" s="1111"/>
      <c r="O104" s="674">
        <f t="shared" si="16"/>
        <v>0</v>
      </c>
      <c r="P104" s="682"/>
      <c r="Q104" s="286"/>
      <c r="R104" s="287"/>
      <c r="S104" s="280"/>
      <c r="T104" s="280"/>
      <c r="U104" s="280"/>
      <c r="V104" s="280"/>
      <c r="W104" s="280"/>
      <c r="X104" s="280"/>
      <c r="Y104" s="280"/>
      <c r="Z104" s="284"/>
      <c r="AA104" s="284"/>
      <c r="AB104" s="284"/>
      <c r="AC104" s="284"/>
      <c r="AD104" s="284"/>
      <c r="AE104" s="284"/>
      <c r="AF104" s="447"/>
      <c r="AG104" s="447"/>
      <c r="AH104" s="447"/>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row>
    <row r="105" spans="1:67" s="88" customFormat="1" ht="10.55" customHeight="1" x14ac:dyDescent="0.2">
      <c r="A105" s="1085"/>
      <c r="B105" s="2804"/>
      <c r="C105" s="2805"/>
      <c r="D105" s="2806"/>
      <c r="E105" s="2793"/>
      <c r="F105" s="2794"/>
      <c r="G105" s="1086"/>
      <c r="H105" s="1087"/>
      <c r="I105" s="1437">
        <f t="shared" si="13"/>
        <v>0</v>
      </c>
      <c r="J105" s="1413"/>
      <c r="K105" s="1088"/>
      <c r="L105" s="1089"/>
      <c r="M105" s="1431">
        <f t="shared" si="15"/>
        <v>0</v>
      </c>
      <c r="N105" s="1111"/>
      <c r="O105" s="674">
        <f t="shared" si="16"/>
        <v>0</v>
      </c>
      <c r="P105" s="682"/>
      <c r="Q105" s="286"/>
      <c r="R105" s="287"/>
      <c r="S105" s="280"/>
      <c r="T105" s="280"/>
      <c r="U105" s="280"/>
      <c r="V105" s="280"/>
      <c r="W105" s="280"/>
      <c r="X105" s="280"/>
      <c r="Y105" s="280"/>
      <c r="Z105" s="284"/>
      <c r="AA105" s="284"/>
      <c r="AB105" s="284"/>
      <c r="AC105" s="284"/>
      <c r="AD105" s="284"/>
      <c r="AE105" s="284"/>
      <c r="AF105" s="447"/>
      <c r="AG105" s="447"/>
      <c r="AH105" s="447"/>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row>
    <row r="106" spans="1:67" s="88" customFormat="1" ht="10.55" customHeight="1" x14ac:dyDescent="0.2">
      <c r="A106" s="1122" t="s">
        <v>345</v>
      </c>
      <c r="B106" s="2783"/>
      <c r="C106" s="2784"/>
      <c r="D106" s="2785"/>
      <c r="E106" s="2810">
        <f>SUM(E107:E119)</f>
        <v>0</v>
      </c>
      <c r="F106" s="2811"/>
      <c r="G106" s="2747"/>
      <c r="H106" s="2748"/>
      <c r="I106" s="1435">
        <f>IF(E106=0,0,J106/E106)</f>
        <v>0</v>
      </c>
      <c r="J106" s="1423">
        <f>SUM(J107:J119)</f>
        <v>0</v>
      </c>
      <c r="K106" s="2749">
        <f>IF(E106=0,0,M106/E106*100)</f>
        <v>0</v>
      </c>
      <c r="L106" s="2750"/>
      <c r="M106" s="1430">
        <f>SUM(M107:M119)</f>
        <v>0</v>
      </c>
      <c r="N106" s="1111"/>
      <c r="O106" s="387">
        <f>IF(H106="",G106,H106)</f>
        <v>0</v>
      </c>
      <c r="P106" s="682"/>
      <c r="Q106" s="286"/>
      <c r="R106" s="287"/>
      <c r="S106" s="280"/>
      <c r="T106" s="280"/>
      <c r="U106" s="280"/>
      <c r="V106" s="280"/>
      <c r="W106" s="280"/>
      <c r="X106" s="280"/>
      <c r="Y106" s="280"/>
      <c r="Z106" s="284"/>
      <c r="AA106" s="284"/>
      <c r="AB106" s="284"/>
      <c r="AC106" s="284"/>
      <c r="AD106" s="284"/>
      <c r="AE106" s="284"/>
      <c r="AF106" s="447"/>
      <c r="AG106" s="447"/>
      <c r="AH106" s="447"/>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row>
    <row r="107" spans="1:67" s="88" customFormat="1" ht="10.55" customHeight="1" x14ac:dyDescent="0.2">
      <c r="A107" s="1013" t="s">
        <v>458</v>
      </c>
      <c r="B107" s="2790"/>
      <c r="C107" s="2791"/>
      <c r="D107" s="2792"/>
      <c r="E107" s="2734"/>
      <c r="F107" s="2735"/>
      <c r="G107" s="1785">
        <v>20</v>
      </c>
      <c r="H107" s="524"/>
      <c r="I107" s="1409">
        <f t="shared" ref="I107:I120" si="20">IF($O107&gt;0,-PMT(($I$9),$O107,1),0)</f>
        <v>6.4147128734474465E-2</v>
      </c>
      <c r="J107" s="1421">
        <f t="shared" ref="J107:J119" si="21">ROUND(E107*I107,0)</f>
        <v>0</v>
      </c>
      <c r="K107" s="678">
        <v>2.5</v>
      </c>
      <c r="L107" s="1002"/>
      <c r="M107" s="1428">
        <f t="shared" ref="M107:M120" si="22">ROUND(E107/100*IF(ISBLANK(L107),K107,L107),0)</f>
        <v>0</v>
      </c>
      <c r="N107" s="1111"/>
      <c r="O107" s="674">
        <f t="shared" ref="O107:O120" si="23">IF(ISBLANK(H107),G107,H107)</f>
        <v>20</v>
      </c>
      <c r="P107" s="682"/>
      <c r="Q107" s="286"/>
      <c r="R107" s="287"/>
      <c r="S107" s="280"/>
      <c r="T107" s="280"/>
      <c r="U107" s="280"/>
      <c r="V107" s="280"/>
      <c r="W107" s="280"/>
      <c r="X107" s="280"/>
      <c r="Y107" s="280"/>
      <c r="Z107" s="284"/>
      <c r="AA107" s="284"/>
      <c r="AB107" s="284"/>
      <c r="AC107" s="284"/>
      <c r="AD107" s="284"/>
      <c r="AE107" s="284"/>
      <c r="AF107" s="447"/>
      <c r="AG107" s="447"/>
      <c r="AH107" s="447"/>
      <c r="AI107" s="382"/>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row>
    <row r="108" spans="1:67" s="88" customFormat="1" ht="10.55" customHeight="1" x14ac:dyDescent="0.2">
      <c r="A108" s="1013" t="s">
        <v>459</v>
      </c>
      <c r="B108" s="2807"/>
      <c r="C108" s="2808"/>
      <c r="D108" s="2809"/>
      <c r="E108" s="2561"/>
      <c r="F108" s="2562"/>
      <c r="G108" s="1785">
        <v>20</v>
      </c>
      <c r="H108" s="524"/>
      <c r="I108" s="1409">
        <f t="shared" si="20"/>
        <v>6.4147128734474465E-2</v>
      </c>
      <c r="J108" s="1421">
        <f t="shared" si="21"/>
        <v>0</v>
      </c>
      <c r="K108" s="678">
        <v>2.5</v>
      </c>
      <c r="L108" s="1002"/>
      <c r="M108" s="1428">
        <f t="shared" si="22"/>
        <v>0</v>
      </c>
      <c r="N108" s="1111"/>
      <c r="O108" s="674">
        <f t="shared" si="23"/>
        <v>20</v>
      </c>
      <c r="P108" s="682"/>
      <c r="Q108" s="286"/>
      <c r="R108" s="287"/>
      <c r="S108" s="280"/>
      <c r="T108" s="280"/>
      <c r="U108" s="280"/>
      <c r="V108" s="280"/>
      <c r="W108" s="280"/>
      <c r="X108" s="280"/>
      <c r="Y108" s="280"/>
      <c r="Z108" s="284"/>
      <c r="AA108" s="284"/>
      <c r="AB108" s="284"/>
      <c r="AC108" s="284"/>
      <c r="AD108" s="284"/>
      <c r="AE108" s="284"/>
      <c r="AF108" s="447"/>
      <c r="AG108" s="447"/>
      <c r="AH108" s="447"/>
      <c r="AI108" s="382"/>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row>
    <row r="109" spans="1:67" s="88" customFormat="1" ht="10.55" customHeight="1" x14ac:dyDescent="0.2">
      <c r="A109" s="1013" t="s">
        <v>346</v>
      </c>
      <c r="B109" s="2807"/>
      <c r="C109" s="2808"/>
      <c r="D109" s="2809"/>
      <c r="E109" s="2561"/>
      <c r="F109" s="2562"/>
      <c r="G109" s="1785">
        <v>15</v>
      </c>
      <c r="H109" s="524"/>
      <c r="I109" s="1409">
        <f t="shared" si="20"/>
        <v>8.0766456051533542E-2</v>
      </c>
      <c r="J109" s="1421">
        <f t="shared" si="21"/>
        <v>0</v>
      </c>
      <c r="K109" s="678">
        <v>3.5</v>
      </c>
      <c r="L109" s="1002"/>
      <c r="M109" s="1428">
        <f t="shared" si="22"/>
        <v>0</v>
      </c>
      <c r="N109" s="1111"/>
      <c r="O109" s="674">
        <f t="shared" si="23"/>
        <v>15</v>
      </c>
      <c r="P109" s="682"/>
      <c r="Q109" s="286"/>
      <c r="R109" s="287"/>
      <c r="S109" s="280"/>
      <c r="T109" s="280"/>
      <c r="U109" s="280"/>
      <c r="V109" s="280"/>
      <c r="W109" s="280"/>
      <c r="X109" s="280"/>
      <c r="Y109" s="280"/>
      <c r="Z109" s="284"/>
      <c r="AA109" s="284"/>
      <c r="AB109" s="284"/>
      <c r="AC109" s="284"/>
      <c r="AD109" s="284"/>
      <c r="AE109" s="284"/>
      <c r="AF109" s="447"/>
      <c r="AG109" s="447"/>
      <c r="AH109" s="447"/>
      <c r="AI109" s="382"/>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row>
    <row r="110" spans="1:67" s="88" customFormat="1" ht="10.55" customHeight="1" x14ac:dyDescent="0.2">
      <c r="A110" s="1013" t="s">
        <v>347</v>
      </c>
      <c r="B110" s="2807"/>
      <c r="C110" s="2808"/>
      <c r="D110" s="2809"/>
      <c r="E110" s="2561"/>
      <c r="F110" s="2562"/>
      <c r="G110" s="1785">
        <v>15</v>
      </c>
      <c r="H110" s="524"/>
      <c r="I110" s="1409">
        <f t="shared" si="20"/>
        <v>8.0766456051533542E-2</v>
      </c>
      <c r="J110" s="1421">
        <f t="shared" si="21"/>
        <v>0</v>
      </c>
      <c r="K110" s="678">
        <v>3.5</v>
      </c>
      <c r="L110" s="1002"/>
      <c r="M110" s="1428">
        <f t="shared" si="22"/>
        <v>0</v>
      </c>
      <c r="N110" s="1111"/>
      <c r="O110" s="674">
        <f t="shared" si="23"/>
        <v>15</v>
      </c>
      <c r="P110" s="682"/>
      <c r="Q110" s="286"/>
      <c r="R110" s="287"/>
      <c r="S110" s="280"/>
      <c r="T110" s="280"/>
      <c r="U110" s="280"/>
      <c r="V110" s="280"/>
      <c r="W110" s="280"/>
      <c r="X110" s="280"/>
      <c r="Y110" s="280"/>
      <c r="Z110" s="284"/>
      <c r="AA110" s="284"/>
      <c r="AB110" s="284"/>
      <c r="AC110" s="284"/>
      <c r="AD110" s="284"/>
      <c r="AE110" s="284"/>
      <c r="AF110" s="447"/>
      <c r="AG110" s="447"/>
      <c r="AH110" s="447"/>
      <c r="AI110" s="382"/>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row>
    <row r="111" spans="1:67" s="88" customFormat="1" ht="10.55" customHeight="1" x14ac:dyDescent="0.2">
      <c r="A111" s="675"/>
      <c r="B111" s="2807"/>
      <c r="C111" s="2808"/>
      <c r="D111" s="2809"/>
      <c r="E111" s="2561"/>
      <c r="F111" s="2562"/>
      <c r="G111" s="1015"/>
      <c r="H111" s="524"/>
      <c r="I111" s="1409">
        <f t="shared" si="20"/>
        <v>0</v>
      </c>
      <c r="J111" s="1421">
        <f t="shared" si="21"/>
        <v>0</v>
      </c>
      <c r="K111" s="679"/>
      <c r="L111" s="1002"/>
      <c r="M111" s="1428">
        <f t="shared" si="22"/>
        <v>0</v>
      </c>
      <c r="N111" s="1111"/>
      <c r="O111" s="674">
        <f t="shared" si="23"/>
        <v>0</v>
      </c>
      <c r="P111" s="682"/>
      <c r="Q111" s="286"/>
      <c r="R111" s="287"/>
      <c r="S111" s="280"/>
      <c r="T111" s="280"/>
      <c r="U111" s="280"/>
      <c r="V111" s="280"/>
      <c r="W111" s="280"/>
      <c r="X111" s="280"/>
      <c r="Y111" s="280"/>
      <c r="Z111" s="284"/>
      <c r="AA111" s="284"/>
      <c r="AB111" s="284"/>
      <c r="AC111" s="284"/>
      <c r="AD111" s="284"/>
      <c r="AE111" s="284"/>
      <c r="AF111" s="447"/>
      <c r="AG111" s="447"/>
      <c r="AH111" s="447"/>
      <c r="AI111" s="382"/>
      <c r="AJ111" s="382"/>
      <c r="AK111" s="382"/>
      <c r="AL111" s="382"/>
      <c r="AM111" s="382"/>
      <c r="AN111" s="382"/>
      <c r="AO111" s="382"/>
      <c r="AP111" s="382"/>
      <c r="AQ111" s="382"/>
      <c r="AR111" s="382"/>
      <c r="AS111" s="382"/>
      <c r="AT111" s="382"/>
      <c r="AU111" s="382"/>
      <c r="AV111" s="382"/>
      <c r="AW111" s="382"/>
      <c r="AX111" s="382"/>
      <c r="AY111" s="382"/>
      <c r="AZ111" s="382"/>
      <c r="BA111" s="382"/>
      <c r="BB111" s="382"/>
      <c r="BC111" s="382"/>
      <c r="BD111" s="382"/>
      <c r="BE111" s="382"/>
      <c r="BF111" s="382"/>
      <c r="BG111" s="382"/>
      <c r="BH111" s="382"/>
      <c r="BI111" s="382"/>
      <c r="BJ111" s="382"/>
      <c r="BK111" s="382"/>
      <c r="BL111" s="382"/>
      <c r="BM111" s="382"/>
      <c r="BN111" s="382"/>
      <c r="BO111" s="382"/>
    </row>
    <row r="112" spans="1:67" s="88" customFormat="1" ht="10.55" customHeight="1" x14ac:dyDescent="0.2">
      <c r="A112" s="675"/>
      <c r="B112" s="2807"/>
      <c r="C112" s="2808"/>
      <c r="D112" s="2809"/>
      <c r="E112" s="2561"/>
      <c r="F112" s="2562"/>
      <c r="G112" s="1015"/>
      <c r="H112" s="524"/>
      <c r="I112" s="1409">
        <f t="shared" si="20"/>
        <v>0</v>
      </c>
      <c r="J112" s="1421">
        <f t="shared" si="21"/>
        <v>0</v>
      </c>
      <c r="K112" s="679"/>
      <c r="L112" s="1002"/>
      <c r="M112" s="1428">
        <f t="shared" si="22"/>
        <v>0</v>
      </c>
      <c r="N112" s="1111"/>
      <c r="O112" s="674">
        <f t="shared" si="23"/>
        <v>0</v>
      </c>
      <c r="P112" s="682"/>
      <c r="Q112" s="286"/>
      <c r="R112" s="287"/>
      <c r="S112" s="280"/>
      <c r="T112" s="280"/>
      <c r="U112" s="280"/>
      <c r="V112" s="280"/>
      <c r="W112" s="280"/>
      <c r="X112" s="280"/>
      <c r="Y112" s="280"/>
      <c r="Z112" s="284"/>
      <c r="AA112" s="284"/>
      <c r="AB112" s="284"/>
      <c r="AC112" s="284"/>
      <c r="AD112" s="284"/>
      <c r="AE112" s="284"/>
      <c r="AF112" s="447"/>
      <c r="AG112" s="447"/>
      <c r="AH112" s="447"/>
      <c r="AI112" s="382"/>
      <c r="AJ112" s="382"/>
      <c r="AK112" s="382"/>
      <c r="AL112" s="382"/>
      <c r="AM112" s="382"/>
      <c r="AN112" s="382"/>
      <c r="AO112" s="382"/>
      <c r="AP112" s="382"/>
      <c r="AQ112" s="382"/>
      <c r="AR112" s="382"/>
      <c r="AS112" s="382"/>
      <c r="AT112" s="382"/>
      <c r="AU112" s="382"/>
      <c r="AV112" s="382"/>
      <c r="AW112" s="382"/>
      <c r="AX112" s="382"/>
      <c r="AY112" s="382"/>
      <c r="AZ112" s="382"/>
      <c r="BA112" s="382"/>
      <c r="BB112" s="382"/>
      <c r="BC112" s="382"/>
      <c r="BD112" s="382"/>
      <c r="BE112" s="382"/>
      <c r="BF112" s="382"/>
      <c r="BG112" s="382"/>
      <c r="BH112" s="382"/>
      <c r="BI112" s="382"/>
      <c r="BJ112" s="382"/>
      <c r="BK112" s="382"/>
      <c r="BL112" s="382"/>
      <c r="BM112" s="382"/>
      <c r="BN112" s="382"/>
      <c r="BO112" s="382"/>
    </row>
    <row r="113" spans="1:67" s="88" customFormat="1" ht="10.55" customHeight="1" x14ac:dyDescent="0.2">
      <c r="A113" s="675"/>
      <c r="B113" s="2807"/>
      <c r="C113" s="2808"/>
      <c r="D113" s="2809"/>
      <c r="E113" s="2561"/>
      <c r="F113" s="2562"/>
      <c r="G113" s="1015"/>
      <c r="H113" s="524"/>
      <c r="I113" s="1409">
        <f t="shared" si="20"/>
        <v>0</v>
      </c>
      <c r="J113" s="1421">
        <f t="shared" si="21"/>
        <v>0</v>
      </c>
      <c r="K113" s="679"/>
      <c r="L113" s="1002"/>
      <c r="M113" s="1428">
        <f t="shared" si="22"/>
        <v>0</v>
      </c>
      <c r="N113" s="1111"/>
      <c r="O113" s="674">
        <f t="shared" si="23"/>
        <v>0</v>
      </c>
      <c r="P113" s="682"/>
      <c r="Q113" s="286"/>
      <c r="R113" s="287"/>
      <c r="S113" s="280"/>
      <c r="T113" s="280"/>
      <c r="U113" s="280"/>
      <c r="V113" s="280"/>
      <c r="W113" s="280"/>
      <c r="X113" s="280"/>
      <c r="Y113" s="280"/>
      <c r="Z113" s="284"/>
      <c r="AA113" s="284"/>
      <c r="AB113" s="284"/>
      <c r="AC113" s="284"/>
      <c r="AD113" s="284"/>
      <c r="AE113" s="284"/>
      <c r="AF113" s="447"/>
      <c r="AG113" s="447"/>
      <c r="AH113" s="447"/>
      <c r="AI113" s="382"/>
      <c r="AJ113" s="382"/>
      <c r="AK113" s="382"/>
      <c r="AL113" s="382"/>
      <c r="AM113" s="382"/>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c r="BH113" s="382"/>
      <c r="BI113" s="382"/>
      <c r="BJ113" s="382"/>
      <c r="BK113" s="382"/>
      <c r="BL113" s="382"/>
      <c r="BM113" s="382"/>
      <c r="BN113" s="382"/>
      <c r="BO113" s="382"/>
    </row>
    <row r="114" spans="1:67" s="88" customFormat="1" ht="10.55" customHeight="1" x14ac:dyDescent="0.2">
      <c r="A114" s="675"/>
      <c r="B114" s="2807"/>
      <c r="C114" s="2808"/>
      <c r="D114" s="2809"/>
      <c r="E114" s="2561"/>
      <c r="F114" s="2562"/>
      <c r="G114" s="1015"/>
      <c r="H114" s="524"/>
      <c r="I114" s="1409">
        <f t="shared" si="20"/>
        <v>0</v>
      </c>
      <c r="J114" s="1421">
        <f t="shared" si="21"/>
        <v>0</v>
      </c>
      <c r="K114" s="679"/>
      <c r="L114" s="1002"/>
      <c r="M114" s="1428">
        <f t="shared" si="22"/>
        <v>0</v>
      </c>
      <c r="N114" s="1111"/>
      <c r="O114" s="674">
        <f t="shared" si="23"/>
        <v>0</v>
      </c>
      <c r="P114" s="682"/>
      <c r="Q114" s="286"/>
      <c r="R114" s="287"/>
      <c r="S114" s="280"/>
      <c r="T114" s="280"/>
      <c r="U114" s="280"/>
      <c r="V114" s="280"/>
      <c r="W114" s="280"/>
      <c r="X114" s="280"/>
      <c r="Y114" s="280"/>
      <c r="Z114" s="284"/>
      <c r="AA114" s="284"/>
      <c r="AB114" s="284"/>
      <c r="AC114" s="284"/>
      <c r="AD114" s="284"/>
      <c r="AE114" s="284"/>
      <c r="AF114" s="447"/>
      <c r="AG114" s="447"/>
      <c r="AH114" s="447"/>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82"/>
      <c r="BE114" s="382"/>
      <c r="BF114" s="382"/>
      <c r="BG114" s="382"/>
      <c r="BH114" s="382"/>
      <c r="BI114" s="382"/>
      <c r="BJ114" s="382"/>
      <c r="BK114" s="382"/>
      <c r="BL114" s="382"/>
      <c r="BM114" s="382"/>
      <c r="BN114" s="382"/>
      <c r="BO114" s="382"/>
    </row>
    <row r="115" spans="1:67" s="88" customFormat="1" ht="10.55" customHeight="1" x14ac:dyDescent="0.2">
      <c r="A115" s="675"/>
      <c r="B115" s="2807"/>
      <c r="C115" s="2808"/>
      <c r="D115" s="2809"/>
      <c r="E115" s="2561"/>
      <c r="F115" s="2562"/>
      <c r="G115" s="1015"/>
      <c r="H115" s="524"/>
      <c r="I115" s="1409">
        <f t="shared" si="20"/>
        <v>0</v>
      </c>
      <c r="J115" s="1421">
        <f t="shared" si="21"/>
        <v>0</v>
      </c>
      <c r="K115" s="679"/>
      <c r="L115" s="1002"/>
      <c r="M115" s="1428">
        <f t="shared" si="22"/>
        <v>0</v>
      </c>
      <c r="N115" s="1111"/>
      <c r="O115" s="674">
        <f t="shared" si="23"/>
        <v>0</v>
      </c>
      <c r="P115" s="682"/>
      <c r="Q115" s="286"/>
      <c r="R115" s="287"/>
      <c r="S115" s="280"/>
      <c r="T115" s="280"/>
      <c r="U115" s="280"/>
      <c r="V115" s="280"/>
      <c r="W115" s="280"/>
      <c r="X115" s="280"/>
      <c r="Y115" s="280"/>
      <c r="Z115" s="284"/>
      <c r="AA115" s="284"/>
      <c r="AB115" s="284"/>
      <c r="AC115" s="284"/>
      <c r="AD115" s="284"/>
      <c r="AE115" s="284"/>
      <c r="AF115" s="447"/>
      <c r="AG115" s="447"/>
      <c r="AH115" s="447"/>
      <c r="AI115" s="382"/>
      <c r="AJ115" s="382"/>
      <c r="AK115" s="382"/>
      <c r="AL115" s="382"/>
      <c r="AM115" s="382"/>
      <c r="AN115" s="382"/>
      <c r="AO115" s="382"/>
      <c r="AP115" s="382"/>
      <c r="AQ115" s="382"/>
      <c r="AR115" s="382"/>
      <c r="AS115" s="382"/>
      <c r="AT115" s="382"/>
      <c r="AU115" s="382"/>
      <c r="AV115" s="382"/>
      <c r="AW115" s="382"/>
      <c r="AX115" s="382"/>
      <c r="AY115" s="382"/>
      <c r="AZ115" s="382"/>
      <c r="BA115" s="382"/>
      <c r="BB115" s="382"/>
      <c r="BC115" s="382"/>
      <c r="BD115" s="382"/>
      <c r="BE115" s="382"/>
      <c r="BF115" s="382"/>
      <c r="BG115" s="382"/>
      <c r="BH115" s="382"/>
      <c r="BI115" s="382"/>
      <c r="BJ115" s="382"/>
      <c r="BK115" s="382"/>
      <c r="BL115" s="382"/>
      <c r="BM115" s="382"/>
      <c r="BN115" s="382"/>
      <c r="BO115" s="382"/>
    </row>
    <row r="116" spans="1:67" s="88" customFormat="1" ht="10.55" customHeight="1" x14ac:dyDescent="0.2">
      <c r="A116" s="675"/>
      <c r="B116" s="2807"/>
      <c r="C116" s="2808"/>
      <c r="D116" s="2809"/>
      <c r="E116" s="2561"/>
      <c r="F116" s="2562"/>
      <c r="G116" s="1015"/>
      <c r="H116" s="524"/>
      <c r="I116" s="1409">
        <f t="shared" si="20"/>
        <v>0</v>
      </c>
      <c r="J116" s="1421">
        <f t="shared" si="21"/>
        <v>0</v>
      </c>
      <c r="K116" s="679"/>
      <c r="L116" s="1002"/>
      <c r="M116" s="1428">
        <f t="shared" si="22"/>
        <v>0</v>
      </c>
      <c r="N116" s="1111"/>
      <c r="O116" s="674">
        <f t="shared" si="23"/>
        <v>0</v>
      </c>
      <c r="P116" s="682"/>
      <c r="Q116" s="286"/>
      <c r="R116" s="287"/>
      <c r="S116" s="280"/>
      <c r="T116" s="280"/>
      <c r="U116" s="280"/>
      <c r="V116" s="280"/>
      <c r="W116" s="280"/>
      <c r="X116" s="280"/>
      <c r="Y116" s="280"/>
      <c r="Z116" s="284"/>
      <c r="AA116" s="284"/>
      <c r="AB116" s="284"/>
      <c r="AC116" s="284"/>
      <c r="AD116" s="284"/>
      <c r="AE116" s="284"/>
      <c r="AF116" s="447"/>
      <c r="AG116" s="447"/>
      <c r="AH116" s="447"/>
      <c r="AI116" s="382"/>
      <c r="AJ116" s="382"/>
      <c r="AK116" s="382"/>
      <c r="AL116" s="382"/>
      <c r="AM116" s="382"/>
      <c r="AN116" s="382"/>
      <c r="AO116" s="382"/>
      <c r="AP116" s="382"/>
      <c r="AQ116" s="382"/>
      <c r="AR116" s="382"/>
      <c r="AS116" s="382"/>
      <c r="AT116" s="382"/>
      <c r="AU116" s="382"/>
      <c r="AV116" s="382"/>
      <c r="AW116" s="382"/>
      <c r="AX116" s="382"/>
      <c r="AY116" s="382"/>
      <c r="AZ116" s="382"/>
      <c r="BA116" s="382"/>
      <c r="BB116" s="382"/>
      <c r="BC116" s="382"/>
      <c r="BD116" s="382"/>
      <c r="BE116" s="382"/>
      <c r="BF116" s="382"/>
      <c r="BG116" s="382"/>
      <c r="BH116" s="382"/>
      <c r="BI116" s="382"/>
      <c r="BJ116" s="382"/>
      <c r="BK116" s="382"/>
      <c r="BL116" s="382"/>
      <c r="BM116" s="382"/>
      <c r="BN116" s="382"/>
      <c r="BO116" s="382"/>
    </row>
    <row r="117" spans="1:67" s="88" customFormat="1" ht="10.55" customHeight="1" x14ac:dyDescent="0.2">
      <c r="A117" s="675"/>
      <c r="B117" s="2807"/>
      <c r="C117" s="2808"/>
      <c r="D117" s="2809"/>
      <c r="E117" s="2561"/>
      <c r="F117" s="2562"/>
      <c r="G117" s="1015"/>
      <c r="H117" s="524"/>
      <c r="I117" s="1409">
        <f t="shared" si="20"/>
        <v>0</v>
      </c>
      <c r="J117" s="1421">
        <f t="shared" si="21"/>
        <v>0</v>
      </c>
      <c r="K117" s="679"/>
      <c r="L117" s="1002"/>
      <c r="M117" s="1428">
        <f t="shared" si="22"/>
        <v>0</v>
      </c>
      <c r="N117" s="1111"/>
      <c r="O117" s="674">
        <f t="shared" si="23"/>
        <v>0</v>
      </c>
      <c r="P117" s="682"/>
      <c r="Q117" s="286"/>
      <c r="R117" s="287"/>
      <c r="S117" s="280"/>
      <c r="T117" s="280"/>
      <c r="U117" s="280"/>
      <c r="V117" s="280"/>
      <c r="W117" s="280"/>
      <c r="X117" s="280"/>
      <c r="Y117" s="280"/>
      <c r="Z117" s="284"/>
      <c r="AA117" s="284"/>
      <c r="AB117" s="284"/>
      <c r="AC117" s="284"/>
      <c r="AD117" s="284"/>
      <c r="AE117" s="284"/>
      <c r="AF117" s="447"/>
      <c r="AG117" s="447"/>
      <c r="AH117" s="447"/>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c r="BH117" s="382"/>
      <c r="BI117" s="382"/>
      <c r="BJ117" s="382"/>
      <c r="BK117" s="382"/>
      <c r="BL117" s="382"/>
      <c r="BM117" s="382"/>
      <c r="BN117" s="382"/>
      <c r="BO117" s="382"/>
    </row>
    <row r="118" spans="1:67" s="88" customFormat="1" ht="10.55" customHeight="1" x14ac:dyDescent="0.2">
      <c r="A118" s="675"/>
      <c r="B118" s="2807"/>
      <c r="C118" s="2808"/>
      <c r="D118" s="2809"/>
      <c r="E118" s="2561"/>
      <c r="F118" s="2562"/>
      <c r="G118" s="1015"/>
      <c r="H118" s="524"/>
      <c r="I118" s="1409">
        <f t="shared" si="20"/>
        <v>0</v>
      </c>
      <c r="J118" s="1421">
        <f t="shared" si="21"/>
        <v>0</v>
      </c>
      <c r="K118" s="679"/>
      <c r="L118" s="1002"/>
      <c r="M118" s="1428">
        <f t="shared" si="22"/>
        <v>0</v>
      </c>
      <c r="N118" s="1111"/>
      <c r="O118" s="674">
        <f t="shared" si="23"/>
        <v>0</v>
      </c>
      <c r="P118" s="682"/>
      <c r="Q118" s="286"/>
      <c r="R118" s="287"/>
      <c r="S118" s="280"/>
      <c r="T118" s="280"/>
      <c r="U118" s="280"/>
      <c r="V118" s="280"/>
      <c r="W118" s="280"/>
      <c r="X118" s="280"/>
      <c r="Y118" s="280"/>
      <c r="Z118" s="284"/>
      <c r="AA118" s="284"/>
      <c r="AB118" s="284"/>
      <c r="AC118" s="284"/>
      <c r="AD118" s="284"/>
      <c r="AE118" s="284"/>
      <c r="AF118" s="447"/>
      <c r="AG118" s="447"/>
      <c r="AH118" s="447"/>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row>
    <row r="119" spans="1:67" s="88" customFormat="1" ht="10.55" customHeight="1" x14ac:dyDescent="0.2">
      <c r="A119" s="675"/>
      <c r="B119" s="2807"/>
      <c r="C119" s="2808"/>
      <c r="D119" s="2809"/>
      <c r="E119" s="2561"/>
      <c r="F119" s="2562"/>
      <c r="G119" s="1015"/>
      <c r="H119" s="524"/>
      <c r="I119" s="1409">
        <f t="shared" si="20"/>
        <v>0</v>
      </c>
      <c r="J119" s="1421">
        <f t="shared" si="21"/>
        <v>0</v>
      </c>
      <c r="K119" s="679"/>
      <c r="L119" s="1002"/>
      <c r="M119" s="1428">
        <f t="shared" si="22"/>
        <v>0</v>
      </c>
      <c r="N119" s="1111"/>
      <c r="O119" s="674">
        <f t="shared" si="23"/>
        <v>0</v>
      </c>
      <c r="P119" s="682"/>
      <c r="Q119" s="286"/>
      <c r="R119" s="287"/>
      <c r="S119" s="280"/>
      <c r="T119" s="280"/>
      <c r="U119" s="280"/>
      <c r="V119" s="280"/>
      <c r="W119" s="280"/>
      <c r="X119" s="280"/>
      <c r="Y119" s="280"/>
      <c r="Z119" s="284"/>
      <c r="AA119" s="284"/>
      <c r="AB119" s="284"/>
      <c r="AC119" s="284"/>
      <c r="AD119" s="284"/>
      <c r="AE119" s="284"/>
      <c r="AF119" s="447"/>
      <c r="AG119" s="447"/>
      <c r="AH119" s="447"/>
      <c r="AI119" s="382"/>
      <c r="AJ119" s="382"/>
      <c r="AK119" s="382"/>
      <c r="AL119" s="382"/>
      <c r="AM119" s="382"/>
      <c r="AN119" s="382"/>
      <c r="AO119" s="382"/>
      <c r="AP119" s="382"/>
      <c r="AQ119" s="382"/>
      <c r="AR119" s="382"/>
      <c r="AS119" s="382"/>
      <c r="AT119" s="382"/>
      <c r="AU119" s="382"/>
      <c r="AV119" s="382"/>
      <c r="AW119" s="382"/>
      <c r="AX119" s="382"/>
      <c r="AY119" s="382"/>
      <c r="AZ119" s="382"/>
      <c r="BA119" s="382"/>
      <c r="BB119" s="382"/>
      <c r="BC119" s="382"/>
      <c r="BD119" s="382"/>
      <c r="BE119" s="382"/>
      <c r="BF119" s="382"/>
      <c r="BG119" s="382"/>
      <c r="BH119" s="382"/>
      <c r="BI119" s="382"/>
      <c r="BJ119" s="382"/>
      <c r="BK119" s="382"/>
      <c r="BL119" s="382"/>
      <c r="BM119" s="382"/>
      <c r="BN119" s="382"/>
      <c r="BO119" s="382"/>
    </row>
    <row r="120" spans="1:67" s="88" customFormat="1" ht="10.55" customHeight="1" x14ac:dyDescent="0.2">
      <c r="A120" s="1017"/>
      <c r="B120" s="2804"/>
      <c r="C120" s="2805"/>
      <c r="D120" s="2806"/>
      <c r="E120" s="2793"/>
      <c r="F120" s="2794"/>
      <c r="G120" s="1018"/>
      <c r="H120" s="1019"/>
      <c r="I120" s="1436">
        <f t="shared" si="20"/>
        <v>0</v>
      </c>
      <c r="J120" s="1422"/>
      <c r="K120" s="680"/>
      <c r="L120" s="1020"/>
      <c r="M120" s="1429">
        <f t="shared" si="22"/>
        <v>0</v>
      </c>
      <c r="N120" s="1111"/>
      <c r="O120" s="674">
        <f t="shared" si="23"/>
        <v>0</v>
      </c>
      <c r="P120" s="682"/>
      <c r="Q120" s="286"/>
      <c r="R120" s="287"/>
      <c r="S120" s="280"/>
      <c r="T120" s="280"/>
      <c r="U120" s="280"/>
      <c r="V120" s="280"/>
      <c r="W120" s="280"/>
      <c r="X120" s="280"/>
      <c r="Y120" s="280"/>
      <c r="Z120" s="284"/>
      <c r="AA120" s="284"/>
      <c r="AB120" s="284"/>
      <c r="AC120" s="284"/>
      <c r="AD120" s="284"/>
      <c r="AE120" s="284"/>
      <c r="AF120" s="447"/>
      <c r="AG120" s="447"/>
      <c r="AH120" s="447"/>
      <c r="AI120" s="382"/>
      <c r="AJ120" s="382"/>
      <c r="AK120" s="382"/>
      <c r="AL120" s="382"/>
      <c r="AM120" s="382"/>
      <c r="AN120" s="382"/>
      <c r="AO120" s="382"/>
      <c r="AP120" s="382"/>
      <c r="AQ120" s="382"/>
      <c r="AR120" s="382"/>
      <c r="AS120" s="382"/>
      <c r="AT120" s="382"/>
      <c r="AU120" s="382"/>
      <c r="AV120" s="382"/>
      <c r="AW120" s="382"/>
      <c r="AX120" s="382"/>
      <c r="AY120" s="382"/>
      <c r="AZ120" s="382"/>
      <c r="BA120" s="382"/>
      <c r="BB120" s="382"/>
      <c r="BC120" s="382"/>
      <c r="BD120" s="382"/>
      <c r="BE120" s="382"/>
      <c r="BF120" s="382"/>
      <c r="BG120" s="382"/>
      <c r="BH120" s="382"/>
      <c r="BI120" s="382"/>
      <c r="BJ120" s="382"/>
      <c r="BK120" s="382"/>
      <c r="BL120" s="382"/>
      <c r="BM120" s="382"/>
      <c r="BN120" s="382"/>
      <c r="BO120" s="382"/>
    </row>
    <row r="121" spans="1:67" s="88" customFormat="1" ht="10.55" customHeight="1" x14ac:dyDescent="0.2">
      <c r="A121" s="1122" t="s">
        <v>348</v>
      </c>
      <c r="B121" s="2783"/>
      <c r="C121" s="2784"/>
      <c r="D121" s="2785"/>
      <c r="E121" s="2810">
        <f>SUM(E122:E134)</f>
        <v>0</v>
      </c>
      <c r="F121" s="2811"/>
      <c r="G121" s="2747"/>
      <c r="H121" s="2748"/>
      <c r="I121" s="1435">
        <f>IF(E121=0,0,J121/E121)</f>
        <v>0</v>
      </c>
      <c r="J121" s="1423">
        <f>SUM(J122:J134)</f>
        <v>0</v>
      </c>
      <c r="K121" s="2749">
        <f>IF(E121=0,0,M121/E121*100)</f>
        <v>0</v>
      </c>
      <c r="L121" s="2750"/>
      <c r="M121" s="1430">
        <f>SUM(M122:M134)</f>
        <v>0</v>
      </c>
      <c r="N121" s="1111"/>
      <c r="O121" s="387">
        <f>IF(H121="",G121,H121)</f>
        <v>0</v>
      </c>
      <c r="P121" s="682"/>
      <c r="Q121" s="286"/>
      <c r="R121" s="287"/>
      <c r="S121" s="280"/>
      <c r="T121" s="280"/>
      <c r="U121" s="280"/>
      <c r="V121" s="280"/>
      <c r="W121" s="280"/>
      <c r="X121" s="280"/>
      <c r="Y121" s="280"/>
      <c r="Z121" s="284"/>
      <c r="AA121" s="284"/>
      <c r="AB121" s="284"/>
      <c r="AC121" s="284"/>
      <c r="AD121" s="284"/>
      <c r="AE121" s="284"/>
      <c r="AF121" s="447"/>
      <c r="AG121" s="447"/>
      <c r="AH121" s="447"/>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2"/>
      <c r="BK121" s="382"/>
      <c r="BL121" s="382"/>
      <c r="BM121" s="382"/>
      <c r="BN121" s="382"/>
      <c r="BO121" s="382"/>
    </row>
    <row r="122" spans="1:67" s="88" customFormat="1" ht="10.55" customHeight="1" x14ac:dyDescent="0.2">
      <c r="A122" s="1013" t="s">
        <v>349</v>
      </c>
      <c r="B122" s="2790"/>
      <c r="C122" s="2791"/>
      <c r="D122" s="2792"/>
      <c r="E122" s="2734"/>
      <c r="F122" s="2735"/>
      <c r="G122" s="1785">
        <v>30</v>
      </c>
      <c r="H122" s="524"/>
      <c r="I122" s="1409">
        <f t="shared" ref="I122:I135" si="24">IF($O122&gt;0,-PMT(($I$9),$O122,1),0)</f>
        <v>4.7777640736176463E-2</v>
      </c>
      <c r="J122" s="1421">
        <f t="shared" ref="J122:J134" si="25">ROUND(E122*I122,0)</f>
        <v>0</v>
      </c>
      <c r="K122" s="678">
        <v>1</v>
      </c>
      <c r="L122" s="1002"/>
      <c r="M122" s="1428">
        <f t="shared" ref="M122:M135" si="26">ROUND(E122/100*IF(ISBLANK(L122),K122,L122),0)</f>
        <v>0</v>
      </c>
      <c r="N122" s="1111"/>
      <c r="O122" s="674">
        <f t="shared" ref="O122:O135" si="27">IF(ISBLANK(H122),G122,H122)</f>
        <v>30</v>
      </c>
      <c r="P122" s="682"/>
      <c r="Q122" s="286"/>
      <c r="R122" s="287"/>
      <c r="S122" s="280"/>
      <c r="T122" s="280"/>
      <c r="U122" s="280"/>
      <c r="V122" s="280"/>
      <c r="W122" s="280"/>
      <c r="X122" s="280"/>
      <c r="Y122" s="280"/>
      <c r="Z122" s="284"/>
      <c r="AA122" s="284"/>
      <c r="AB122" s="284"/>
      <c r="AC122" s="284"/>
      <c r="AD122" s="284"/>
      <c r="AE122" s="284"/>
      <c r="AF122" s="447"/>
      <c r="AG122" s="447"/>
      <c r="AH122" s="447"/>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c r="BF122" s="382"/>
      <c r="BG122" s="382"/>
      <c r="BH122" s="382"/>
      <c r="BI122" s="382"/>
      <c r="BJ122" s="382"/>
      <c r="BK122" s="382"/>
      <c r="BL122" s="382"/>
      <c r="BM122" s="382"/>
      <c r="BN122" s="382"/>
      <c r="BO122" s="382"/>
    </row>
    <row r="123" spans="1:67" s="88" customFormat="1" ht="10.55" customHeight="1" x14ac:dyDescent="0.2">
      <c r="A123" s="1013" t="s">
        <v>350</v>
      </c>
      <c r="B123" s="2807"/>
      <c r="C123" s="2808"/>
      <c r="D123" s="2809"/>
      <c r="E123" s="2561"/>
      <c r="F123" s="2562"/>
      <c r="G123" s="1785">
        <v>20</v>
      </c>
      <c r="H123" s="524"/>
      <c r="I123" s="1409">
        <f t="shared" si="24"/>
        <v>6.4147128734474465E-2</v>
      </c>
      <c r="J123" s="1421">
        <f t="shared" si="25"/>
        <v>0</v>
      </c>
      <c r="K123" s="678">
        <v>1</v>
      </c>
      <c r="L123" s="1002"/>
      <c r="M123" s="1428">
        <f t="shared" si="26"/>
        <v>0</v>
      </c>
      <c r="N123" s="1111"/>
      <c r="O123" s="674">
        <f t="shared" si="27"/>
        <v>20</v>
      </c>
      <c r="P123" s="682"/>
      <c r="Q123" s="286"/>
      <c r="R123" s="287"/>
      <c r="S123" s="280"/>
      <c r="T123" s="280"/>
      <c r="U123" s="280"/>
      <c r="V123" s="280"/>
      <c r="W123" s="280"/>
      <c r="X123" s="280"/>
      <c r="Y123" s="280"/>
      <c r="Z123" s="284"/>
      <c r="AA123" s="284"/>
      <c r="AB123" s="284"/>
      <c r="AC123" s="284"/>
      <c r="AD123" s="284"/>
      <c r="AE123" s="284"/>
      <c r="AF123" s="447"/>
      <c r="AG123" s="447"/>
      <c r="AH123" s="447"/>
      <c r="AI123" s="382"/>
      <c r="AJ123" s="382"/>
      <c r="AK123" s="382"/>
      <c r="AL123" s="382"/>
      <c r="AM123" s="382"/>
      <c r="AN123" s="382"/>
      <c r="AO123" s="382"/>
      <c r="AP123" s="382"/>
      <c r="AQ123" s="382"/>
      <c r="AR123" s="382"/>
      <c r="AS123" s="382"/>
      <c r="AT123" s="382"/>
      <c r="AU123" s="382"/>
      <c r="AV123" s="382"/>
      <c r="AW123" s="382"/>
      <c r="AX123" s="382"/>
      <c r="AY123" s="382"/>
      <c r="AZ123" s="382"/>
      <c r="BA123" s="382"/>
      <c r="BB123" s="382"/>
      <c r="BC123" s="382"/>
      <c r="BD123" s="382"/>
      <c r="BE123" s="382"/>
      <c r="BF123" s="382"/>
      <c r="BG123" s="382"/>
      <c r="BH123" s="382"/>
      <c r="BI123" s="382"/>
      <c r="BJ123" s="382"/>
      <c r="BK123" s="382"/>
      <c r="BL123" s="382"/>
      <c r="BM123" s="382"/>
      <c r="BN123" s="382"/>
      <c r="BO123" s="382"/>
    </row>
    <row r="124" spans="1:67" s="88" customFormat="1" ht="10.55" customHeight="1" x14ac:dyDescent="0.2">
      <c r="A124" s="1013" t="s">
        <v>351</v>
      </c>
      <c r="B124" s="2807"/>
      <c r="C124" s="2808"/>
      <c r="D124" s="2809"/>
      <c r="E124" s="2561"/>
      <c r="F124" s="2562"/>
      <c r="G124" s="1785">
        <v>30</v>
      </c>
      <c r="H124" s="524"/>
      <c r="I124" s="1409">
        <f t="shared" si="24"/>
        <v>4.7777640736176463E-2</v>
      </c>
      <c r="J124" s="1421">
        <f t="shared" si="25"/>
        <v>0</v>
      </c>
      <c r="K124" s="678">
        <v>1</v>
      </c>
      <c r="L124" s="1002"/>
      <c r="M124" s="1428">
        <f t="shared" si="26"/>
        <v>0</v>
      </c>
      <c r="N124" s="1111"/>
      <c r="O124" s="674">
        <f t="shared" si="27"/>
        <v>30</v>
      </c>
      <c r="P124" s="682"/>
      <c r="Q124" s="286"/>
      <c r="R124" s="287"/>
      <c r="S124" s="280"/>
      <c r="T124" s="280"/>
      <c r="U124" s="280"/>
      <c r="V124" s="280"/>
      <c r="W124" s="280"/>
      <c r="X124" s="280"/>
      <c r="Y124" s="280"/>
      <c r="Z124" s="284"/>
      <c r="AA124" s="284"/>
      <c r="AB124" s="284"/>
      <c r="AC124" s="284"/>
      <c r="AD124" s="284"/>
      <c r="AE124" s="284"/>
      <c r="AF124" s="447"/>
      <c r="AG124" s="447"/>
      <c r="AH124" s="447"/>
      <c r="AI124" s="382"/>
      <c r="AJ124" s="382"/>
      <c r="AK124" s="382"/>
      <c r="AL124" s="382"/>
      <c r="AM124" s="382"/>
      <c r="AN124" s="382"/>
      <c r="AO124" s="382"/>
      <c r="AP124" s="382"/>
      <c r="AQ124" s="382"/>
      <c r="AR124" s="382"/>
      <c r="AS124" s="382"/>
      <c r="AT124" s="382"/>
      <c r="AU124" s="382"/>
      <c r="AV124" s="382"/>
      <c r="AW124" s="382"/>
      <c r="AX124" s="382"/>
      <c r="AY124" s="382"/>
      <c r="AZ124" s="382"/>
      <c r="BA124" s="382"/>
      <c r="BB124" s="382"/>
      <c r="BC124" s="382"/>
      <c r="BD124" s="382"/>
      <c r="BE124" s="382"/>
      <c r="BF124" s="382"/>
      <c r="BG124" s="382"/>
      <c r="BH124" s="382"/>
      <c r="BI124" s="382"/>
      <c r="BJ124" s="382"/>
      <c r="BK124" s="382"/>
      <c r="BL124" s="382"/>
      <c r="BM124" s="382"/>
      <c r="BN124" s="382"/>
      <c r="BO124" s="382"/>
    </row>
    <row r="125" spans="1:67" s="88" customFormat="1" ht="10.55" customHeight="1" x14ac:dyDescent="0.2">
      <c r="A125" s="1013" t="s">
        <v>352</v>
      </c>
      <c r="B125" s="2807"/>
      <c r="C125" s="2808"/>
      <c r="D125" s="2809"/>
      <c r="E125" s="2561"/>
      <c r="F125" s="2562"/>
      <c r="G125" s="1785">
        <v>20</v>
      </c>
      <c r="H125" s="524"/>
      <c r="I125" s="1409">
        <f t="shared" si="24"/>
        <v>6.4147128734474465E-2</v>
      </c>
      <c r="J125" s="1421">
        <f t="shared" si="25"/>
        <v>0</v>
      </c>
      <c r="K125" s="678">
        <v>1.5</v>
      </c>
      <c r="L125" s="1002"/>
      <c r="M125" s="1428">
        <f t="shared" si="26"/>
        <v>0</v>
      </c>
      <c r="N125" s="1111"/>
      <c r="O125" s="674">
        <f t="shared" si="27"/>
        <v>20</v>
      </c>
      <c r="P125" s="682"/>
      <c r="Q125" s="286"/>
      <c r="R125" s="287"/>
      <c r="S125" s="280"/>
      <c r="T125" s="280"/>
      <c r="U125" s="280"/>
      <c r="V125" s="280"/>
      <c r="W125" s="280"/>
      <c r="X125" s="280"/>
      <c r="Y125" s="280"/>
      <c r="Z125" s="284"/>
      <c r="AA125" s="284"/>
      <c r="AB125" s="284"/>
      <c r="AC125" s="284"/>
      <c r="AD125" s="284"/>
      <c r="AE125" s="284"/>
      <c r="AF125" s="447"/>
      <c r="AG125" s="447"/>
      <c r="AH125" s="447"/>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82"/>
      <c r="BH125" s="382"/>
      <c r="BI125" s="382"/>
      <c r="BJ125" s="382"/>
      <c r="BK125" s="382"/>
      <c r="BL125" s="382"/>
      <c r="BM125" s="382"/>
      <c r="BN125" s="382"/>
      <c r="BO125" s="382"/>
    </row>
    <row r="126" spans="1:67" s="88" customFormat="1" ht="10.55" customHeight="1" x14ac:dyDescent="0.2">
      <c r="A126" s="1013" t="s">
        <v>353</v>
      </c>
      <c r="B126" s="2807"/>
      <c r="C126" s="2808"/>
      <c r="D126" s="2809"/>
      <c r="E126" s="2561"/>
      <c r="F126" s="2562"/>
      <c r="G126" s="1785">
        <v>30</v>
      </c>
      <c r="H126" s="524"/>
      <c r="I126" s="1409">
        <f t="shared" si="24"/>
        <v>4.7777640736176463E-2</v>
      </c>
      <c r="J126" s="1421">
        <f t="shared" si="25"/>
        <v>0</v>
      </c>
      <c r="K126" s="678">
        <v>1</v>
      </c>
      <c r="L126" s="1002"/>
      <c r="M126" s="1428">
        <f t="shared" si="26"/>
        <v>0</v>
      </c>
      <c r="N126" s="1111"/>
      <c r="O126" s="674">
        <f t="shared" si="27"/>
        <v>30</v>
      </c>
      <c r="P126" s="682"/>
      <c r="Q126" s="286"/>
      <c r="R126" s="287"/>
      <c r="S126" s="280"/>
      <c r="T126" s="280"/>
      <c r="U126" s="280"/>
      <c r="V126" s="280"/>
      <c r="W126" s="280"/>
      <c r="X126" s="280"/>
      <c r="Y126" s="280"/>
      <c r="Z126" s="284"/>
      <c r="AA126" s="284"/>
      <c r="AB126" s="284"/>
      <c r="AC126" s="284"/>
      <c r="AD126" s="284"/>
      <c r="AE126" s="284"/>
      <c r="AF126" s="447"/>
      <c r="AG126" s="447"/>
      <c r="AH126" s="447"/>
      <c r="AI126" s="382"/>
      <c r="AJ126" s="382"/>
      <c r="AK126" s="382"/>
      <c r="AL126" s="382"/>
      <c r="AM126" s="382"/>
      <c r="AN126" s="382"/>
      <c r="AO126" s="382"/>
      <c r="AP126" s="382"/>
      <c r="AQ126" s="382"/>
      <c r="AR126" s="382"/>
      <c r="AS126" s="382"/>
      <c r="AT126" s="382"/>
      <c r="AU126" s="382"/>
      <c r="AV126" s="382"/>
      <c r="AW126" s="382"/>
      <c r="AX126" s="382"/>
      <c r="AY126" s="382"/>
      <c r="AZ126" s="382"/>
      <c r="BA126" s="382"/>
      <c r="BB126" s="382"/>
      <c r="BC126" s="382"/>
      <c r="BD126" s="382"/>
      <c r="BE126" s="382"/>
      <c r="BF126" s="382"/>
      <c r="BG126" s="382"/>
      <c r="BH126" s="382"/>
      <c r="BI126" s="382"/>
      <c r="BJ126" s="382"/>
      <c r="BK126" s="382"/>
      <c r="BL126" s="382"/>
      <c r="BM126" s="382"/>
      <c r="BN126" s="382"/>
      <c r="BO126" s="382"/>
    </row>
    <row r="127" spans="1:67" s="88" customFormat="1" ht="10.55" customHeight="1" x14ac:dyDescent="0.2">
      <c r="A127" s="1013" t="s">
        <v>354</v>
      </c>
      <c r="B127" s="2807"/>
      <c r="C127" s="2808"/>
      <c r="D127" s="2809"/>
      <c r="E127" s="2561"/>
      <c r="F127" s="2562"/>
      <c r="G127" s="1785">
        <v>20</v>
      </c>
      <c r="H127" s="524"/>
      <c r="I127" s="1409">
        <f t="shared" si="24"/>
        <v>6.4147128734474465E-2</v>
      </c>
      <c r="J127" s="1421">
        <f t="shared" si="25"/>
        <v>0</v>
      </c>
      <c r="K127" s="678">
        <v>1</v>
      </c>
      <c r="L127" s="1002"/>
      <c r="M127" s="1428">
        <f t="shared" si="26"/>
        <v>0</v>
      </c>
      <c r="N127" s="1111"/>
      <c r="O127" s="674">
        <f t="shared" si="27"/>
        <v>20</v>
      </c>
      <c r="P127" s="682"/>
      <c r="Q127" s="286"/>
      <c r="R127" s="287"/>
      <c r="S127" s="280"/>
      <c r="T127" s="280"/>
      <c r="U127" s="280"/>
      <c r="V127" s="280"/>
      <c r="W127" s="280"/>
      <c r="X127" s="280"/>
      <c r="Y127" s="280"/>
      <c r="Z127" s="284"/>
      <c r="AA127" s="284"/>
      <c r="AB127" s="284"/>
      <c r="AC127" s="284"/>
      <c r="AD127" s="284"/>
      <c r="AE127" s="284"/>
      <c r="AF127" s="447"/>
      <c r="AG127" s="447"/>
      <c r="AH127" s="447"/>
      <c r="AI127" s="382"/>
      <c r="AJ127" s="382"/>
      <c r="AK127" s="382"/>
      <c r="AL127" s="382"/>
      <c r="AM127" s="382"/>
      <c r="AN127" s="382"/>
      <c r="AO127" s="382"/>
      <c r="AP127" s="382"/>
      <c r="AQ127" s="382"/>
      <c r="AR127" s="382"/>
      <c r="AS127" s="382"/>
      <c r="AT127" s="382"/>
      <c r="AU127" s="382"/>
      <c r="AV127" s="382"/>
      <c r="AW127" s="382"/>
      <c r="AX127" s="382"/>
      <c r="AY127" s="382"/>
      <c r="AZ127" s="382"/>
      <c r="BA127" s="382"/>
      <c r="BB127" s="382"/>
      <c r="BC127" s="382"/>
      <c r="BD127" s="382"/>
      <c r="BE127" s="382"/>
      <c r="BF127" s="382"/>
      <c r="BG127" s="382"/>
      <c r="BH127" s="382"/>
      <c r="BI127" s="382"/>
      <c r="BJ127" s="382"/>
      <c r="BK127" s="382"/>
      <c r="BL127" s="382"/>
      <c r="BM127" s="382"/>
      <c r="BN127" s="382"/>
      <c r="BO127" s="382"/>
    </row>
    <row r="128" spans="1:67" s="88" customFormat="1" ht="10.55" customHeight="1" x14ac:dyDescent="0.2">
      <c r="A128" s="1013" t="s">
        <v>832</v>
      </c>
      <c r="B128" s="2807"/>
      <c r="C128" s="2808"/>
      <c r="D128" s="2809"/>
      <c r="E128" s="2561"/>
      <c r="F128" s="2562"/>
      <c r="G128" s="1785">
        <v>30</v>
      </c>
      <c r="H128" s="524"/>
      <c r="I128" s="1409">
        <f t="shared" si="24"/>
        <v>4.7777640736176463E-2</v>
      </c>
      <c r="J128" s="1421">
        <f t="shared" si="25"/>
        <v>0</v>
      </c>
      <c r="K128" s="678">
        <v>1</v>
      </c>
      <c r="L128" s="1002"/>
      <c r="M128" s="1428">
        <f t="shared" si="26"/>
        <v>0</v>
      </c>
      <c r="N128" s="1111"/>
      <c r="O128" s="674">
        <f t="shared" si="27"/>
        <v>30</v>
      </c>
      <c r="P128" s="682"/>
      <c r="Q128" s="286"/>
      <c r="R128" s="287"/>
      <c r="S128" s="280"/>
      <c r="T128" s="280"/>
      <c r="U128" s="280"/>
      <c r="V128" s="280"/>
      <c r="W128" s="280"/>
      <c r="X128" s="280"/>
      <c r="Y128" s="280"/>
      <c r="Z128" s="284"/>
      <c r="AA128" s="284"/>
      <c r="AB128" s="284"/>
      <c r="AC128" s="284"/>
      <c r="AD128" s="284"/>
      <c r="AE128" s="284"/>
      <c r="AF128" s="447"/>
      <c r="AG128" s="447"/>
      <c r="AH128" s="447"/>
      <c r="AI128" s="382"/>
      <c r="AJ128" s="382"/>
      <c r="AK128" s="382"/>
      <c r="AL128" s="382"/>
      <c r="AM128" s="382"/>
      <c r="AN128" s="382"/>
      <c r="AO128" s="382"/>
      <c r="AP128" s="382"/>
      <c r="AQ128" s="382"/>
      <c r="AR128" s="382"/>
      <c r="AS128" s="382"/>
      <c r="AT128" s="382"/>
      <c r="AU128" s="382"/>
      <c r="AV128" s="382"/>
      <c r="AW128" s="382"/>
      <c r="AX128" s="382"/>
      <c r="AY128" s="382"/>
      <c r="AZ128" s="382"/>
      <c r="BA128" s="382"/>
      <c r="BB128" s="382"/>
      <c r="BC128" s="382"/>
      <c r="BD128" s="382"/>
      <c r="BE128" s="382"/>
      <c r="BF128" s="382"/>
      <c r="BG128" s="382"/>
      <c r="BH128" s="382"/>
      <c r="BI128" s="382"/>
      <c r="BJ128" s="382"/>
      <c r="BK128" s="382"/>
      <c r="BL128" s="382"/>
      <c r="BM128" s="382"/>
      <c r="BN128" s="382"/>
      <c r="BO128" s="382"/>
    </row>
    <row r="129" spans="1:67" s="88" customFormat="1" ht="10.55" customHeight="1" x14ac:dyDescent="0.2">
      <c r="A129" s="1013" t="s">
        <v>355</v>
      </c>
      <c r="B129" s="2807"/>
      <c r="C129" s="2808"/>
      <c r="D129" s="2809"/>
      <c r="E129" s="2561"/>
      <c r="F129" s="2562"/>
      <c r="G129" s="1785">
        <v>20</v>
      </c>
      <c r="H129" s="524"/>
      <c r="I129" s="1409">
        <f t="shared" si="24"/>
        <v>6.4147128734474465E-2</v>
      </c>
      <c r="J129" s="1421">
        <f t="shared" si="25"/>
        <v>0</v>
      </c>
      <c r="K129" s="678">
        <v>1.5</v>
      </c>
      <c r="L129" s="1002"/>
      <c r="M129" s="1428">
        <f t="shared" si="26"/>
        <v>0</v>
      </c>
      <c r="N129" s="1111"/>
      <c r="O129" s="674">
        <f t="shared" si="27"/>
        <v>20</v>
      </c>
      <c r="P129" s="682"/>
      <c r="Q129" s="286"/>
      <c r="R129" s="287"/>
      <c r="S129" s="280"/>
      <c r="T129" s="280"/>
      <c r="U129" s="280"/>
      <c r="V129" s="280"/>
      <c r="W129" s="280"/>
      <c r="X129" s="280"/>
      <c r="Y129" s="280"/>
      <c r="Z129" s="284"/>
      <c r="AA129" s="284"/>
      <c r="AB129" s="284"/>
      <c r="AC129" s="284"/>
      <c r="AD129" s="284"/>
      <c r="AE129" s="284"/>
      <c r="AF129" s="447"/>
      <c r="AG129" s="447"/>
      <c r="AH129" s="447"/>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c r="BH129" s="382"/>
      <c r="BI129" s="382"/>
      <c r="BJ129" s="382"/>
      <c r="BK129" s="382"/>
      <c r="BL129" s="382"/>
      <c r="BM129" s="382"/>
      <c r="BN129" s="382"/>
      <c r="BO129" s="382"/>
    </row>
    <row r="130" spans="1:67" s="88" customFormat="1" ht="10.55" customHeight="1" x14ac:dyDescent="0.2">
      <c r="A130" s="1013" t="s">
        <v>333</v>
      </c>
      <c r="B130" s="2807"/>
      <c r="C130" s="2808"/>
      <c r="D130" s="2809"/>
      <c r="E130" s="2561"/>
      <c r="F130" s="2562"/>
      <c r="G130" s="1785">
        <v>20</v>
      </c>
      <c r="H130" s="524"/>
      <c r="I130" s="1409">
        <f t="shared" si="24"/>
        <v>6.4147128734474465E-2</v>
      </c>
      <c r="J130" s="1421">
        <f t="shared" si="25"/>
        <v>0</v>
      </c>
      <c r="K130" s="678">
        <v>8</v>
      </c>
      <c r="L130" s="1002"/>
      <c r="M130" s="1428">
        <f t="shared" si="26"/>
        <v>0</v>
      </c>
      <c r="N130" s="1111"/>
      <c r="O130" s="674">
        <f t="shared" si="27"/>
        <v>20</v>
      </c>
      <c r="P130" s="682"/>
      <c r="Q130" s="286"/>
      <c r="R130" s="287"/>
      <c r="S130" s="280"/>
      <c r="T130" s="280"/>
      <c r="U130" s="280"/>
      <c r="V130" s="280"/>
      <c r="W130" s="280"/>
      <c r="X130" s="280"/>
      <c r="Y130" s="280"/>
      <c r="Z130" s="284"/>
      <c r="AA130" s="284"/>
      <c r="AB130" s="284"/>
      <c r="AC130" s="284"/>
      <c r="AD130" s="284"/>
      <c r="AE130" s="284"/>
      <c r="AF130" s="447"/>
      <c r="AG130" s="447"/>
      <c r="AH130" s="447"/>
      <c r="AI130" s="382"/>
      <c r="AJ130" s="382"/>
      <c r="AK130" s="382"/>
      <c r="AL130" s="382"/>
      <c r="AM130" s="382"/>
      <c r="AN130" s="382"/>
      <c r="AO130" s="382"/>
      <c r="AP130" s="382"/>
      <c r="AQ130" s="382"/>
      <c r="AR130" s="382"/>
      <c r="AS130" s="382"/>
      <c r="AT130" s="382"/>
      <c r="AU130" s="382"/>
      <c r="AV130" s="382"/>
      <c r="AW130" s="382"/>
      <c r="AX130" s="382"/>
      <c r="AY130" s="382"/>
      <c r="AZ130" s="382"/>
      <c r="BA130" s="382"/>
      <c r="BB130" s="382"/>
      <c r="BC130" s="382"/>
      <c r="BD130" s="382"/>
      <c r="BE130" s="382"/>
      <c r="BF130" s="382"/>
      <c r="BG130" s="382"/>
      <c r="BH130" s="382"/>
      <c r="BI130" s="382"/>
      <c r="BJ130" s="382"/>
      <c r="BK130" s="382"/>
      <c r="BL130" s="382"/>
      <c r="BM130" s="382"/>
      <c r="BN130" s="382"/>
      <c r="BO130" s="382"/>
    </row>
    <row r="131" spans="1:67" s="88" customFormat="1" ht="10.55" customHeight="1" x14ac:dyDescent="0.2">
      <c r="A131" s="1013" t="s">
        <v>334</v>
      </c>
      <c r="B131" s="2807"/>
      <c r="C131" s="2808"/>
      <c r="D131" s="2809"/>
      <c r="E131" s="2561"/>
      <c r="F131" s="2562"/>
      <c r="G131" s="1785">
        <v>30</v>
      </c>
      <c r="H131" s="524"/>
      <c r="I131" s="1409">
        <f t="shared" si="24"/>
        <v>4.7777640736176463E-2</v>
      </c>
      <c r="J131" s="1421">
        <f t="shared" si="25"/>
        <v>0</v>
      </c>
      <c r="K131" s="678"/>
      <c r="L131" s="1002"/>
      <c r="M131" s="1428">
        <f t="shared" si="26"/>
        <v>0</v>
      </c>
      <c r="N131" s="1111"/>
      <c r="O131" s="674">
        <f t="shared" si="27"/>
        <v>30</v>
      </c>
      <c r="P131" s="682"/>
      <c r="Q131" s="286"/>
      <c r="R131" s="287"/>
      <c r="S131" s="280"/>
      <c r="T131" s="280"/>
      <c r="U131" s="280"/>
      <c r="V131" s="280"/>
      <c r="W131" s="280"/>
      <c r="X131" s="280"/>
      <c r="Y131" s="280"/>
      <c r="Z131" s="284"/>
      <c r="AA131" s="284"/>
      <c r="AB131" s="284"/>
      <c r="AC131" s="284"/>
      <c r="AD131" s="284"/>
      <c r="AE131" s="284"/>
      <c r="AF131" s="447"/>
      <c r="AG131" s="447"/>
      <c r="AH131" s="447"/>
      <c r="AI131" s="382"/>
      <c r="AJ131" s="382"/>
      <c r="AK131" s="382"/>
      <c r="AL131" s="382"/>
      <c r="AM131" s="382"/>
      <c r="AN131" s="382"/>
      <c r="AO131" s="382"/>
      <c r="AP131" s="382"/>
      <c r="AQ131" s="382"/>
      <c r="AR131" s="382"/>
      <c r="AS131" s="382"/>
      <c r="AT131" s="382"/>
      <c r="AU131" s="382"/>
      <c r="AV131" s="382"/>
      <c r="AW131" s="382"/>
      <c r="AX131" s="382"/>
      <c r="AY131" s="382"/>
      <c r="AZ131" s="382"/>
      <c r="BA131" s="382"/>
      <c r="BB131" s="382"/>
      <c r="BC131" s="382"/>
      <c r="BD131" s="382"/>
      <c r="BE131" s="382"/>
      <c r="BF131" s="382"/>
      <c r="BG131" s="382"/>
      <c r="BH131" s="382"/>
      <c r="BI131" s="382"/>
      <c r="BJ131" s="382"/>
      <c r="BK131" s="382"/>
      <c r="BL131" s="382"/>
      <c r="BM131" s="382"/>
      <c r="BN131" s="382"/>
      <c r="BO131" s="382"/>
    </row>
    <row r="132" spans="1:67" s="88" customFormat="1" ht="10.55" customHeight="1" x14ac:dyDescent="0.2">
      <c r="A132" s="675"/>
      <c r="B132" s="2807"/>
      <c r="C132" s="2808"/>
      <c r="D132" s="2809"/>
      <c r="E132" s="2561"/>
      <c r="F132" s="2562"/>
      <c r="G132" s="1015"/>
      <c r="H132" s="524"/>
      <c r="I132" s="1409">
        <f t="shared" si="24"/>
        <v>0</v>
      </c>
      <c r="J132" s="1421">
        <f t="shared" si="25"/>
        <v>0</v>
      </c>
      <c r="K132" s="679"/>
      <c r="L132" s="1002"/>
      <c r="M132" s="1428">
        <f t="shared" si="26"/>
        <v>0</v>
      </c>
      <c r="N132" s="1111"/>
      <c r="O132" s="674">
        <f t="shared" si="27"/>
        <v>0</v>
      </c>
      <c r="P132" s="682"/>
      <c r="Q132" s="286"/>
      <c r="R132" s="287"/>
      <c r="S132" s="280"/>
      <c r="T132" s="280"/>
      <c r="U132" s="280"/>
      <c r="V132" s="280"/>
      <c r="W132" s="280"/>
      <c r="X132" s="280"/>
      <c r="Y132" s="280"/>
      <c r="Z132" s="284"/>
      <c r="AA132" s="284"/>
      <c r="AB132" s="284"/>
      <c r="AC132" s="284"/>
      <c r="AD132" s="284"/>
      <c r="AE132" s="284"/>
      <c r="AF132" s="447"/>
      <c r="AG132" s="447"/>
      <c r="AH132" s="447"/>
      <c r="AI132" s="382"/>
      <c r="AJ132" s="382"/>
      <c r="AK132" s="382"/>
      <c r="AL132" s="382"/>
      <c r="AM132" s="382"/>
      <c r="AN132" s="382"/>
      <c r="AO132" s="382"/>
      <c r="AP132" s="382"/>
      <c r="AQ132" s="382"/>
      <c r="AR132" s="382"/>
      <c r="AS132" s="382"/>
      <c r="AT132" s="382"/>
      <c r="AU132" s="382"/>
      <c r="AV132" s="382"/>
      <c r="AW132" s="382"/>
      <c r="AX132" s="382"/>
      <c r="AY132" s="382"/>
      <c r="AZ132" s="382"/>
      <c r="BA132" s="382"/>
      <c r="BB132" s="382"/>
      <c r="BC132" s="382"/>
      <c r="BD132" s="382"/>
      <c r="BE132" s="382"/>
      <c r="BF132" s="382"/>
      <c r="BG132" s="382"/>
      <c r="BH132" s="382"/>
      <c r="BI132" s="382"/>
      <c r="BJ132" s="382"/>
      <c r="BK132" s="382"/>
      <c r="BL132" s="382"/>
      <c r="BM132" s="382"/>
      <c r="BN132" s="382"/>
      <c r="BO132" s="382"/>
    </row>
    <row r="133" spans="1:67" s="88" customFormat="1" ht="10.55" customHeight="1" x14ac:dyDescent="0.2">
      <c r="A133" s="675"/>
      <c r="B133" s="2807"/>
      <c r="C133" s="2808"/>
      <c r="D133" s="2809"/>
      <c r="E133" s="2561"/>
      <c r="F133" s="2562"/>
      <c r="G133" s="1015"/>
      <c r="H133" s="524"/>
      <c r="I133" s="1409">
        <f t="shared" si="24"/>
        <v>0</v>
      </c>
      <c r="J133" s="1421">
        <f t="shared" si="25"/>
        <v>0</v>
      </c>
      <c r="K133" s="679"/>
      <c r="L133" s="1002"/>
      <c r="M133" s="1428">
        <f t="shared" si="26"/>
        <v>0</v>
      </c>
      <c r="N133" s="1111"/>
      <c r="O133" s="674">
        <f t="shared" si="27"/>
        <v>0</v>
      </c>
      <c r="P133" s="682"/>
      <c r="Q133" s="286"/>
      <c r="R133" s="287"/>
      <c r="S133" s="280"/>
      <c r="T133" s="280"/>
      <c r="U133" s="280"/>
      <c r="V133" s="280"/>
      <c r="W133" s="280"/>
      <c r="X133" s="280"/>
      <c r="Y133" s="280"/>
      <c r="Z133" s="284"/>
      <c r="AA133" s="284"/>
      <c r="AB133" s="284"/>
      <c r="AC133" s="284"/>
      <c r="AD133" s="284"/>
      <c r="AE133" s="284"/>
      <c r="AF133" s="447"/>
      <c r="AG133" s="447"/>
      <c r="AH133" s="447"/>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c r="BH133" s="382"/>
      <c r="BI133" s="382"/>
      <c r="BJ133" s="382"/>
      <c r="BK133" s="382"/>
      <c r="BL133" s="382"/>
      <c r="BM133" s="382"/>
      <c r="BN133" s="382"/>
      <c r="BO133" s="382"/>
    </row>
    <row r="134" spans="1:67" s="88" customFormat="1" ht="10.55" customHeight="1" x14ac:dyDescent="0.2">
      <c r="A134" s="675"/>
      <c r="B134" s="2807"/>
      <c r="C134" s="2808"/>
      <c r="D134" s="2809"/>
      <c r="E134" s="2561"/>
      <c r="F134" s="2562"/>
      <c r="G134" s="1015"/>
      <c r="H134" s="524"/>
      <c r="I134" s="1409">
        <f t="shared" si="24"/>
        <v>0</v>
      </c>
      <c r="J134" s="1421">
        <f t="shared" si="25"/>
        <v>0</v>
      </c>
      <c r="K134" s="679"/>
      <c r="L134" s="1002"/>
      <c r="M134" s="1428">
        <f t="shared" si="26"/>
        <v>0</v>
      </c>
      <c r="N134" s="1111"/>
      <c r="O134" s="674">
        <f t="shared" si="27"/>
        <v>0</v>
      </c>
      <c r="P134" s="682"/>
      <c r="Q134" s="286"/>
      <c r="R134" s="287"/>
      <c r="S134" s="280"/>
      <c r="T134" s="280"/>
      <c r="U134" s="280"/>
      <c r="V134" s="280"/>
      <c r="W134" s="280"/>
      <c r="X134" s="280"/>
      <c r="Y134" s="280"/>
      <c r="Z134" s="284"/>
      <c r="AA134" s="284"/>
      <c r="AB134" s="284"/>
      <c r="AC134" s="284"/>
      <c r="AD134" s="284"/>
      <c r="AE134" s="284"/>
      <c r="AF134" s="447"/>
      <c r="AG134" s="447"/>
      <c r="AH134" s="447"/>
      <c r="AI134" s="382"/>
      <c r="AJ134" s="382"/>
      <c r="AK134" s="382"/>
      <c r="AL134" s="382"/>
      <c r="AM134" s="382"/>
      <c r="AN134" s="382"/>
      <c r="AO134" s="382"/>
      <c r="AP134" s="382"/>
      <c r="AQ134" s="382"/>
      <c r="AR134" s="382"/>
      <c r="AS134" s="382"/>
      <c r="AT134" s="382"/>
      <c r="AU134" s="382"/>
      <c r="AV134" s="382"/>
      <c r="AW134" s="382"/>
      <c r="AX134" s="382"/>
      <c r="AY134" s="382"/>
      <c r="AZ134" s="382"/>
      <c r="BA134" s="382"/>
      <c r="BB134" s="382"/>
      <c r="BC134" s="382"/>
      <c r="BD134" s="382"/>
      <c r="BE134" s="382"/>
      <c r="BF134" s="382"/>
      <c r="BG134" s="382"/>
      <c r="BH134" s="382"/>
      <c r="BI134" s="382"/>
      <c r="BJ134" s="382"/>
      <c r="BK134" s="382"/>
      <c r="BL134" s="382"/>
      <c r="BM134" s="382"/>
      <c r="BN134" s="382"/>
      <c r="BO134" s="382"/>
    </row>
    <row r="135" spans="1:67" s="88" customFormat="1" ht="10.55" customHeight="1" x14ac:dyDescent="0.2">
      <c r="A135" s="1017"/>
      <c r="B135" s="2804"/>
      <c r="C135" s="2805"/>
      <c r="D135" s="2806"/>
      <c r="E135" s="2793"/>
      <c r="F135" s="2794"/>
      <c r="G135" s="1018"/>
      <c r="H135" s="1019"/>
      <c r="I135" s="1436">
        <f t="shared" si="24"/>
        <v>0</v>
      </c>
      <c r="J135" s="1422"/>
      <c r="K135" s="680"/>
      <c r="L135" s="1020"/>
      <c r="M135" s="1429">
        <f t="shared" si="26"/>
        <v>0</v>
      </c>
      <c r="N135" s="1111"/>
      <c r="O135" s="674">
        <f t="shared" si="27"/>
        <v>0</v>
      </c>
      <c r="P135" s="682"/>
      <c r="Q135" s="286"/>
      <c r="R135" s="287"/>
      <c r="S135" s="280"/>
      <c r="T135" s="280"/>
      <c r="U135" s="280"/>
      <c r="V135" s="280"/>
      <c r="W135" s="280"/>
      <c r="X135" s="280"/>
      <c r="Y135" s="280"/>
      <c r="Z135" s="284"/>
      <c r="AA135" s="284"/>
      <c r="AB135" s="284"/>
      <c r="AC135" s="284"/>
      <c r="AD135" s="284"/>
      <c r="AE135" s="284"/>
      <c r="AF135" s="447"/>
      <c r="AG135" s="447"/>
      <c r="AH135" s="447"/>
      <c r="AI135" s="382"/>
      <c r="AJ135" s="382"/>
      <c r="AK135" s="382"/>
      <c r="AL135" s="382"/>
      <c r="AM135" s="382"/>
      <c r="AN135" s="382"/>
      <c r="AO135" s="382"/>
      <c r="AP135" s="382"/>
      <c r="AQ135" s="382"/>
      <c r="AR135" s="382"/>
      <c r="AS135" s="382"/>
      <c r="AT135" s="382"/>
      <c r="AU135" s="382"/>
      <c r="AV135" s="382"/>
      <c r="AW135" s="382"/>
      <c r="AX135" s="382"/>
      <c r="AY135" s="382"/>
      <c r="AZ135" s="382"/>
      <c r="BA135" s="382"/>
      <c r="BB135" s="382"/>
      <c r="BC135" s="382"/>
      <c r="BD135" s="382"/>
      <c r="BE135" s="382"/>
      <c r="BF135" s="382"/>
      <c r="BG135" s="382"/>
      <c r="BH135" s="382"/>
      <c r="BI135" s="382"/>
      <c r="BJ135" s="382"/>
      <c r="BK135" s="382"/>
      <c r="BL135" s="382"/>
      <c r="BM135" s="382"/>
      <c r="BN135" s="382"/>
      <c r="BO135" s="382"/>
    </row>
    <row r="136" spans="1:67" s="88" customFormat="1" ht="10.55" customHeight="1" x14ac:dyDescent="0.2">
      <c r="A136" s="1122" t="s">
        <v>356</v>
      </c>
      <c r="B136" s="2783"/>
      <c r="C136" s="2784"/>
      <c r="D136" s="2785"/>
      <c r="E136" s="2810">
        <f>SUM(E137:E149)</f>
        <v>0</v>
      </c>
      <c r="F136" s="2811"/>
      <c r="G136" s="2747"/>
      <c r="H136" s="2748"/>
      <c r="I136" s="1435">
        <f>IF(E136=0,0,J136/E136)</f>
        <v>0</v>
      </c>
      <c r="J136" s="1423">
        <f>SUM(J137:J149)</f>
        <v>0</v>
      </c>
      <c r="K136" s="2749">
        <f>IF(E136=0,0,M136/E136*100)</f>
        <v>0</v>
      </c>
      <c r="L136" s="2750"/>
      <c r="M136" s="1430">
        <f>SUM(M137:M149)</f>
        <v>0</v>
      </c>
      <c r="N136" s="1111"/>
      <c r="O136" s="387">
        <f>IF(H136="",G136,H136)</f>
        <v>0</v>
      </c>
      <c r="P136" s="682"/>
      <c r="Q136" s="286"/>
      <c r="R136" s="287"/>
      <c r="S136" s="280"/>
      <c r="T136" s="280"/>
      <c r="U136" s="280"/>
      <c r="V136" s="280"/>
      <c r="W136" s="280"/>
      <c r="X136" s="280"/>
      <c r="Y136" s="280"/>
      <c r="Z136" s="284"/>
      <c r="AA136" s="284"/>
      <c r="AB136" s="284"/>
      <c r="AC136" s="284"/>
      <c r="AD136" s="284"/>
      <c r="AE136" s="284"/>
      <c r="AF136" s="447"/>
      <c r="AG136" s="447"/>
      <c r="AH136" s="447"/>
      <c r="AI136" s="382"/>
      <c r="AJ136" s="382"/>
      <c r="AK136" s="382"/>
      <c r="AL136" s="382"/>
      <c r="AM136" s="382"/>
      <c r="AN136" s="382"/>
      <c r="AO136" s="382"/>
      <c r="AP136" s="382"/>
      <c r="AQ136" s="382"/>
      <c r="AR136" s="382"/>
      <c r="AS136" s="382"/>
      <c r="AT136" s="382"/>
      <c r="AU136" s="382"/>
      <c r="AV136" s="382"/>
      <c r="AW136" s="382"/>
      <c r="AX136" s="382"/>
      <c r="AY136" s="382"/>
      <c r="AZ136" s="382"/>
      <c r="BA136" s="382"/>
      <c r="BB136" s="382"/>
      <c r="BC136" s="382"/>
      <c r="BD136" s="382"/>
      <c r="BE136" s="382"/>
      <c r="BF136" s="382"/>
      <c r="BG136" s="382"/>
      <c r="BH136" s="382"/>
      <c r="BI136" s="382"/>
      <c r="BJ136" s="382"/>
      <c r="BK136" s="382"/>
      <c r="BL136" s="382"/>
      <c r="BM136" s="382"/>
      <c r="BN136" s="382"/>
      <c r="BO136" s="382"/>
    </row>
    <row r="137" spans="1:67" s="88" customFormat="1" ht="10.55" customHeight="1" x14ac:dyDescent="0.2">
      <c r="A137" s="1013" t="s">
        <v>357</v>
      </c>
      <c r="B137" s="2790"/>
      <c r="C137" s="2791"/>
      <c r="D137" s="2792"/>
      <c r="E137" s="2734"/>
      <c r="F137" s="2735"/>
      <c r="G137" s="1785">
        <v>40</v>
      </c>
      <c r="H137" s="524"/>
      <c r="I137" s="1409">
        <f t="shared" ref="I137:I150" si="28">IF($O137&gt;0,-PMT(($I$9),$O137,1),0)</f>
        <v>3.9836233162469814E-2</v>
      </c>
      <c r="J137" s="1421">
        <f t="shared" ref="J137:J149" si="29">ROUND(E137*I137,0)</f>
        <v>0</v>
      </c>
      <c r="K137" s="678">
        <v>1</v>
      </c>
      <c r="L137" s="1002"/>
      <c r="M137" s="1428">
        <f t="shared" ref="M137:M150" si="30">ROUND(E137/100*IF(ISBLANK(L137),K137,L137),0)</f>
        <v>0</v>
      </c>
      <c r="N137" s="1111"/>
      <c r="O137" s="674">
        <f t="shared" ref="O137:O150" si="31">IF(ISBLANK(H137),G137,H137)</f>
        <v>40</v>
      </c>
      <c r="P137" s="682"/>
      <c r="Q137" s="286"/>
      <c r="R137" s="287"/>
      <c r="S137" s="280"/>
      <c r="T137" s="280"/>
      <c r="U137" s="280"/>
      <c r="V137" s="280"/>
      <c r="W137" s="280"/>
      <c r="X137" s="280"/>
      <c r="Y137" s="280"/>
      <c r="Z137" s="284"/>
      <c r="AA137" s="284"/>
      <c r="AB137" s="284"/>
      <c r="AC137" s="284"/>
      <c r="AD137" s="284"/>
      <c r="AE137" s="284"/>
      <c r="AF137" s="447"/>
      <c r="AG137" s="447"/>
      <c r="AH137" s="447"/>
      <c r="AI137" s="382"/>
      <c r="AJ137" s="382"/>
      <c r="AK137" s="382"/>
      <c r="AL137" s="38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2"/>
      <c r="BG137" s="382"/>
      <c r="BH137" s="382"/>
      <c r="BI137" s="382"/>
      <c r="BJ137" s="382"/>
      <c r="BK137" s="382"/>
      <c r="BL137" s="382"/>
      <c r="BM137" s="382"/>
      <c r="BN137" s="382"/>
      <c r="BO137" s="382"/>
    </row>
    <row r="138" spans="1:67" s="88" customFormat="1" ht="10.55" customHeight="1" x14ac:dyDescent="0.2">
      <c r="A138" s="1013" t="s">
        <v>358</v>
      </c>
      <c r="B138" s="2807"/>
      <c r="C138" s="2808"/>
      <c r="D138" s="2809"/>
      <c r="E138" s="2561"/>
      <c r="F138" s="2562"/>
      <c r="G138" s="1785">
        <v>30</v>
      </c>
      <c r="H138" s="524"/>
      <c r="I138" s="1409">
        <f t="shared" si="28"/>
        <v>4.7777640736176463E-2</v>
      </c>
      <c r="J138" s="1421">
        <f t="shared" si="29"/>
        <v>0</v>
      </c>
      <c r="K138" s="678">
        <v>1</v>
      </c>
      <c r="L138" s="1002"/>
      <c r="M138" s="1428">
        <f t="shared" si="30"/>
        <v>0</v>
      </c>
      <c r="N138" s="1111"/>
      <c r="O138" s="674">
        <f t="shared" si="31"/>
        <v>30</v>
      </c>
      <c r="P138" s="682"/>
      <c r="Q138" s="286"/>
      <c r="R138" s="287"/>
      <c r="S138" s="280"/>
      <c r="T138" s="280"/>
      <c r="U138" s="280"/>
      <c r="V138" s="280"/>
      <c r="W138" s="280"/>
      <c r="X138" s="280"/>
      <c r="Y138" s="280"/>
      <c r="Z138" s="284"/>
      <c r="AA138" s="284"/>
      <c r="AB138" s="284"/>
      <c r="AC138" s="284"/>
      <c r="AD138" s="284"/>
      <c r="AE138" s="284"/>
      <c r="AF138" s="447"/>
      <c r="AG138" s="447"/>
      <c r="AH138" s="447"/>
      <c r="AI138" s="382"/>
      <c r="AJ138" s="382"/>
      <c r="AK138" s="382"/>
      <c r="AL138" s="382"/>
      <c r="AM138" s="382"/>
      <c r="AN138" s="382"/>
      <c r="AO138" s="382"/>
      <c r="AP138" s="382"/>
      <c r="AQ138" s="382"/>
      <c r="AR138" s="382"/>
      <c r="AS138" s="382"/>
      <c r="AT138" s="382"/>
      <c r="AU138" s="382"/>
      <c r="AV138" s="382"/>
      <c r="AW138" s="382"/>
      <c r="AX138" s="382"/>
      <c r="AY138" s="382"/>
      <c r="AZ138" s="382"/>
      <c r="BA138" s="382"/>
      <c r="BB138" s="382"/>
      <c r="BC138" s="382"/>
      <c r="BD138" s="382"/>
      <c r="BE138" s="382"/>
      <c r="BF138" s="382"/>
      <c r="BG138" s="382"/>
      <c r="BH138" s="382"/>
      <c r="BI138" s="382"/>
      <c r="BJ138" s="382"/>
      <c r="BK138" s="382"/>
      <c r="BL138" s="382"/>
      <c r="BM138" s="382"/>
      <c r="BN138" s="382"/>
      <c r="BO138" s="382"/>
    </row>
    <row r="139" spans="1:67" s="88" customFormat="1" ht="10.55" customHeight="1" x14ac:dyDescent="0.2">
      <c r="A139" s="1013" t="s">
        <v>359</v>
      </c>
      <c r="B139" s="2807"/>
      <c r="C139" s="2808"/>
      <c r="D139" s="2809"/>
      <c r="E139" s="2561"/>
      <c r="F139" s="2562"/>
      <c r="G139" s="1785">
        <v>40</v>
      </c>
      <c r="H139" s="524"/>
      <c r="I139" s="1409">
        <f t="shared" si="28"/>
        <v>3.9836233162469814E-2</v>
      </c>
      <c r="J139" s="1421">
        <f t="shared" si="29"/>
        <v>0</v>
      </c>
      <c r="K139" s="678">
        <v>1</v>
      </c>
      <c r="L139" s="1002"/>
      <c r="M139" s="1428">
        <f t="shared" si="30"/>
        <v>0</v>
      </c>
      <c r="N139" s="1111"/>
      <c r="O139" s="674">
        <f t="shared" si="31"/>
        <v>40</v>
      </c>
      <c r="P139" s="682"/>
      <c r="Q139" s="286"/>
      <c r="R139" s="287"/>
      <c r="S139" s="280"/>
      <c r="T139" s="280"/>
      <c r="U139" s="280"/>
      <c r="V139" s="280"/>
      <c r="W139" s="280"/>
      <c r="X139" s="280"/>
      <c r="Y139" s="280"/>
      <c r="Z139" s="284"/>
      <c r="AA139" s="284"/>
      <c r="AB139" s="284"/>
      <c r="AC139" s="284"/>
      <c r="AD139" s="284"/>
      <c r="AE139" s="284"/>
      <c r="AF139" s="447"/>
      <c r="AG139" s="447"/>
      <c r="AH139" s="447"/>
      <c r="AI139" s="382"/>
      <c r="AJ139" s="382"/>
      <c r="AK139" s="382"/>
      <c r="AL139" s="382"/>
      <c r="AM139" s="382"/>
      <c r="AN139" s="382"/>
      <c r="AO139" s="382"/>
      <c r="AP139" s="382"/>
      <c r="AQ139" s="382"/>
      <c r="AR139" s="382"/>
      <c r="AS139" s="382"/>
      <c r="AT139" s="382"/>
      <c r="AU139" s="382"/>
      <c r="AV139" s="382"/>
      <c r="AW139" s="382"/>
      <c r="AX139" s="382"/>
      <c r="AY139" s="382"/>
      <c r="AZ139" s="382"/>
      <c r="BA139" s="382"/>
      <c r="BB139" s="382"/>
      <c r="BC139" s="382"/>
      <c r="BD139" s="382"/>
      <c r="BE139" s="382"/>
      <c r="BF139" s="382"/>
      <c r="BG139" s="382"/>
      <c r="BH139" s="382"/>
      <c r="BI139" s="382"/>
      <c r="BJ139" s="382"/>
      <c r="BK139" s="382"/>
      <c r="BL139" s="382"/>
      <c r="BM139" s="382"/>
      <c r="BN139" s="382"/>
      <c r="BO139" s="382"/>
    </row>
    <row r="140" spans="1:67" s="88" customFormat="1" ht="10.55" customHeight="1" x14ac:dyDescent="0.2">
      <c r="A140" s="1013" t="s">
        <v>360</v>
      </c>
      <c r="B140" s="2807"/>
      <c r="C140" s="2808"/>
      <c r="D140" s="2809"/>
      <c r="E140" s="2561"/>
      <c r="F140" s="2562"/>
      <c r="G140" s="1785">
        <v>20</v>
      </c>
      <c r="H140" s="524"/>
      <c r="I140" s="1409">
        <f t="shared" si="28"/>
        <v>6.4147128734474465E-2</v>
      </c>
      <c r="J140" s="1421">
        <f t="shared" si="29"/>
        <v>0</v>
      </c>
      <c r="K140" s="678">
        <v>2</v>
      </c>
      <c r="L140" s="1002"/>
      <c r="M140" s="1428">
        <f t="shared" si="30"/>
        <v>0</v>
      </c>
      <c r="N140" s="1111"/>
      <c r="O140" s="674">
        <f t="shared" si="31"/>
        <v>20</v>
      </c>
      <c r="P140" s="682"/>
      <c r="Q140" s="286"/>
      <c r="R140" s="287"/>
      <c r="S140" s="280"/>
      <c r="T140" s="280"/>
      <c r="U140" s="280"/>
      <c r="V140" s="280"/>
      <c r="W140" s="280"/>
      <c r="X140" s="280"/>
      <c r="Y140" s="280"/>
      <c r="Z140" s="284"/>
      <c r="AA140" s="284"/>
      <c r="AB140" s="284"/>
      <c r="AC140" s="284"/>
      <c r="AD140" s="284"/>
      <c r="AE140" s="284"/>
      <c r="AF140" s="447"/>
      <c r="AG140" s="447"/>
      <c r="AH140" s="447"/>
      <c r="AI140" s="382"/>
      <c r="AJ140" s="382"/>
      <c r="AK140" s="382"/>
      <c r="AL140" s="382"/>
      <c r="AM140" s="382"/>
      <c r="AN140" s="382"/>
      <c r="AO140" s="382"/>
      <c r="AP140" s="382"/>
      <c r="AQ140" s="382"/>
      <c r="AR140" s="382"/>
      <c r="AS140" s="382"/>
      <c r="AT140" s="382"/>
      <c r="AU140" s="382"/>
      <c r="AV140" s="382"/>
      <c r="AW140" s="382"/>
      <c r="AX140" s="382"/>
      <c r="AY140" s="382"/>
      <c r="AZ140" s="382"/>
      <c r="BA140" s="382"/>
      <c r="BB140" s="382"/>
      <c r="BC140" s="382"/>
      <c r="BD140" s="382"/>
      <c r="BE140" s="382"/>
      <c r="BF140" s="382"/>
      <c r="BG140" s="382"/>
      <c r="BH140" s="382"/>
      <c r="BI140" s="382"/>
      <c r="BJ140" s="382"/>
      <c r="BK140" s="382"/>
      <c r="BL140" s="382"/>
      <c r="BM140" s="382"/>
      <c r="BN140" s="382"/>
      <c r="BO140" s="382"/>
    </row>
    <row r="141" spans="1:67" s="88" customFormat="1" ht="10.55" customHeight="1" x14ac:dyDescent="0.2">
      <c r="A141" s="1013" t="s">
        <v>361</v>
      </c>
      <c r="B141" s="2807"/>
      <c r="C141" s="2808"/>
      <c r="D141" s="2809"/>
      <c r="E141" s="2561"/>
      <c r="F141" s="2562"/>
      <c r="G141" s="1785">
        <v>20</v>
      </c>
      <c r="H141" s="524"/>
      <c r="I141" s="1409">
        <f t="shared" si="28"/>
        <v>6.4147128734474465E-2</v>
      </c>
      <c r="J141" s="1421">
        <f t="shared" si="29"/>
        <v>0</v>
      </c>
      <c r="K141" s="678">
        <v>1.5</v>
      </c>
      <c r="L141" s="1002"/>
      <c r="M141" s="1428">
        <f t="shared" si="30"/>
        <v>0</v>
      </c>
      <c r="N141" s="1111"/>
      <c r="O141" s="674">
        <f t="shared" si="31"/>
        <v>20</v>
      </c>
      <c r="P141" s="682"/>
      <c r="Q141" s="286"/>
      <c r="R141" s="287"/>
      <c r="S141" s="280"/>
      <c r="T141" s="280"/>
      <c r="U141" s="280"/>
      <c r="V141" s="280"/>
      <c r="W141" s="280"/>
      <c r="X141" s="280"/>
      <c r="Y141" s="280"/>
      <c r="Z141" s="284"/>
      <c r="AA141" s="284"/>
      <c r="AB141" s="284"/>
      <c r="AC141" s="284"/>
      <c r="AD141" s="284"/>
      <c r="AE141" s="284"/>
      <c r="AF141" s="447"/>
      <c r="AG141" s="447"/>
      <c r="AH141" s="447"/>
      <c r="AI141" s="382"/>
      <c r="AJ141" s="382"/>
      <c r="AK141" s="382"/>
      <c r="AL141" s="38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2"/>
      <c r="BG141" s="382"/>
      <c r="BH141" s="382"/>
      <c r="BI141" s="382"/>
      <c r="BJ141" s="382"/>
      <c r="BK141" s="382"/>
      <c r="BL141" s="382"/>
      <c r="BM141" s="382"/>
      <c r="BN141" s="382"/>
      <c r="BO141" s="382"/>
    </row>
    <row r="142" spans="1:67" s="88" customFormat="1" ht="10.55" customHeight="1" x14ac:dyDescent="0.2">
      <c r="A142" s="1013" t="s">
        <v>362</v>
      </c>
      <c r="B142" s="2807"/>
      <c r="C142" s="2808"/>
      <c r="D142" s="2809"/>
      <c r="E142" s="2561"/>
      <c r="F142" s="2562"/>
      <c r="G142" s="1785">
        <v>20</v>
      </c>
      <c r="H142" s="524"/>
      <c r="I142" s="1409">
        <f t="shared" si="28"/>
        <v>6.4147128734474465E-2</v>
      </c>
      <c r="J142" s="1421">
        <f t="shared" si="29"/>
        <v>0</v>
      </c>
      <c r="K142" s="678">
        <v>1.5</v>
      </c>
      <c r="L142" s="1002"/>
      <c r="M142" s="1428">
        <f t="shared" si="30"/>
        <v>0</v>
      </c>
      <c r="N142" s="1111"/>
      <c r="O142" s="674">
        <f t="shared" si="31"/>
        <v>20</v>
      </c>
      <c r="P142" s="682"/>
      <c r="Q142" s="286"/>
      <c r="R142" s="287"/>
      <c r="S142" s="280"/>
      <c r="T142" s="280"/>
      <c r="U142" s="280"/>
      <c r="V142" s="280"/>
      <c r="W142" s="280"/>
      <c r="X142" s="280"/>
      <c r="Y142" s="280"/>
      <c r="Z142" s="284"/>
      <c r="AA142" s="284"/>
      <c r="AB142" s="284"/>
      <c r="AC142" s="284"/>
      <c r="AD142" s="284"/>
      <c r="AE142" s="284"/>
      <c r="AF142" s="447"/>
      <c r="AG142" s="447"/>
      <c r="AH142" s="447"/>
      <c r="AI142" s="382"/>
      <c r="AJ142" s="382"/>
      <c r="AK142" s="382"/>
      <c r="AL142" s="38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2"/>
      <c r="BG142" s="382"/>
      <c r="BH142" s="382"/>
      <c r="BI142" s="382"/>
      <c r="BJ142" s="382"/>
      <c r="BK142" s="382"/>
      <c r="BL142" s="382"/>
      <c r="BM142" s="382"/>
      <c r="BN142" s="382"/>
      <c r="BO142" s="382"/>
    </row>
    <row r="143" spans="1:67" s="88" customFormat="1" ht="10.55" customHeight="1" x14ac:dyDescent="0.2">
      <c r="A143" s="1013" t="s">
        <v>833</v>
      </c>
      <c r="B143" s="2807"/>
      <c r="C143" s="2808"/>
      <c r="D143" s="2809"/>
      <c r="E143" s="2561"/>
      <c r="F143" s="2562"/>
      <c r="G143" s="1785">
        <v>20</v>
      </c>
      <c r="H143" s="524"/>
      <c r="I143" s="1409">
        <f t="shared" si="28"/>
        <v>6.4147128734474465E-2</v>
      </c>
      <c r="J143" s="1421">
        <f t="shared" si="29"/>
        <v>0</v>
      </c>
      <c r="K143" s="678">
        <v>2.5</v>
      </c>
      <c r="L143" s="1002"/>
      <c r="M143" s="1428">
        <f t="shared" si="30"/>
        <v>0</v>
      </c>
      <c r="N143" s="1111"/>
      <c r="O143" s="674">
        <f t="shared" si="31"/>
        <v>20</v>
      </c>
      <c r="P143" s="682"/>
      <c r="Q143" s="286"/>
      <c r="R143" s="287"/>
      <c r="S143" s="280"/>
      <c r="T143" s="280"/>
      <c r="U143" s="280"/>
      <c r="V143" s="280"/>
      <c r="W143" s="280"/>
      <c r="X143" s="280"/>
      <c r="Y143" s="280"/>
      <c r="Z143" s="284"/>
      <c r="AA143" s="284"/>
      <c r="AB143" s="284"/>
      <c r="AC143" s="284"/>
      <c r="AD143" s="284"/>
      <c r="AE143" s="284"/>
      <c r="AF143" s="447"/>
      <c r="AG143" s="447"/>
      <c r="AH143" s="447"/>
      <c r="AI143" s="382"/>
      <c r="AJ143" s="382"/>
      <c r="AK143" s="382"/>
      <c r="AL143" s="382"/>
      <c r="AM143" s="382"/>
      <c r="AN143" s="382"/>
      <c r="AO143" s="382"/>
      <c r="AP143" s="382"/>
      <c r="AQ143" s="382"/>
      <c r="AR143" s="382"/>
      <c r="AS143" s="382"/>
      <c r="AT143" s="382"/>
      <c r="AU143" s="382"/>
      <c r="AV143" s="382"/>
      <c r="AW143" s="382"/>
      <c r="AX143" s="382"/>
      <c r="AY143" s="382"/>
      <c r="AZ143" s="382"/>
      <c r="BA143" s="382"/>
      <c r="BB143" s="382"/>
      <c r="BC143" s="382"/>
      <c r="BD143" s="382"/>
      <c r="BE143" s="382"/>
      <c r="BF143" s="382"/>
      <c r="BG143" s="382"/>
      <c r="BH143" s="382"/>
      <c r="BI143" s="382"/>
      <c r="BJ143" s="382"/>
      <c r="BK143" s="382"/>
      <c r="BL143" s="382"/>
      <c r="BM143" s="382"/>
      <c r="BN143" s="382"/>
      <c r="BO143" s="382"/>
    </row>
    <row r="144" spans="1:67" s="88" customFormat="1" ht="10.55" customHeight="1" x14ac:dyDescent="0.2">
      <c r="A144" s="1013" t="s">
        <v>333</v>
      </c>
      <c r="B144" s="2807"/>
      <c r="C144" s="2808"/>
      <c r="D144" s="2809"/>
      <c r="E144" s="2561"/>
      <c r="F144" s="2562"/>
      <c r="G144" s="1785">
        <v>20</v>
      </c>
      <c r="H144" s="524"/>
      <c r="I144" s="1409">
        <f t="shared" si="28"/>
        <v>6.4147128734474465E-2</v>
      </c>
      <c r="J144" s="1421">
        <f t="shared" si="29"/>
        <v>0</v>
      </c>
      <c r="K144" s="678">
        <v>8</v>
      </c>
      <c r="L144" s="1002"/>
      <c r="M144" s="1428">
        <f t="shared" si="30"/>
        <v>0</v>
      </c>
      <c r="N144" s="1111"/>
      <c r="O144" s="674">
        <f t="shared" si="31"/>
        <v>20</v>
      </c>
      <c r="P144" s="682"/>
      <c r="Q144" s="286"/>
      <c r="R144" s="287"/>
      <c r="S144" s="280"/>
      <c r="T144" s="280"/>
      <c r="U144" s="280"/>
      <c r="V144" s="280"/>
      <c r="W144" s="280"/>
      <c r="X144" s="280"/>
      <c r="Y144" s="280"/>
      <c r="Z144" s="284"/>
      <c r="AA144" s="284"/>
      <c r="AB144" s="284"/>
      <c r="AC144" s="284"/>
      <c r="AD144" s="284"/>
      <c r="AE144" s="284"/>
      <c r="AF144" s="447"/>
      <c r="AG144" s="447"/>
      <c r="AH144" s="447"/>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c r="BH144" s="382"/>
      <c r="BI144" s="382"/>
      <c r="BJ144" s="382"/>
      <c r="BK144" s="382"/>
      <c r="BL144" s="382"/>
      <c r="BM144" s="382"/>
      <c r="BN144" s="382"/>
      <c r="BO144" s="382"/>
    </row>
    <row r="145" spans="1:67" s="88" customFormat="1" ht="10.55" customHeight="1" x14ac:dyDescent="0.2">
      <c r="A145" s="1013" t="s">
        <v>334</v>
      </c>
      <c r="B145" s="2807"/>
      <c r="C145" s="2808"/>
      <c r="D145" s="2809"/>
      <c r="E145" s="2561"/>
      <c r="F145" s="2562"/>
      <c r="G145" s="1785">
        <v>30</v>
      </c>
      <c r="H145" s="524"/>
      <c r="I145" s="1409">
        <f t="shared" si="28"/>
        <v>4.7777640736176463E-2</v>
      </c>
      <c r="J145" s="1421">
        <f t="shared" si="29"/>
        <v>0</v>
      </c>
      <c r="K145" s="678"/>
      <c r="L145" s="1002"/>
      <c r="M145" s="1428">
        <f t="shared" si="30"/>
        <v>0</v>
      </c>
      <c r="N145" s="1111"/>
      <c r="O145" s="674">
        <f t="shared" si="31"/>
        <v>30</v>
      </c>
      <c r="P145" s="682"/>
      <c r="Q145" s="286"/>
      <c r="R145" s="287"/>
      <c r="S145" s="280"/>
      <c r="T145" s="280"/>
      <c r="U145" s="280"/>
      <c r="V145" s="280"/>
      <c r="W145" s="280"/>
      <c r="X145" s="280"/>
      <c r="Y145" s="280"/>
      <c r="Z145" s="284"/>
      <c r="AA145" s="284"/>
      <c r="AB145" s="284"/>
      <c r="AC145" s="284"/>
      <c r="AD145" s="284"/>
      <c r="AE145" s="284"/>
      <c r="AF145" s="447"/>
      <c r="AG145" s="447"/>
      <c r="AH145" s="447"/>
      <c r="AI145" s="382"/>
      <c r="AJ145" s="382"/>
      <c r="AK145" s="382"/>
      <c r="AL145" s="382"/>
      <c r="AM145" s="382"/>
      <c r="AN145" s="382"/>
      <c r="AO145" s="382"/>
      <c r="AP145" s="382"/>
      <c r="AQ145" s="382"/>
      <c r="AR145" s="382"/>
      <c r="AS145" s="382"/>
      <c r="AT145" s="382"/>
      <c r="AU145" s="382"/>
      <c r="AV145" s="382"/>
      <c r="AW145" s="382"/>
      <c r="AX145" s="382"/>
      <c r="AY145" s="382"/>
      <c r="AZ145" s="382"/>
      <c r="BA145" s="382"/>
      <c r="BB145" s="382"/>
      <c r="BC145" s="382"/>
      <c r="BD145" s="382"/>
      <c r="BE145" s="382"/>
      <c r="BF145" s="382"/>
      <c r="BG145" s="382"/>
      <c r="BH145" s="382"/>
      <c r="BI145" s="382"/>
      <c r="BJ145" s="382"/>
      <c r="BK145" s="382"/>
      <c r="BL145" s="382"/>
      <c r="BM145" s="382"/>
      <c r="BN145" s="382"/>
      <c r="BO145" s="382"/>
    </row>
    <row r="146" spans="1:67" s="88" customFormat="1" ht="10.55" customHeight="1" x14ac:dyDescent="0.2">
      <c r="A146" s="675"/>
      <c r="B146" s="2807"/>
      <c r="C146" s="2808"/>
      <c r="D146" s="2809"/>
      <c r="E146" s="2561"/>
      <c r="F146" s="2562"/>
      <c r="G146" s="1015"/>
      <c r="H146" s="524"/>
      <c r="I146" s="1409">
        <f t="shared" si="28"/>
        <v>0</v>
      </c>
      <c r="J146" s="1421">
        <f t="shared" si="29"/>
        <v>0</v>
      </c>
      <c r="K146" s="679"/>
      <c r="L146" s="1002"/>
      <c r="M146" s="1428">
        <f t="shared" si="30"/>
        <v>0</v>
      </c>
      <c r="N146" s="1111"/>
      <c r="O146" s="674">
        <f t="shared" si="31"/>
        <v>0</v>
      </c>
      <c r="P146" s="682"/>
      <c r="Q146" s="286"/>
      <c r="R146" s="287"/>
      <c r="S146" s="280"/>
      <c r="T146" s="280"/>
      <c r="U146" s="280"/>
      <c r="V146" s="280"/>
      <c r="W146" s="280"/>
      <c r="X146" s="280"/>
      <c r="Y146" s="280"/>
      <c r="Z146" s="284"/>
      <c r="AA146" s="284"/>
      <c r="AB146" s="284"/>
      <c r="AC146" s="284"/>
      <c r="AD146" s="284"/>
      <c r="AE146" s="284"/>
      <c r="AF146" s="447"/>
      <c r="AG146" s="447"/>
      <c r="AH146" s="447"/>
      <c r="AI146" s="382"/>
      <c r="AJ146" s="382"/>
      <c r="AK146" s="382"/>
      <c r="AL146" s="382"/>
      <c r="AM146" s="382"/>
      <c r="AN146" s="382"/>
      <c r="AO146" s="382"/>
      <c r="AP146" s="382"/>
      <c r="AQ146" s="382"/>
      <c r="AR146" s="382"/>
      <c r="AS146" s="382"/>
      <c r="AT146" s="382"/>
      <c r="AU146" s="382"/>
      <c r="AV146" s="382"/>
      <c r="AW146" s="382"/>
      <c r="AX146" s="382"/>
      <c r="AY146" s="382"/>
      <c r="AZ146" s="382"/>
      <c r="BA146" s="382"/>
      <c r="BB146" s="382"/>
      <c r="BC146" s="382"/>
      <c r="BD146" s="382"/>
      <c r="BE146" s="382"/>
      <c r="BF146" s="382"/>
      <c r="BG146" s="382"/>
      <c r="BH146" s="382"/>
      <c r="BI146" s="382"/>
      <c r="BJ146" s="382"/>
      <c r="BK146" s="382"/>
      <c r="BL146" s="382"/>
      <c r="BM146" s="382"/>
      <c r="BN146" s="382"/>
      <c r="BO146" s="382"/>
    </row>
    <row r="147" spans="1:67" s="88" customFormat="1" ht="10.55" customHeight="1" x14ac:dyDescent="0.2">
      <c r="A147" s="675"/>
      <c r="B147" s="2807"/>
      <c r="C147" s="2808"/>
      <c r="D147" s="2809"/>
      <c r="E147" s="2561"/>
      <c r="F147" s="2562"/>
      <c r="G147" s="1015"/>
      <c r="H147" s="524"/>
      <c r="I147" s="1409">
        <f t="shared" si="28"/>
        <v>0</v>
      </c>
      <c r="J147" s="1421">
        <f t="shared" si="29"/>
        <v>0</v>
      </c>
      <c r="K147" s="679"/>
      <c r="L147" s="1002"/>
      <c r="M147" s="1428">
        <f t="shared" si="30"/>
        <v>0</v>
      </c>
      <c r="N147" s="1111"/>
      <c r="O147" s="674">
        <f t="shared" si="31"/>
        <v>0</v>
      </c>
      <c r="P147" s="682"/>
      <c r="Q147" s="286"/>
      <c r="R147" s="287"/>
      <c r="S147" s="280"/>
      <c r="T147" s="280"/>
      <c r="U147" s="280"/>
      <c r="V147" s="280"/>
      <c r="W147" s="280"/>
      <c r="X147" s="280"/>
      <c r="Y147" s="280"/>
      <c r="Z147" s="284"/>
      <c r="AA147" s="284"/>
      <c r="AB147" s="284"/>
      <c r="AC147" s="284"/>
      <c r="AD147" s="284"/>
      <c r="AE147" s="284"/>
      <c r="AF147" s="447"/>
      <c r="AG147" s="447"/>
      <c r="AH147" s="447"/>
      <c r="AI147" s="382"/>
      <c r="AJ147" s="382"/>
      <c r="AK147" s="382"/>
      <c r="AL147" s="382"/>
      <c r="AM147" s="382"/>
      <c r="AN147" s="382"/>
      <c r="AO147" s="382"/>
      <c r="AP147" s="382"/>
      <c r="AQ147" s="382"/>
      <c r="AR147" s="382"/>
      <c r="AS147" s="382"/>
      <c r="AT147" s="382"/>
      <c r="AU147" s="382"/>
      <c r="AV147" s="382"/>
      <c r="AW147" s="382"/>
      <c r="AX147" s="382"/>
      <c r="AY147" s="382"/>
      <c r="AZ147" s="382"/>
      <c r="BA147" s="382"/>
      <c r="BB147" s="382"/>
      <c r="BC147" s="382"/>
      <c r="BD147" s="382"/>
      <c r="BE147" s="382"/>
      <c r="BF147" s="382"/>
      <c r="BG147" s="382"/>
      <c r="BH147" s="382"/>
      <c r="BI147" s="382"/>
      <c r="BJ147" s="382"/>
      <c r="BK147" s="382"/>
      <c r="BL147" s="382"/>
      <c r="BM147" s="382"/>
      <c r="BN147" s="382"/>
      <c r="BO147" s="382"/>
    </row>
    <row r="148" spans="1:67" s="88" customFormat="1" ht="10.55" customHeight="1" x14ac:dyDescent="0.2">
      <c r="A148" s="675"/>
      <c r="B148" s="2807"/>
      <c r="C148" s="2808"/>
      <c r="D148" s="2809"/>
      <c r="E148" s="2561"/>
      <c r="F148" s="2562"/>
      <c r="G148" s="1015"/>
      <c r="H148" s="524"/>
      <c r="I148" s="1409">
        <f t="shared" si="28"/>
        <v>0</v>
      </c>
      <c r="J148" s="1421">
        <f t="shared" si="29"/>
        <v>0</v>
      </c>
      <c r="K148" s="679"/>
      <c r="L148" s="1002"/>
      <c r="M148" s="1428">
        <f t="shared" si="30"/>
        <v>0</v>
      </c>
      <c r="N148" s="1111"/>
      <c r="O148" s="674">
        <f t="shared" si="31"/>
        <v>0</v>
      </c>
      <c r="P148" s="682"/>
      <c r="Q148" s="286"/>
      <c r="R148" s="287"/>
      <c r="S148" s="280"/>
      <c r="T148" s="280"/>
      <c r="U148" s="280"/>
      <c r="V148" s="280"/>
      <c r="W148" s="280"/>
      <c r="X148" s="280"/>
      <c r="Y148" s="280"/>
      <c r="Z148" s="284"/>
      <c r="AA148" s="284"/>
      <c r="AB148" s="284"/>
      <c r="AC148" s="284"/>
      <c r="AD148" s="284"/>
      <c r="AE148" s="284"/>
      <c r="AF148" s="447"/>
      <c r="AG148" s="447"/>
      <c r="AH148" s="447"/>
      <c r="AI148" s="382"/>
      <c r="AJ148" s="382"/>
      <c r="AK148" s="382"/>
      <c r="AL148" s="382"/>
      <c r="AM148" s="382"/>
      <c r="AN148" s="382"/>
      <c r="AO148" s="382"/>
      <c r="AP148" s="382"/>
      <c r="AQ148" s="382"/>
      <c r="AR148" s="382"/>
      <c r="AS148" s="382"/>
      <c r="AT148" s="382"/>
      <c r="AU148" s="382"/>
      <c r="AV148" s="382"/>
      <c r="AW148" s="382"/>
      <c r="AX148" s="382"/>
      <c r="AY148" s="382"/>
      <c r="AZ148" s="382"/>
      <c r="BA148" s="382"/>
      <c r="BB148" s="382"/>
      <c r="BC148" s="382"/>
      <c r="BD148" s="382"/>
      <c r="BE148" s="382"/>
      <c r="BF148" s="382"/>
      <c r="BG148" s="382"/>
      <c r="BH148" s="382"/>
      <c r="BI148" s="382"/>
      <c r="BJ148" s="382"/>
      <c r="BK148" s="382"/>
      <c r="BL148" s="382"/>
      <c r="BM148" s="382"/>
      <c r="BN148" s="382"/>
      <c r="BO148" s="382"/>
    </row>
    <row r="149" spans="1:67" s="88" customFormat="1" ht="10.55" customHeight="1" x14ac:dyDescent="0.2">
      <c r="A149" s="675"/>
      <c r="B149" s="2807"/>
      <c r="C149" s="2808"/>
      <c r="D149" s="2809"/>
      <c r="E149" s="2561"/>
      <c r="F149" s="2562"/>
      <c r="G149" s="1015"/>
      <c r="H149" s="524"/>
      <c r="I149" s="1409">
        <f t="shared" si="28"/>
        <v>0</v>
      </c>
      <c r="J149" s="1421">
        <f t="shared" si="29"/>
        <v>0</v>
      </c>
      <c r="K149" s="679"/>
      <c r="L149" s="1002"/>
      <c r="M149" s="1428">
        <f t="shared" si="30"/>
        <v>0</v>
      </c>
      <c r="N149" s="1111"/>
      <c r="O149" s="674">
        <f t="shared" si="31"/>
        <v>0</v>
      </c>
      <c r="P149" s="682"/>
      <c r="Q149" s="286"/>
      <c r="R149" s="287"/>
      <c r="S149" s="280"/>
      <c r="T149" s="280"/>
      <c r="U149" s="280"/>
      <c r="V149" s="280"/>
      <c r="W149" s="280"/>
      <c r="X149" s="280"/>
      <c r="Y149" s="280"/>
      <c r="Z149" s="284"/>
      <c r="AA149" s="284"/>
      <c r="AB149" s="284"/>
      <c r="AC149" s="284"/>
      <c r="AD149" s="284"/>
      <c r="AE149" s="284"/>
      <c r="AF149" s="447"/>
      <c r="AG149" s="447"/>
      <c r="AH149" s="447"/>
      <c r="AI149" s="382"/>
      <c r="AJ149" s="382"/>
      <c r="AK149" s="382"/>
      <c r="AL149" s="382"/>
      <c r="AM149" s="382"/>
      <c r="AN149" s="382"/>
      <c r="AO149" s="382"/>
      <c r="AP149" s="382"/>
      <c r="AQ149" s="382"/>
      <c r="AR149" s="382"/>
      <c r="AS149" s="382"/>
      <c r="AT149" s="382"/>
      <c r="AU149" s="382"/>
      <c r="AV149" s="382"/>
      <c r="AW149" s="382"/>
      <c r="AX149" s="382"/>
      <c r="AY149" s="382"/>
      <c r="AZ149" s="382"/>
      <c r="BA149" s="382"/>
      <c r="BB149" s="382"/>
      <c r="BC149" s="382"/>
      <c r="BD149" s="382"/>
      <c r="BE149" s="382"/>
      <c r="BF149" s="382"/>
      <c r="BG149" s="382"/>
      <c r="BH149" s="382"/>
      <c r="BI149" s="382"/>
      <c r="BJ149" s="382"/>
      <c r="BK149" s="382"/>
      <c r="BL149" s="382"/>
      <c r="BM149" s="382"/>
      <c r="BN149" s="382"/>
      <c r="BO149" s="382"/>
    </row>
    <row r="150" spans="1:67" s="88" customFormat="1" ht="10.55" customHeight="1" x14ac:dyDescent="0.2">
      <c r="A150" s="1085"/>
      <c r="B150" s="2804"/>
      <c r="C150" s="2805"/>
      <c r="D150" s="2806"/>
      <c r="E150" s="2793"/>
      <c r="F150" s="2794"/>
      <c r="G150" s="1086"/>
      <c r="H150" s="1087"/>
      <c r="I150" s="1437">
        <f t="shared" si="28"/>
        <v>0</v>
      </c>
      <c r="J150" s="1413"/>
      <c r="K150" s="1088"/>
      <c r="L150" s="1089"/>
      <c r="M150" s="1431">
        <f t="shared" si="30"/>
        <v>0</v>
      </c>
      <c r="N150" s="1111"/>
      <c r="O150" s="674">
        <f t="shared" si="31"/>
        <v>0</v>
      </c>
      <c r="P150" s="682"/>
      <c r="Q150" s="286"/>
      <c r="R150" s="287"/>
      <c r="S150" s="280"/>
      <c r="T150" s="280"/>
      <c r="U150" s="280"/>
      <c r="V150" s="280"/>
      <c r="W150" s="280"/>
      <c r="X150" s="280"/>
      <c r="Y150" s="280"/>
      <c r="Z150" s="284"/>
      <c r="AA150" s="284"/>
      <c r="AB150" s="284"/>
      <c r="AC150" s="284"/>
      <c r="AD150" s="284"/>
      <c r="AE150" s="284"/>
      <c r="AF150" s="447"/>
      <c r="AG150" s="447"/>
      <c r="AH150" s="447"/>
      <c r="AI150" s="382"/>
      <c r="AJ150" s="382"/>
      <c r="AK150" s="382"/>
      <c r="AL150" s="382"/>
      <c r="AM150" s="382"/>
      <c r="AN150" s="382"/>
      <c r="AO150" s="382"/>
      <c r="AP150" s="382"/>
      <c r="AQ150" s="382"/>
      <c r="AR150" s="382"/>
      <c r="AS150" s="382"/>
      <c r="AT150" s="382"/>
      <c r="AU150" s="382"/>
      <c r="AV150" s="382"/>
      <c r="AW150" s="382"/>
      <c r="AX150" s="382"/>
      <c r="AY150" s="382"/>
      <c r="AZ150" s="382"/>
      <c r="BA150" s="382"/>
      <c r="BB150" s="382"/>
      <c r="BC150" s="382"/>
      <c r="BD150" s="382"/>
      <c r="BE150" s="382"/>
      <c r="BF150" s="382"/>
      <c r="BG150" s="382"/>
      <c r="BH150" s="382"/>
      <c r="BI150" s="382"/>
      <c r="BJ150" s="382"/>
      <c r="BK150" s="382"/>
      <c r="BL150" s="382"/>
      <c r="BM150" s="382"/>
      <c r="BN150" s="382"/>
      <c r="BO150" s="382"/>
    </row>
    <row r="151" spans="1:67" s="88" customFormat="1" ht="10.55" customHeight="1" x14ac:dyDescent="0.2">
      <c r="A151" s="1122" t="s">
        <v>363</v>
      </c>
      <c r="B151" s="2783"/>
      <c r="C151" s="2784"/>
      <c r="D151" s="2785"/>
      <c r="E151" s="2810">
        <f>SUM(E152:E164)</f>
        <v>0</v>
      </c>
      <c r="F151" s="2811"/>
      <c r="G151" s="2747"/>
      <c r="H151" s="2748"/>
      <c r="I151" s="1435">
        <f>IF(E151=0,0,J151/E151)</f>
        <v>0</v>
      </c>
      <c r="J151" s="1423">
        <f>SUM(J152:J164)</f>
        <v>0</v>
      </c>
      <c r="K151" s="2749">
        <f>IF(E151=0,0,M151/E151*100)</f>
        <v>0</v>
      </c>
      <c r="L151" s="2750"/>
      <c r="M151" s="1430">
        <f>SUM(M152:M164)</f>
        <v>0</v>
      </c>
      <c r="N151" s="1111"/>
      <c r="O151" s="387">
        <f>IF(H151="",G151,H151)</f>
        <v>0</v>
      </c>
      <c r="P151" s="682"/>
      <c r="Q151" s="286"/>
      <c r="R151" s="287"/>
      <c r="S151" s="280"/>
      <c r="T151" s="280"/>
      <c r="U151" s="280"/>
      <c r="V151" s="280"/>
      <c r="W151" s="280"/>
      <c r="X151" s="280"/>
      <c r="Y151" s="280"/>
      <c r="Z151" s="284"/>
      <c r="AA151" s="284"/>
      <c r="AB151" s="284"/>
      <c r="AC151" s="284"/>
      <c r="AD151" s="284"/>
      <c r="AE151" s="284"/>
      <c r="AF151" s="447"/>
      <c r="AG151" s="447"/>
      <c r="AH151" s="447"/>
      <c r="AI151" s="382"/>
      <c r="AJ151" s="382"/>
      <c r="AK151" s="382"/>
      <c r="AL151" s="382"/>
      <c r="AM151" s="382"/>
      <c r="AN151" s="382"/>
      <c r="AO151" s="382"/>
      <c r="AP151" s="382"/>
      <c r="AQ151" s="382"/>
      <c r="AR151" s="382"/>
      <c r="AS151" s="382"/>
      <c r="AT151" s="382"/>
      <c r="AU151" s="382"/>
      <c r="AV151" s="382"/>
      <c r="AW151" s="382"/>
      <c r="AX151" s="382"/>
      <c r="AY151" s="382"/>
      <c r="AZ151" s="382"/>
      <c r="BA151" s="382"/>
      <c r="BB151" s="382"/>
      <c r="BC151" s="382"/>
      <c r="BD151" s="382"/>
      <c r="BE151" s="382"/>
      <c r="BF151" s="382"/>
      <c r="BG151" s="382"/>
      <c r="BH151" s="382"/>
      <c r="BI151" s="382"/>
      <c r="BJ151" s="382"/>
      <c r="BK151" s="382"/>
      <c r="BL151" s="382"/>
      <c r="BM151" s="382"/>
      <c r="BN151" s="382"/>
      <c r="BO151" s="382"/>
    </row>
    <row r="152" spans="1:67" s="88" customFormat="1" ht="10.55" customHeight="1" x14ac:dyDescent="0.2">
      <c r="A152" s="1013" t="s">
        <v>364</v>
      </c>
      <c r="B152" s="2790"/>
      <c r="C152" s="2791"/>
      <c r="D152" s="2792"/>
      <c r="E152" s="2734"/>
      <c r="F152" s="2735"/>
      <c r="G152" s="1785">
        <v>15</v>
      </c>
      <c r="H152" s="524"/>
      <c r="I152" s="1409">
        <f t="shared" ref="I152:I165" si="32">IF($O152&gt;0,-PMT(($I$9),$O152,1),0)</f>
        <v>8.0766456051533542E-2</v>
      </c>
      <c r="J152" s="1421">
        <f t="shared" ref="J152:J164" si="33">ROUND(E152*I152,0)</f>
        <v>0</v>
      </c>
      <c r="K152" s="678">
        <v>3</v>
      </c>
      <c r="L152" s="1002"/>
      <c r="M152" s="1428">
        <f t="shared" ref="M152:M165" si="34">ROUND(E152/100*IF(ISBLANK(L152),K152,L152),0)</f>
        <v>0</v>
      </c>
      <c r="N152" s="1111"/>
      <c r="O152" s="674">
        <f t="shared" ref="O152:O165" si="35">IF(ISBLANK(H152),G152,H152)</f>
        <v>15</v>
      </c>
      <c r="P152" s="682"/>
      <c r="Q152" s="286"/>
      <c r="R152" s="287"/>
      <c r="S152" s="280"/>
      <c r="T152" s="280"/>
      <c r="U152" s="280"/>
      <c r="V152" s="280"/>
      <c r="W152" s="280"/>
      <c r="X152" s="280"/>
      <c r="Y152" s="280"/>
      <c r="Z152" s="284"/>
      <c r="AA152" s="284"/>
      <c r="AB152" s="284"/>
      <c r="AC152" s="284"/>
      <c r="AD152" s="284"/>
      <c r="AE152" s="284"/>
      <c r="AF152" s="447"/>
      <c r="AG152" s="447"/>
      <c r="AH152" s="447"/>
      <c r="AI152" s="382"/>
      <c r="AJ152" s="382"/>
      <c r="AK152" s="382"/>
      <c r="AL152" s="382"/>
      <c r="AM152" s="382"/>
      <c r="AN152" s="382"/>
      <c r="AO152" s="382"/>
      <c r="AP152" s="382"/>
      <c r="AQ152" s="382"/>
      <c r="AR152" s="382"/>
      <c r="AS152" s="382"/>
      <c r="AT152" s="382"/>
      <c r="AU152" s="382"/>
      <c r="AV152" s="382"/>
      <c r="AW152" s="382"/>
      <c r="AX152" s="382"/>
      <c r="AY152" s="382"/>
      <c r="AZ152" s="382"/>
      <c r="BA152" s="382"/>
      <c r="BB152" s="382"/>
      <c r="BC152" s="382"/>
      <c r="BD152" s="382"/>
      <c r="BE152" s="382"/>
      <c r="BF152" s="382"/>
      <c r="BG152" s="382"/>
      <c r="BH152" s="382"/>
      <c r="BI152" s="382"/>
      <c r="BJ152" s="382"/>
      <c r="BK152" s="382"/>
      <c r="BL152" s="382"/>
      <c r="BM152" s="382"/>
      <c r="BN152" s="382"/>
      <c r="BO152" s="382"/>
    </row>
    <row r="153" spans="1:67" s="88" customFormat="1" ht="10.55" customHeight="1" x14ac:dyDescent="0.2">
      <c r="A153" s="1013" t="s">
        <v>365</v>
      </c>
      <c r="B153" s="2807"/>
      <c r="C153" s="2808"/>
      <c r="D153" s="2809"/>
      <c r="E153" s="2561"/>
      <c r="F153" s="2562"/>
      <c r="G153" s="1785">
        <v>15</v>
      </c>
      <c r="H153" s="524"/>
      <c r="I153" s="1409">
        <f t="shared" si="32"/>
        <v>8.0766456051533542E-2</v>
      </c>
      <c r="J153" s="1421">
        <f t="shared" si="33"/>
        <v>0</v>
      </c>
      <c r="K153" s="678">
        <v>3</v>
      </c>
      <c r="L153" s="1002"/>
      <c r="M153" s="1428">
        <f t="shared" si="34"/>
        <v>0</v>
      </c>
      <c r="N153" s="1111"/>
      <c r="O153" s="674">
        <f t="shared" si="35"/>
        <v>15</v>
      </c>
      <c r="P153" s="682"/>
      <c r="Q153" s="286"/>
      <c r="R153" s="287"/>
      <c r="S153" s="280"/>
      <c r="T153" s="280"/>
      <c r="U153" s="280"/>
      <c r="V153" s="280"/>
      <c r="W153" s="280"/>
      <c r="X153" s="280"/>
      <c r="Y153" s="280"/>
      <c r="Z153" s="284"/>
      <c r="AA153" s="284"/>
      <c r="AB153" s="284"/>
      <c r="AC153" s="284"/>
      <c r="AD153" s="284"/>
      <c r="AE153" s="284"/>
      <c r="AF153" s="447"/>
      <c r="AG153" s="447"/>
      <c r="AH153" s="447"/>
      <c r="AI153" s="382"/>
      <c r="AJ153" s="382"/>
      <c r="AK153" s="382"/>
      <c r="AL153" s="382"/>
      <c r="AM153" s="382"/>
      <c r="AN153" s="382"/>
      <c r="AO153" s="382"/>
      <c r="AP153" s="382"/>
      <c r="AQ153" s="382"/>
      <c r="AR153" s="382"/>
      <c r="AS153" s="382"/>
      <c r="AT153" s="382"/>
      <c r="AU153" s="382"/>
      <c r="AV153" s="382"/>
      <c r="AW153" s="382"/>
      <c r="AX153" s="382"/>
      <c r="AY153" s="382"/>
      <c r="AZ153" s="382"/>
      <c r="BA153" s="382"/>
      <c r="BB153" s="382"/>
      <c r="BC153" s="382"/>
      <c r="BD153" s="382"/>
      <c r="BE153" s="382"/>
      <c r="BF153" s="382"/>
      <c r="BG153" s="382"/>
      <c r="BH153" s="382"/>
      <c r="BI153" s="382"/>
      <c r="BJ153" s="382"/>
      <c r="BK153" s="382"/>
      <c r="BL153" s="382"/>
      <c r="BM153" s="382"/>
      <c r="BN153" s="382"/>
      <c r="BO153" s="382"/>
    </row>
    <row r="154" spans="1:67" s="88" customFormat="1" ht="10.55" customHeight="1" x14ac:dyDescent="0.2">
      <c r="A154" s="1013" t="s">
        <v>366</v>
      </c>
      <c r="B154" s="2807"/>
      <c r="C154" s="2808"/>
      <c r="D154" s="2809"/>
      <c r="E154" s="2561"/>
      <c r="F154" s="2562"/>
      <c r="G154" s="1785">
        <v>15</v>
      </c>
      <c r="H154" s="524"/>
      <c r="I154" s="1409">
        <f t="shared" si="32"/>
        <v>8.0766456051533542E-2</v>
      </c>
      <c r="J154" s="1421">
        <f t="shared" si="33"/>
        <v>0</v>
      </c>
      <c r="K154" s="678">
        <v>3</v>
      </c>
      <c r="L154" s="1002"/>
      <c r="M154" s="1428">
        <f t="shared" si="34"/>
        <v>0</v>
      </c>
      <c r="N154" s="1111"/>
      <c r="O154" s="674">
        <f t="shared" si="35"/>
        <v>15</v>
      </c>
      <c r="P154" s="682"/>
      <c r="Q154" s="286"/>
      <c r="R154" s="287"/>
      <c r="S154" s="280"/>
      <c r="T154" s="280"/>
      <c r="U154" s="280"/>
      <c r="V154" s="280"/>
      <c r="W154" s="280"/>
      <c r="X154" s="280"/>
      <c r="Y154" s="280"/>
      <c r="Z154" s="284"/>
      <c r="AA154" s="284"/>
      <c r="AB154" s="284"/>
      <c r="AC154" s="284"/>
      <c r="AD154" s="284"/>
      <c r="AE154" s="284"/>
      <c r="AF154" s="447"/>
      <c r="AG154" s="447"/>
      <c r="AH154" s="447"/>
      <c r="AI154" s="382"/>
      <c r="AJ154" s="382"/>
      <c r="AK154" s="382"/>
      <c r="AL154" s="382"/>
      <c r="AM154" s="382"/>
      <c r="AN154" s="382"/>
      <c r="AO154" s="382"/>
      <c r="AP154" s="382"/>
      <c r="AQ154" s="382"/>
      <c r="AR154" s="382"/>
      <c r="AS154" s="382"/>
      <c r="AT154" s="382"/>
      <c r="AU154" s="382"/>
      <c r="AV154" s="382"/>
      <c r="AW154" s="382"/>
      <c r="AX154" s="382"/>
      <c r="AY154" s="382"/>
      <c r="AZ154" s="382"/>
      <c r="BA154" s="382"/>
      <c r="BB154" s="382"/>
      <c r="BC154" s="382"/>
      <c r="BD154" s="382"/>
      <c r="BE154" s="382"/>
      <c r="BF154" s="382"/>
      <c r="BG154" s="382"/>
      <c r="BH154" s="382"/>
      <c r="BI154" s="382"/>
      <c r="BJ154" s="382"/>
      <c r="BK154" s="382"/>
      <c r="BL154" s="382"/>
      <c r="BM154" s="382"/>
      <c r="BN154" s="382"/>
      <c r="BO154" s="382"/>
    </row>
    <row r="155" spans="1:67" s="88" customFormat="1" ht="10.55" customHeight="1" x14ac:dyDescent="0.2">
      <c r="A155" s="1013" t="s">
        <v>367</v>
      </c>
      <c r="B155" s="2807"/>
      <c r="C155" s="2808"/>
      <c r="D155" s="2809"/>
      <c r="E155" s="2561"/>
      <c r="F155" s="2562"/>
      <c r="G155" s="1785">
        <v>15</v>
      </c>
      <c r="H155" s="524"/>
      <c r="I155" s="1409">
        <f t="shared" si="32"/>
        <v>8.0766456051533542E-2</v>
      </c>
      <c r="J155" s="1421">
        <f t="shared" si="33"/>
        <v>0</v>
      </c>
      <c r="K155" s="678">
        <v>3</v>
      </c>
      <c r="L155" s="1002"/>
      <c r="M155" s="1428">
        <f t="shared" si="34"/>
        <v>0</v>
      </c>
      <c r="N155" s="1111"/>
      <c r="O155" s="674">
        <f t="shared" si="35"/>
        <v>15</v>
      </c>
      <c r="P155" s="682"/>
      <c r="Q155" s="286"/>
      <c r="R155" s="287"/>
      <c r="S155" s="280"/>
      <c r="T155" s="280"/>
      <c r="U155" s="280"/>
      <c r="V155" s="280"/>
      <c r="W155" s="280"/>
      <c r="X155" s="280"/>
      <c r="Y155" s="280"/>
      <c r="Z155" s="284"/>
      <c r="AA155" s="284"/>
      <c r="AB155" s="284"/>
      <c r="AC155" s="284"/>
      <c r="AD155" s="284"/>
      <c r="AE155" s="284"/>
      <c r="AF155" s="447"/>
      <c r="AG155" s="447"/>
      <c r="AH155" s="447"/>
      <c r="AI155" s="382"/>
      <c r="AJ155" s="382"/>
      <c r="AK155" s="382"/>
      <c r="AL155" s="382"/>
      <c r="AM155" s="382"/>
      <c r="AN155" s="382"/>
      <c r="AO155" s="382"/>
      <c r="AP155" s="382"/>
      <c r="AQ155" s="382"/>
      <c r="AR155" s="382"/>
      <c r="AS155" s="382"/>
      <c r="AT155" s="382"/>
      <c r="AU155" s="382"/>
      <c r="AV155" s="382"/>
      <c r="AW155" s="382"/>
      <c r="AX155" s="382"/>
      <c r="AY155" s="382"/>
      <c r="AZ155" s="382"/>
      <c r="BA155" s="382"/>
      <c r="BB155" s="382"/>
      <c r="BC155" s="382"/>
      <c r="BD155" s="382"/>
      <c r="BE155" s="382"/>
      <c r="BF155" s="382"/>
      <c r="BG155" s="382"/>
      <c r="BH155" s="382"/>
      <c r="BI155" s="382"/>
      <c r="BJ155" s="382"/>
      <c r="BK155" s="382"/>
      <c r="BL155" s="382"/>
      <c r="BM155" s="382"/>
      <c r="BN155" s="382"/>
      <c r="BO155" s="382"/>
    </row>
    <row r="156" spans="1:67" s="88" customFormat="1" ht="10.55" customHeight="1" x14ac:dyDescent="0.2">
      <c r="A156" s="675"/>
      <c r="B156" s="2807"/>
      <c r="C156" s="2808"/>
      <c r="D156" s="2809"/>
      <c r="E156" s="2561"/>
      <c r="F156" s="2562"/>
      <c r="G156" s="1015"/>
      <c r="H156" s="524"/>
      <c r="I156" s="1409">
        <f t="shared" si="32"/>
        <v>0</v>
      </c>
      <c r="J156" s="1421">
        <f t="shared" si="33"/>
        <v>0</v>
      </c>
      <c r="K156" s="679"/>
      <c r="L156" s="1002"/>
      <c r="M156" s="1428">
        <f t="shared" si="34"/>
        <v>0</v>
      </c>
      <c r="N156" s="1111"/>
      <c r="O156" s="674">
        <f t="shared" si="35"/>
        <v>0</v>
      </c>
      <c r="P156" s="682"/>
      <c r="Q156" s="286"/>
      <c r="R156" s="287"/>
      <c r="S156" s="280"/>
      <c r="T156" s="280"/>
      <c r="U156" s="280"/>
      <c r="V156" s="280"/>
      <c r="W156" s="280"/>
      <c r="X156" s="280"/>
      <c r="Y156" s="280"/>
      <c r="Z156" s="284"/>
      <c r="AA156" s="284"/>
      <c r="AB156" s="284"/>
      <c r="AC156" s="284"/>
      <c r="AD156" s="284"/>
      <c r="AE156" s="284"/>
      <c r="AF156" s="447"/>
      <c r="AG156" s="447"/>
      <c r="AH156" s="447"/>
      <c r="AI156" s="382"/>
      <c r="AJ156" s="382"/>
      <c r="AK156" s="382"/>
      <c r="AL156" s="382"/>
      <c r="AM156" s="382"/>
      <c r="AN156" s="382"/>
      <c r="AO156" s="382"/>
      <c r="AP156" s="382"/>
      <c r="AQ156" s="382"/>
      <c r="AR156" s="382"/>
      <c r="AS156" s="382"/>
      <c r="AT156" s="382"/>
      <c r="AU156" s="382"/>
      <c r="AV156" s="382"/>
      <c r="AW156" s="382"/>
      <c r="AX156" s="382"/>
      <c r="AY156" s="382"/>
      <c r="AZ156" s="382"/>
      <c r="BA156" s="382"/>
      <c r="BB156" s="382"/>
      <c r="BC156" s="382"/>
      <c r="BD156" s="382"/>
      <c r="BE156" s="382"/>
      <c r="BF156" s="382"/>
      <c r="BG156" s="382"/>
      <c r="BH156" s="382"/>
      <c r="BI156" s="382"/>
      <c r="BJ156" s="382"/>
      <c r="BK156" s="382"/>
      <c r="BL156" s="382"/>
      <c r="BM156" s="382"/>
      <c r="BN156" s="382"/>
      <c r="BO156" s="382"/>
    </row>
    <row r="157" spans="1:67" s="88" customFormat="1" ht="10.55" customHeight="1" x14ac:dyDescent="0.2">
      <c r="A157" s="675"/>
      <c r="B157" s="2807"/>
      <c r="C157" s="2808"/>
      <c r="D157" s="2809"/>
      <c r="E157" s="2561"/>
      <c r="F157" s="2562"/>
      <c r="G157" s="1015"/>
      <c r="H157" s="524"/>
      <c r="I157" s="1409">
        <f t="shared" si="32"/>
        <v>0</v>
      </c>
      <c r="J157" s="1421">
        <f t="shared" si="33"/>
        <v>0</v>
      </c>
      <c r="K157" s="679"/>
      <c r="L157" s="1002"/>
      <c r="M157" s="1428">
        <f t="shared" si="34"/>
        <v>0</v>
      </c>
      <c r="N157" s="1111"/>
      <c r="O157" s="674">
        <f t="shared" si="35"/>
        <v>0</v>
      </c>
      <c r="P157" s="682"/>
      <c r="Q157" s="286"/>
      <c r="R157" s="287"/>
      <c r="S157" s="280"/>
      <c r="T157" s="280"/>
      <c r="U157" s="280"/>
      <c r="V157" s="280"/>
      <c r="W157" s="280"/>
      <c r="X157" s="280"/>
      <c r="Y157" s="280"/>
      <c r="Z157" s="284"/>
      <c r="AA157" s="284"/>
      <c r="AB157" s="284"/>
      <c r="AC157" s="284"/>
      <c r="AD157" s="284"/>
      <c r="AE157" s="284"/>
      <c r="AF157" s="447"/>
      <c r="AG157" s="447"/>
      <c r="AH157" s="447"/>
      <c r="AI157" s="382"/>
      <c r="AJ157" s="382"/>
      <c r="AK157" s="382"/>
      <c r="AL157" s="382"/>
      <c r="AM157" s="382"/>
      <c r="AN157" s="382"/>
      <c r="AO157" s="382"/>
      <c r="AP157" s="382"/>
      <c r="AQ157" s="382"/>
      <c r="AR157" s="382"/>
      <c r="AS157" s="382"/>
      <c r="AT157" s="382"/>
      <c r="AU157" s="382"/>
      <c r="AV157" s="382"/>
      <c r="AW157" s="382"/>
      <c r="AX157" s="382"/>
      <c r="AY157" s="382"/>
      <c r="AZ157" s="382"/>
      <c r="BA157" s="382"/>
      <c r="BB157" s="382"/>
      <c r="BC157" s="382"/>
      <c r="BD157" s="382"/>
      <c r="BE157" s="382"/>
      <c r="BF157" s="382"/>
      <c r="BG157" s="382"/>
      <c r="BH157" s="382"/>
      <c r="BI157" s="382"/>
      <c r="BJ157" s="382"/>
      <c r="BK157" s="382"/>
      <c r="BL157" s="382"/>
      <c r="BM157" s="382"/>
      <c r="BN157" s="382"/>
      <c r="BO157" s="382"/>
    </row>
    <row r="158" spans="1:67" s="88" customFormat="1" ht="10.55" customHeight="1" x14ac:dyDescent="0.2">
      <c r="A158" s="675"/>
      <c r="B158" s="2807"/>
      <c r="C158" s="2808"/>
      <c r="D158" s="2809"/>
      <c r="E158" s="2561"/>
      <c r="F158" s="2562"/>
      <c r="G158" s="1015"/>
      <c r="H158" s="524"/>
      <c r="I158" s="1409">
        <f t="shared" si="32"/>
        <v>0</v>
      </c>
      <c r="J158" s="1421">
        <f t="shared" si="33"/>
        <v>0</v>
      </c>
      <c r="K158" s="679"/>
      <c r="L158" s="1002"/>
      <c r="M158" s="1428">
        <f t="shared" si="34"/>
        <v>0</v>
      </c>
      <c r="N158" s="1111"/>
      <c r="O158" s="674">
        <f t="shared" si="35"/>
        <v>0</v>
      </c>
      <c r="P158" s="682"/>
      <c r="Q158" s="286"/>
      <c r="R158" s="287"/>
      <c r="S158" s="280"/>
      <c r="T158" s="280"/>
      <c r="U158" s="280"/>
      <c r="V158" s="280"/>
      <c r="W158" s="280"/>
      <c r="X158" s="280"/>
      <c r="Y158" s="280"/>
      <c r="Z158" s="284"/>
      <c r="AA158" s="284"/>
      <c r="AB158" s="284"/>
      <c r="AC158" s="284"/>
      <c r="AD158" s="284"/>
      <c r="AE158" s="284"/>
      <c r="AF158" s="447"/>
      <c r="AG158" s="447"/>
      <c r="AH158" s="447"/>
      <c r="AI158" s="382"/>
      <c r="AJ158" s="382"/>
      <c r="AK158" s="382"/>
      <c r="AL158" s="382"/>
      <c r="AM158" s="382"/>
      <c r="AN158" s="382"/>
      <c r="AO158" s="382"/>
      <c r="AP158" s="382"/>
      <c r="AQ158" s="382"/>
      <c r="AR158" s="382"/>
      <c r="AS158" s="382"/>
      <c r="AT158" s="382"/>
      <c r="AU158" s="382"/>
      <c r="AV158" s="382"/>
      <c r="AW158" s="382"/>
      <c r="AX158" s="382"/>
      <c r="AY158" s="382"/>
      <c r="AZ158" s="382"/>
      <c r="BA158" s="382"/>
      <c r="BB158" s="382"/>
      <c r="BC158" s="382"/>
      <c r="BD158" s="382"/>
      <c r="BE158" s="382"/>
      <c r="BF158" s="382"/>
      <c r="BG158" s="382"/>
      <c r="BH158" s="382"/>
      <c r="BI158" s="382"/>
      <c r="BJ158" s="382"/>
      <c r="BK158" s="382"/>
      <c r="BL158" s="382"/>
      <c r="BM158" s="382"/>
      <c r="BN158" s="382"/>
      <c r="BO158" s="382"/>
    </row>
    <row r="159" spans="1:67" s="88" customFormat="1" ht="10.55" customHeight="1" x14ac:dyDescent="0.2">
      <c r="A159" s="675"/>
      <c r="B159" s="2807"/>
      <c r="C159" s="2808"/>
      <c r="D159" s="2809"/>
      <c r="E159" s="2561"/>
      <c r="F159" s="2562"/>
      <c r="G159" s="1015"/>
      <c r="H159" s="524"/>
      <c r="I159" s="1409">
        <f t="shared" si="32"/>
        <v>0</v>
      </c>
      <c r="J159" s="1421">
        <f t="shared" si="33"/>
        <v>0</v>
      </c>
      <c r="K159" s="679"/>
      <c r="L159" s="1002"/>
      <c r="M159" s="1428">
        <f t="shared" si="34"/>
        <v>0</v>
      </c>
      <c r="N159" s="1111"/>
      <c r="O159" s="674">
        <f t="shared" si="35"/>
        <v>0</v>
      </c>
      <c r="P159" s="682"/>
      <c r="Q159" s="286"/>
      <c r="R159" s="287"/>
      <c r="S159" s="280"/>
      <c r="T159" s="280"/>
      <c r="U159" s="280"/>
      <c r="V159" s="280"/>
      <c r="W159" s="280"/>
      <c r="X159" s="280"/>
      <c r="Y159" s="280"/>
      <c r="Z159" s="284"/>
      <c r="AA159" s="284"/>
      <c r="AB159" s="284"/>
      <c r="AC159" s="284"/>
      <c r="AD159" s="284"/>
      <c r="AE159" s="284"/>
      <c r="AF159" s="447"/>
      <c r="AG159" s="447"/>
      <c r="AH159" s="447"/>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82"/>
      <c r="BG159" s="382"/>
      <c r="BH159" s="382"/>
      <c r="BI159" s="382"/>
      <c r="BJ159" s="382"/>
      <c r="BK159" s="382"/>
      <c r="BL159" s="382"/>
      <c r="BM159" s="382"/>
      <c r="BN159" s="382"/>
      <c r="BO159" s="382"/>
    </row>
    <row r="160" spans="1:67" s="88" customFormat="1" ht="10.55" customHeight="1" x14ac:dyDescent="0.2">
      <c r="A160" s="675"/>
      <c r="B160" s="2807"/>
      <c r="C160" s="2808"/>
      <c r="D160" s="2809"/>
      <c r="E160" s="2561"/>
      <c r="F160" s="2562"/>
      <c r="G160" s="1015"/>
      <c r="H160" s="524"/>
      <c r="I160" s="1409">
        <f t="shared" si="32"/>
        <v>0</v>
      </c>
      <c r="J160" s="1421">
        <f t="shared" si="33"/>
        <v>0</v>
      </c>
      <c r="K160" s="679"/>
      <c r="L160" s="1002"/>
      <c r="M160" s="1428">
        <f t="shared" si="34"/>
        <v>0</v>
      </c>
      <c r="N160" s="1111"/>
      <c r="O160" s="674">
        <f t="shared" si="35"/>
        <v>0</v>
      </c>
      <c r="P160" s="682"/>
      <c r="Q160" s="286"/>
      <c r="R160" s="287"/>
      <c r="S160" s="280"/>
      <c r="T160" s="280"/>
      <c r="U160" s="280"/>
      <c r="V160" s="280"/>
      <c r="W160" s="280"/>
      <c r="X160" s="280"/>
      <c r="Y160" s="280"/>
      <c r="Z160" s="284"/>
      <c r="AA160" s="284"/>
      <c r="AB160" s="284"/>
      <c r="AC160" s="284"/>
      <c r="AD160" s="284"/>
      <c r="AE160" s="284"/>
      <c r="AF160" s="447"/>
      <c r="AG160" s="447"/>
      <c r="AH160" s="447"/>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2"/>
      <c r="BG160" s="382"/>
      <c r="BH160" s="382"/>
      <c r="BI160" s="382"/>
      <c r="BJ160" s="382"/>
      <c r="BK160" s="382"/>
      <c r="BL160" s="382"/>
      <c r="BM160" s="382"/>
      <c r="BN160" s="382"/>
      <c r="BO160" s="382"/>
    </row>
    <row r="161" spans="1:67" s="88" customFormat="1" ht="10.55" customHeight="1" x14ac:dyDescent="0.2">
      <c r="A161" s="675"/>
      <c r="B161" s="2807"/>
      <c r="C161" s="2808"/>
      <c r="D161" s="2809"/>
      <c r="E161" s="2561"/>
      <c r="F161" s="2562"/>
      <c r="G161" s="1015"/>
      <c r="H161" s="524"/>
      <c r="I161" s="1409">
        <f t="shared" si="32"/>
        <v>0</v>
      </c>
      <c r="J161" s="1421">
        <f t="shared" si="33"/>
        <v>0</v>
      </c>
      <c r="K161" s="679"/>
      <c r="L161" s="1002"/>
      <c r="M161" s="1428">
        <f t="shared" si="34"/>
        <v>0</v>
      </c>
      <c r="N161" s="1111"/>
      <c r="O161" s="674">
        <f t="shared" si="35"/>
        <v>0</v>
      </c>
      <c r="P161" s="682"/>
      <c r="Q161" s="286"/>
      <c r="R161" s="287"/>
      <c r="S161" s="280"/>
      <c r="T161" s="280"/>
      <c r="U161" s="280"/>
      <c r="V161" s="280"/>
      <c r="W161" s="280"/>
      <c r="X161" s="280"/>
      <c r="Y161" s="280"/>
      <c r="Z161" s="284"/>
      <c r="AA161" s="284"/>
      <c r="AB161" s="284"/>
      <c r="AC161" s="284"/>
      <c r="AD161" s="284"/>
      <c r="AE161" s="284"/>
      <c r="AF161" s="447"/>
      <c r="AG161" s="447"/>
      <c r="AH161" s="447"/>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2"/>
      <c r="BG161" s="382"/>
      <c r="BH161" s="382"/>
      <c r="BI161" s="382"/>
      <c r="BJ161" s="382"/>
      <c r="BK161" s="382"/>
      <c r="BL161" s="382"/>
      <c r="BM161" s="382"/>
      <c r="BN161" s="382"/>
      <c r="BO161" s="382"/>
    </row>
    <row r="162" spans="1:67" s="88" customFormat="1" ht="10.55" customHeight="1" x14ac:dyDescent="0.2">
      <c r="A162" s="675"/>
      <c r="B162" s="2807"/>
      <c r="C162" s="2808"/>
      <c r="D162" s="2809"/>
      <c r="E162" s="2561"/>
      <c r="F162" s="2562"/>
      <c r="G162" s="1015"/>
      <c r="H162" s="524"/>
      <c r="I162" s="1409">
        <f t="shared" si="32"/>
        <v>0</v>
      </c>
      <c r="J162" s="1421">
        <f t="shared" si="33"/>
        <v>0</v>
      </c>
      <c r="K162" s="679"/>
      <c r="L162" s="1002"/>
      <c r="M162" s="1428">
        <f t="shared" si="34"/>
        <v>0</v>
      </c>
      <c r="N162" s="1111"/>
      <c r="O162" s="674">
        <f t="shared" si="35"/>
        <v>0</v>
      </c>
      <c r="P162" s="682"/>
      <c r="Q162" s="286"/>
      <c r="R162" s="287"/>
      <c r="S162" s="280"/>
      <c r="T162" s="280"/>
      <c r="U162" s="280"/>
      <c r="V162" s="280"/>
      <c r="W162" s="280"/>
      <c r="X162" s="280"/>
      <c r="Y162" s="280"/>
      <c r="Z162" s="284"/>
      <c r="AA162" s="284"/>
      <c r="AB162" s="284"/>
      <c r="AC162" s="284"/>
      <c r="AD162" s="284"/>
      <c r="AE162" s="284"/>
      <c r="AF162" s="447"/>
      <c r="AG162" s="447"/>
      <c r="AH162" s="447"/>
      <c r="AI162" s="382"/>
      <c r="AJ162" s="382"/>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2"/>
      <c r="BG162" s="382"/>
      <c r="BH162" s="382"/>
      <c r="BI162" s="382"/>
      <c r="BJ162" s="382"/>
      <c r="BK162" s="382"/>
      <c r="BL162" s="382"/>
      <c r="BM162" s="382"/>
      <c r="BN162" s="382"/>
      <c r="BO162" s="382"/>
    </row>
    <row r="163" spans="1:67" s="88" customFormat="1" ht="10.55" customHeight="1" x14ac:dyDescent="0.2">
      <c r="A163" s="675"/>
      <c r="B163" s="2807"/>
      <c r="C163" s="2808"/>
      <c r="D163" s="2809"/>
      <c r="E163" s="2561"/>
      <c r="F163" s="2562"/>
      <c r="G163" s="1015"/>
      <c r="H163" s="524"/>
      <c r="I163" s="1409">
        <f t="shared" si="32"/>
        <v>0</v>
      </c>
      <c r="J163" s="1421">
        <f t="shared" si="33"/>
        <v>0</v>
      </c>
      <c r="K163" s="679"/>
      <c r="L163" s="1002"/>
      <c r="M163" s="1428">
        <f t="shared" si="34"/>
        <v>0</v>
      </c>
      <c r="N163" s="1111"/>
      <c r="O163" s="674">
        <f t="shared" si="35"/>
        <v>0</v>
      </c>
      <c r="P163" s="682"/>
      <c r="Q163" s="286"/>
      <c r="R163" s="287"/>
      <c r="S163" s="280"/>
      <c r="T163" s="280"/>
      <c r="U163" s="280"/>
      <c r="V163" s="280"/>
      <c r="W163" s="280"/>
      <c r="X163" s="280"/>
      <c r="Y163" s="280"/>
      <c r="Z163" s="284"/>
      <c r="AA163" s="284"/>
      <c r="AB163" s="284"/>
      <c r="AC163" s="284"/>
      <c r="AD163" s="284"/>
      <c r="AE163" s="284"/>
      <c r="AF163" s="447"/>
      <c r="AG163" s="447"/>
      <c r="AH163" s="447"/>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2"/>
      <c r="BG163" s="382"/>
      <c r="BH163" s="382"/>
      <c r="BI163" s="382"/>
      <c r="BJ163" s="382"/>
      <c r="BK163" s="382"/>
      <c r="BL163" s="382"/>
      <c r="BM163" s="382"/>
      <c r="BN163" s="382"/>
      <c r="BO163" s="382"/>
    </row>
    <row r="164" spans="1:67" s="88" customFormat="1" ht="10.55" customHeight="1" x14ac:dyDescent="0.2">
      <c r="A164" s="675"/>
      <c r="B164" s="2807"/>
      <c r="C164" s="2808"/>
      <c r="D164" s="2809"/>
      <c r="E164" s="2561"/>
      <c r="F164" s="2562"/>
      <c r="G164" s="1015"/>
      <c r="H164" s="524"/>
      <c r="I164" s="1409">
        <f t="shared" si="32"/>
        <v>0</v>
      </c>
      <c r="J164" s="1421">
        <f t="shared" si="33"/>
        <v>0</v>
      </c>
      <c r="K164" s="679"/>
      <c r="L164" s="1002"/>
      <c r="M164" s="1428">
        <f t="shared" si="34"/>
        <v>0</v>
      </c>
      <c r="N164" s="1111"/>
      <c r="O164" s="674">
        <f t="shared" si="35"/>
        <v>0</v>
      </c>
      <c r="P164" s="682"/>
      <c r="Q164" s="286"/>
      <c r="R164" s="287"/>
      <c r="S164" s="280"/>
      <c r="T164" s="280"/>
      <c r="U164" s="280"/>
      <c r="V164" s="280"/>
      <c r="W164" s="280"/>
      <c r="X164" s="280"/>
      <c r="Y164" s="280"/>
      <c r="Z164" s="284"/>
      <c r="AA164" s="284"/>
      <c r="AB164" s="284"/>
      <c r="AC164" s="284"/>
      <c r="AD164" s="284"/>
      <c r="AE164" s="284"/>
      <c r="AF164" s="447"/>
      <c r="AG164" s="447"/>
      <c r="AH164" s="447"/>
      <c r="AI164" s="382"/>
      <c r="AJ164" s="382"/>
      <c r="AK164" s="382"/>
      <c r="AL164" s="382"/>
      <c r="AM164" s="382"/>
      <c r="AN164" s="382"/>
      <c r="AO164" s="382"/>
      <c r="AP164" s="382"/>
      <c r="AQ164" s="382"/>
      <c r="AR164" s="382"/>
      <c r="AS164" s="382"/>
      <c r="AT164" s="382"/>
      <c r="AU164" s="382"/>
      <c r="AV164" s="382"/>
      <c r="AW164" s="382"/>
      <c r="AX164" s="382"/>
      <c r="AY164" s="382"/>
      <c r="AZ164" s="382"/>
      <c r="BA164" s="382"/>
      <c r="BB164" s="382"/>
      <c r="BC164" s="382"/>
      <c r="BD164" s="382"/>
      <c r="BE164" s="382"/>
      <c r="BF164" s="382"/>
      <c r="BG164" s="382"/>
      <c r="BH164" s="382"/>
      <c r="BI164" s="382"/>
      <c r="BJ164" s="382"/>
      <c r="BK164" s="382"/>
      <c r="BL164" s="382"/>
      <c r="BM164" s="382"/>
      <c r="BN164" s="382"/>
      <c r="BO164" s="382"/>
    </row>
    <row r="165" spans="1:67" s="88" customFormat="1" ht="10.55" customHeight="1" x14ac:dyDescent="0.2">
      <c r="A165" s="1085"/>
      <c r="B165" s="2804"/>
      <c r="C165" s="2805"/>
      <c r="D165" s="2806"/>
      <c r="E165" s="2793"/>
      <c r="F165" s="2794"/>
      <c r="G165" s="1086"/>
      <c r="H165" s="1087"/>
      <c r="I165" s="1437">
        <f t="shared" si="32"/>
        <v>0</v>
      </c>
      <c r="J165" s="1413"/>
      <c r="K165" s="1088"/>
      <c r="L165" s="1089"/>
      <c r="M165" s="1431">
        <f t="shared" si="34"/>
        <v>0</v>
      </c>
      <c r="N165" s="1111"/>
      <c r="O165" s="674">
        <f t="shared" si="35"/>
        <v>0</v>
      </c>
      <c r="P165" s="682"/>
      <c r="Q165" s="286"/>
      <c r="R165" s="287"/>
      <c r="S165" s="280"/>
      <c r="T165" s="280"/>
      <c r="U165" s="280"/>
      <c r="V165" s="280"/>
      <c r="W165" s="280"/>
      <c r="X165" s="280"/>
      <c r="Y165" s="280"/>
      <c r="Z165" s="284"/>
      <c r="AA165" s="284"/>
      <c r="AB165" s="284"/>
      <c r="AC165" s="284"/>
      <c r="AD165" s="284"/>
      <c r="AE165" s="284"/>
      <c r="AF165" s="447"/>
      <c r="AG165" s="447"/>
      <c r="AH165" s="447"/>
      <c r="AI165" s="382"/>
      <c r="AJ165" s="382"/>
      <c r="AK165" s="382"/>
      <c r="AL165" s="382"/>
      <c r="AM165" s="382"/>
      <c r="AN165" s="382"/>
      <c r="AO165" s="382"/>
      <c r="AP165" s="382"/>
      <c r="AQ165" s="382"/>
      <c r="AR165" s="382"/>
      <c r="AS165" s="382"/>
      <c r="AT165" s="382"/>
      <c r="AU165" s="382"/>
      <c r="AV165" s="382"/>
      <c r="AW165" s="382"/>
      <c r="AX165" s="382"/>
      <c r="AY165" s="382"/>
      <c r="AZ165" s="382"/>
      <c r="BA165" s="382"/>
      <c r="BB165" s="382"/>
      <c r="BC165" s="382"/>
      <c r="BD165" s="382"/>
      <c r="BE165" s="382"/>
      <c r="BF165" s="382"/>
      <c r="BG165" s="382"/>
      <c r="BH165" s="382"/>
      <c r="BI165" s="382"/>
      <c r="BJ165" s="382"/>
      <c r="BK165" s="382"/>
      <c r="BL165" s="382"/>
      <c r="BM165" s="382"/>
      <c r="BN165" s="382"/>
      <c r="BO165" s="382"/>
    </row>
    <row r="166" spans="1:67" s="88" customFormat="1" ht="10.55" customHeight="1" x14ac:dyDescent="0.2">
      <c r="A166" s="1122" t="s">
        <v>368</v>
      </c>
      <c r="B166" s="2783"/>
      <c r="C166" s="2784"/>
      <c r="D166" s="2785"/>
      <c r="E166" s="2810">
        <f>SUM(E167:E179)</f>
        <v>0</v>
      </c>
      <c r="F166" s="2811"/>
      <c r="G166" s="2747"/>
      <c r="H166" s="2748"/>
      <c r="I166" s="1435">
        <f>IF(E166=0,0,J166/E166)</f>
        <v>0</v>
      </c>
      <c r="J166" s="1423">
        <f>SUM(J167:J179)</f>
        <v>0</v>
      </c>
      <c r="K166" s="2749">
        <f>IF(E166=0,0,M166/E166*100)</f>
        <v>0</v>
      </c>
      <c r="L166" s="2750"/>
      <c r="M166" s="1430">
        <f>SUM(M167:M179)</f>
        <v>0</v>
      </c>
      <c r="N166" s="1111"/>
      <c r="O166" s="387">
        <f>IF(H166="",G166,H166)</f>
        <v>0</v>
      </c>
      <c r="P166" s="682"/>
      <c r="Q166" s="286"/>
      <c r="R166" s="287"/>
      <c r="S166" s="280"/>
      <c r="T166" s="280"/>
      <c r="U166" s="280"/>
      <c r="V166" s="280"/>
      <c r="W166" s="280"/>
      <c r="X166" s="280"/>
      <c r="Y166" s="280"/>
      <c r="Z166" s="284"/>
      <c r="AA166" s="284"/>
      <c r="AB166" s="284"/>
      <c r="AC166" s="284"/>
      <c r="AD166" s="284"/>
      <c r="AE166" s="284"/>
      <c r="AF166" s="447"/>
      <c r="AG166" s="447"/>
      <c r="AH166" s="447"/>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2"/>
      <c r="BG166" s="382"/>
      <c r="BH166" s="382"/>
      <c r="BI166" s="382"/>
      <c r="BJ166" s="382"/>
      <c r="BK166" s="382"/>
      <c r="BL166" s="382"/>
      <c r="BM166" s="382"/>
      <c r="BN166" s="382"/>
      <c r="BO166" s="382"/>
    </row>
    <row r="167" spans="1:67" s="88" customFormat="1" ht="10.55" customHeight="1" x14ac:dyDescent="0.2">
      <c r="A167" s="1013" t="s">
        <v>369</v>
      </c>
      <c r="B167" s="2790"/>
      <c r="C167" s="2791"/>
      <c r="D167" s="2792"/>
      <c r="E167" s="2734"/>
      <c r="F167" s="2735"/>
      <c r="G167" s="1785">
        <v>30</v>
      </c>
      <c r="H167" s="524"/>
      <c r="I167" s="1409">
        <f t="shared" ref="I167:I180" si="36">IF($O167&gt;0,-PMT(($I$9),$O167,1),0)</f>
        <v>4.7777640736176463E-2</v>
      </c>
      <c r="J167" s="1421">
        <f t="shared" ref="J167:J179" si="37">ROUND(E167*I167,0)</f>
        <v>0</v>
      </c>
      <c r="K167" s="678">
        <v>1</v>
      </c>
      <c r="L167" s="1002"/>
      <c r="M167" s="1428">
        <f t="shared" ref="M167:M180" si="38">ROUND(E167/100*IF(ISBLANK(L167),K167,L167),0)</f>
        <v>0</v>
      </c>
      <c r="N167" s="1111"/>
      <c r="O167" s="674">
        <f t="shared" ref="O167:O180" si="39">IF(ISBLANK(H167),G167,H167)</f>
        <v>30</v>
      </c>
      <c r="P167" s="682"/>
      <c r="Q167" s="286"/>
      <c r="R167" s="287"/>
      <c r="S167" s="280"/>
      <c r="T167" s="280"/>
      <c r="U167" s="280"/>
      <c r="V167" s="280"/>
      <c r="W167" s="280"/>
      <c r="X167" s="280"/>
      <c r="Y167" s="280"/>
      <c r="Z167" s="284"/>
      <c r="AA167" s="284"/>
      <c r="AB167" s="284"/>
      <c r="AC167" s="284"/>
      <c r="AD167" s="284"/>
      <c r="AE167" s="284"/>
      <c r="AF167" s="447"/>
      <c r="AG167" s="447"/>
      <c r="AH167" s="447"/>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2"/>
      <c r="BG167" s="382"/>
      <c r="BH167" s="382"/>
      <c r="BI167" s="382"/>
      <c r="BJ167" s="382"/>
      <c r="BK167" s="382"/>
      <c r="BL167" s="382"/>
      <c r="BM167" s="382"/>
      <c r="BN167" s="382"/>
      <c r="BO167" s="382"/>
    </row>
    <row r="168" spans="1:67" s="88" customFormat="1" ht="10.55" customHeight="1" x14ac:dyDescent="0.2">
      <c r="A168" s="1013" t="s">
        <v>370</v>
      </c>
      <c r="B168" s="2807"/>
      <c r="C168" s="2808"/>
      <c r="D168" s="2809"/>
      <c r="E168" s="2561"/>
      <c r="F168" s="2562"/>
      <c r="G168" s="1785">
        <v>40</v>
      </c>
      <c r="H168" s="524"/>
      <c r="I168" s="1409">
        <f t="shared" si="36"/>
        <v>3.9836233162469814E-2</v>
      </c>
      <c r="J168" s="1421">
        <f t="shared" si="37"/>
        <v>0</v>
      </c>
      <c r="K168" s="678">
        <v>1.5</v>
      </c>
      <c r="L168" s="1002"/>
      <c r="M168" s="1428">
        <f t="shared" si="38"/>
        <v>0</v>
      </c>
      <c r="N168" s="1111"/>
      <c r="O168" s="674">
        <f t="shared" si="39"/>
        <v>40</v>
      </c>
      <c r="P168" s="682"/>
      <c r="Q168" s="286"/>
      <c r="R168" s="287"/>
      <c r="S168" s="280"/>
      <c r="T168" s="280"/>
      <c r="U168" s="280"/>
      <c r="V168" s="280"/>
      <c r="W168" s="280"/>
      <c r="X168" s="280"/>
      <c r="Y168" s="280"/>
      <c r="Z168" s="284"/>
      <c r="AA168" s="284"/>
      <c r="AB168" s="284"/>
      <c r="AC168" s="284"/>
      <c r="AD168" s="284"/>
      <c r="AE168" s="284"/>
      <c r="AF168" s="447"/>
      <c r="AG168" s="447"/>
      <c r="AH168" s="447"/>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382"/>
      <c r="BM168" s="382"/>
      <c r="BN168" s="382"/>
      <c r="BO168" s="382"/>
    </row>
    <row r="169" spans="1:67" s="88" customFormat="1" ht="10.55" customHeight="1" x14ac:dyDescent="0.2">
      <c r="A169" s="1013" t="s">
        <v>371</v>
      </c>
      <c r="B169" s="2807"/>
      <c r="C169" s="2808"/>
      <c r="D169" s="2809"/>
      <c r="E169" s="2561"/>
      <c r="F169" s="2562"/>
      <c r="G169" s="1785">
        <v>40</v>
      </c>
      <c r="H169" s="524"/>
      <c r="I169" s="1409">
        <f t="shared" si="36"/>
        <v>3.9836233162469814E-2</v>
      </c>
      <c r="J169" s="1421">
        <f t="shared" si="37"/>
        <v>0</v>
      </c>
      <c r="K169" s="678">
        <v>1.5</v>
      </c>
      <c r="L169" s="1002"/>
      <c r="M169" s="1428">
        <f t="shared" si="38"/>
        <v>0</v>
      </c>
      <c r="N169" s="1111"/>
      <c r="O169" s="674">
        <f t="shared" si="39"/>
        <v>40</v>
      </c>
      <c r="P169" s="682"/>
      <c r="Q169" s="286"/>
      <c r="R169" s="287"/>
      <c r="S169" s="280"/>
      <c r="T169" s="280"/>
      <c r="U169" s="280"/>
      <c r="V169" s="280"/>
      <c r="W169" s="280"/>
      <c r="X169" s="280"/>
      <c r="Y169" s="280"/>
      <c r="Z169" s="284"/>
      <c r="AA169" s="284"/>
      <c r="AB169" s="284"/>
      <c r="AC169" s="284"/>
      <c r="AD169" s="284"/>
      <c r="AE169" s="284"/>
      <c r="AF169" s="447"/>
      <c r="AG169" s="447"/>
      <c r="AH169" s="447"/>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2"/>
      <c r="BG169" s="382"/>
      <c r="BH169" s="382"/>
      <c r="BI169" s="382"/>
      <c r="BJ169" s="382"/>
      <c r="BK169" s="382"/>
      <c r="BL169" s="382"/>
      <c r="BM169" s="382"/>
      <c r="BN169" s="382"/>
      <c r="BO169" s="382"/>
    </row>
    <row r="170" spans="1:67" s="88" customFormat="1" ht="10.55" customHeight="1" x14ac:dyDescent="0.2">
      <c r="A170" s="1013" t="s">
        <v>372</v>
      </c>
      <c r="B170" s="2807"/>
      <c r="C170" s="2808"/>
      <c r="D170" s="2809"/>
      <c r="E170" s="2561"/>
      <c r="F170" s="2562"/>
      <c r="G170" s="1785">
        <v>40</v>
      </c>
      <c r="H170" s="524"/>
      <c r="I170" s="1409">
        <f t="shared" si="36"/>
        <v>3.9836233162469814E-2</v>
      </c>
      <c r="J170" s="1421">
        <f t="shared" si="37"/>
        <v>0</v>
      </c>
      <c r="K170" s="678">
        <v>1</v>
      </c>
      <c r="L170" s="1002"/>
      <c r="M170" s="1428">
        <f t="shared" si="38"/>
        <v>0</v>
      </c>
      <c r="N170" s="1111"/>
      <c r="O170" s="674">
        <f t="shared" si="39"/>
        <v>40</v>
      </c>
      <c r="P170" s="682"/>
      <c r="Q170" s="286"/>
      <c r="R170" s="287"/>
      <c r="S170" s="280"/>
      <c r="T170" s="280"/>
      <c r="U170" s="280"/>
      <c r="V170" s="280"/>
      <c r="W170" s="280"/>
      <c r="X170" s="280"/>
      <c r="Y170" s="280"/>
      <c r="Z170" s="284"/>
      <c r="AA170" s="284"/>
      <c r="AB170" s="284"/>
      <c r="AC170" s="284"/>
      <c r="AD170" s="284"/>
      <c r="AE170" s="284"/>
      <c r="AF170" s="447"/>
      <c r="AG170" s="447"/>
      <c r="AH170" s="447"/>
      <c r="AI170" s="382"/>
      <c r="AJ170" s="382"/>
      <c r="AK170" s="382"/>
      <c r="AL170" s="382"/>
      <c r="AM170" s="382"/>
      <c r="AN170" s="382"/>
      <c r="AO170" s="382"/>
      <c r="AP170" s="382"/>
      <c r="AQ170" s="382"/>
      <c r="AR170" s="382"/>
      <c r="AS170" s="382"/>
      <c r="AT170" s="382"/>
      <c r="AU170" s="382"/>
      <c r="AV170" s="382"/>
      <c r="AW170" s="382"/>
      <c r="AX170" s="382"/>
      <c r="AY170" s="382"/>
      <c r="AZ170" s="382"/>
      <c r="BA170" s="382"/>
      <c r="BB170" s="382"/>
      <c r="BC170" s="382"/>
      <c r="BD170" s="382"/>
      <c r="BE170" s="382"/>
      <c r="BF170" s="382"/>
      <c r="BG170" s="382"/>
      <c r="BH170" s="382"/>
      <c r="BI170" s="382"/>
      <c r="BJ170" s="382"/>
      <c r="BK170" s="382"/>
      <c r="BL170" s="382"/>
      <c r="BM170" s="382"/>
      <c r="BN170" s="382"/>
      <c r="BO170" s="382"/>
    </row>
    <row r="171" spans="1:67" s="88" customFormat="1" ht="10.55" customHeight="1" x14ac:dyDescent="0.2">
      <c r="A171" s="1013" t="s">
        <v>373</v>
      </c>
      <c r="B171" s="2807"/>
      <c r="C171" s="2808"/>
      <c r="D171" s="2809"/>
      <c r="E171" s="2561"/>
      <c r="F171" s="2562"/>
      <c r="G171" s="1785">
        <v>40</v>
      </c>
      <c r="H171" s="524"/>
      <c r="I171" s="1409">
        <f t="shared" si="36"/>
        <v>3.9836233162469814E-2</v>
      </c>
      <c r="J171" s="1421">
        <f t="shared" si="37"/>
        <v>0</v>
      </c>
      <c r="K171" s="678">
        <v>1.5</v>
      </c>
      <c r="L171" s="1002"/>
      <c r="M171" s="1428">
        <f t="shared" si="38"/>
        <v>0</v>
      </c>
      <c r="N171" s="1111"/>
      <c r="O171" s="674">
        <f t="shared" si="39"/>
        <v>40</v>
      </c>
      <c r="P171" s="682"/>
      <c r="Q171" s="286"/>
      <c r="R171" s="287"/>
      <c r="S171" s="280"/>
      <c r="T171" s="280"/>
      <c r="U171" s="280"/>
      <c r="V171" s="280"/>
      <c r="W171" s="280"/>
      <c r="X171" s="280"/>
      <c r="Y171" s="280"/>
      <c r="Z171" s="284"/>
      <c r="AA171" s="284"/>
      <c r="AB171" s="284"/>
      <c r="AC171" s="284"/>
      <c r="AD171" s="284"/>
      <c r="AE171" s="284"/>
      <c r="AF171" s="447"/>
      <c r="AG171" s="447"/>
      <c r="AH171" s="447"/>
      <c r="AI171" s="382"/>
      <c r="AJ171" s="382"/>
      <c r="AK171" s="382"/>
      <c r="AL171" s="382"/>
      <c r="AM171" s="382"/>
      <c r="AN171" s="382"/>
      <c r="AO171" s="382"/>
      <c r="AP171" s="382"/>
      <c r="AQ171" s="382"/>
      <c r="AR171" s="382"/>
      <c r="AS171" s="382"/>
      <c r="AT171" s="382"/>
      <c r="AU171" s="382"/>
      <c r="AV171" s="382"/>
      <c r="AW171" s="382"/>
      <c r="AX171" s="382"/>
      <c r="AY171" s="382"/>
      <c r="AZ171" s="382"/>
      <c r="BA171" s="382"/>
      <c r="BB171" s="382"/>
      <c r="BC171" s="382"/>
      <c r="BD171" s="382"/>
      <c r="BE171" s="382"/>
      <c r="BF171" s="382"/>
      <c r="BG171" s="382"/>
      <c r="BH171" s="382"/>
      <c r="BI171" s="382"/>
      <c r="BJ171" s="382"/>
      <c r="BK171" s="382"/>
      <c r="BL171" s="382"/>
      <c r="BM171" s="382"/>
      <c r="BN171" s="382"/>
      <c r="BO171" s="382"/>
    </row>
    <row r="172" spans="1:67" s="88" customFormat="1" ht="10.55" customHeight="1" x14ac:dyDescent="0.2">
      <c r="A172" s="1013" t="s">
        <v>374</v>
      </c>
      <c r="B172" s="2807"/>
      <c r="C172" s="2808"/>
      <c r="D172" s="2809"/>
      <c r="E172" s="2561"/>
      <c r="F172" s="2562"/>
      <c r="G172" s="1785">
        <v>20</v>
      </c>
      <c r="H172" s="524"/>
      <c r="I172" s="1409">
        <f t="shared" si="36"/>
        <v>6.4147128734474465E-2</v>
      </c>
      <c r="J172" s="1421">
        <f t="shared" si="37"/>
        <v>0</v>
      </c>
      <c r="K172" s="678">
        <v>1.5</v>
      </c>
      <c r="L172" s="1002"/>
      <c r="M172" s="1428">
        <f t="shared" si="38"/>
        <v>0</v>
      </c>
      <c r="N172" s="1111"/>
      <c r="O172" s="674">
        <f t="shared" si="39"/>
        <v>20</v>
      </c>
      <c r="P172" s="682"/>
      <c r="Q172" s="286"/>
      <c r="R172" s="287"/>
      <c r="S172" s="280"/>
      <c r="T172" s="280"/>
      <c r="U172" s="280"/>
      <c r="V172" s="280"/>
      <c r="W172" s="280"/>
      <c r="X172" s="280"/>
      <c r="Y172" s="280"/>
      <c r="Z172" s="284"/>
      <c r="AA172" s="284"/>
      <c r="AB172" s="284"/>
      <c r="AC172" s="284"/>
      <c r="AD172" s="284"/>
      <c r="AE172" s="284"/>
      <c r="AF172" s="447"/>
      <c r="AG172" s="447"/>
      <c r="AH172" s="447"/>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382"/>
      <c r="BM172" s="382"/>
      <c r="BN172" s="382"/>
      <c r="BO172" s="382"/>
    </row>
    <row r="173" spans="1:67" s="88" customFormat="1" ht="10.55" customHeight="1" x14ac:dyDescent="0.2">
      <c r="A173" s="1013" t="s">
        <v>375</v>
      </c>
      <c r="B173" s="2807"/>
      <c r="C173" s="2808"/>
      <c r="D173" s="2809"/>
      <c r="E173" s="2561"/>
      <c r="F173" s="2562"/>
      <c r="G173" s="1785">
        <v>40</v>
      </c>
      <c r="H173" s="524"/>
      <c r="I173" s="1409">
        <f t="shared" si="36"/>
        <v>3.9836233162469814E-2</v>
      </c>
      <c r="J173" s="1421">
        <f t="shared" si="37"/>
        <v>0</v>
      </c>
      <c r="K173" s="678">
        <v>1</v>
      </c>
      <c r="L173" s="1002"/>
      <c r="M173" s="1428">
        <f t="shared" si="38"/>
        <v>0</v>
      </c>
      <c r="N173" s="1111"/>
      <c r="O173" s="674">
        <f t="shared" si="39"/>
        <v>40</v>
      </c>
      <c r="P173" s="682"/>
      <c r="Q173" s="286"/>
      <c r="R173" s="287"/>
      <c r="S173" s="280"/>
      <c r="T173" s="280"/>
      <c r="U173" s="280"/>
      <c r="V173" s="280"/>
      <c r="W173" s="280"/>
      <c r="X173" s="280"/>
      <c r="Y173" s="280"/>
      <c r="Z173" s="284"/>
      <c r="AA173" s="284"/>
      <c r="AB173" s="284"/>
      <c r="AC173" s="284"/>
      <c r="AD173" s="284"/>
      <c r="AE173" s="284"/>
      <c r="AF173" s="447"/>
      <c r="AG173" s="447"/>
      <c r="AH173" s="447"/>
      <c r="AI173" s="382"/>
      <c r="AJ173" s="382"/>
      <c r="AK173" s="382"/>
      <c r="AL173" s="382"/>
      <c r="AM173" s="382"/>
      <c r="AN173" s="382"/>
      <c r="AO173" s="382"/>
      <c r="AP173" s="382"/>
      <c r="AQ173" s="382"/>
      <c r="AR173" s="382"/>
      <c r="AS173" s="382"/>
      <c r="AT173" s="382"/>
      <c r="AU173" s="382"/>
      <c r="AV173" s="382"/>
      <c r="AW173" s="382"/>
      <c r="AX173" s="382"/>
      <c r="AY173" s="382"/>
      <c r="AZ173" s="382"/>
      <c r="BA173" s="382"/>
      <c r="BB173" s="382"/>
      <c r="BC173" s="382"/>
      <c r="BD173" s="382"/>
      <c r="BE173" s="382"/>
      <c r="BF173" s="382"/>
      <c r="BG173" s="382"/>
      <c r="BH173" s="382"/>
      <c r="BI173" s="382"/>
      <c r="BJ173" s="382"/>
      <c r="BK173" s="382"/>
      <c r="BL173" s="382"/>
      <c r="BM173" s="382"/>
      <c r="BN173" s="382"/>
      <c r="BO173" s="382"/>
    </row>
    <row r="174" spans="1:67" s="88" customFormat="1" ht="10.55" customHeight="1" x14ac:dyDescent="0.2">
      <c r="A174" s="1013" t="s">
        <v>333</v>
      </c>
      <c r="B174" s="2807"/>
      <c r="C174" s="2808"/>
      <c r="D174" s="2809"/>
      <c r="E174" s="2561"/>
      <c r="F174" s="2562"/>
      <c r="G174" s="1785">
        <v>20</v>
      </c>
      <c r="H174" s="524"/>
      <c r="I174" s="1409">
        <f t="shared" si="36"/>
        <v>6.4147128734474465E-2</v>
      </c>
      <c r="J174" s="1421">
        <f t="shared" si="37"/>
        <v>0</v>
      </c>
      <c r="K174" s="678">
        <v>8</v>
      </c>
      <c r="L174" s="1002"/>
      <c r="M174" s="1428">
        <f t="shared" si="38"/>
        <v>0</v>
      </c>
      <c r="N174" s="1111"/>
      <c r="O174" s="674">
        <f t="shared" si="39"/>
        <v>20</v>
      </c>
      <c r="P174" s="682"/>
      <c r="Q174" s="286"/>
      <c r="R174" s="287"/>
      <c r="S174" s="280"/>
      <c r="T174" s="280"/>
      <c r="U174" s="280"/>
      <c r="V174" s="280"/>
      <c r="W174" s="280"/>
      <c r="X174" s="280"/>
      <c r="Y174" s="280"/>
      <c r="Z174" s="284"/>
      <c r="AA174" s="284"/>
      <c r="AB174" s="284"/>
      <c r="AC174" s="284"/>
      <c r="AD174" s="284"/>
      <c r="AE174" s="284"/>
      <c r="AF174" s="447"/>
      <c r="AG174" s="447"/>
      <c r="AH174" s="447"/>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row>
    <row r="175" spans="1:67" s="88" customFormat="1" ht="10.55" customHeight="1" x14ac:dyDescent="0.2">
      <c r="A175" s="1013" t="s">
        <v>334</v>
      </c>
      <c r="B175" s="2807"/>
      <c r="C175" s="2808"/>
      <c r="D175" s="2809"/>
      <c r="E175" s="2561"/>
      <c r="F175" s="2562"/>
      <c r="G175" s="1785">
        <v>30</v>
      </c>
      <c r="H175" s="524"/>
      <c r="I175" s="1409">
        <f t="shared" si="36"/>
        <v>4.7777640736176463E-2</v>
      </c>
      <c r="J175" s="1421">
        <f t="shared" si="37"/>
        <v>0</v>
      </c>
      <c r="K175" s="678"/>
      <c r="L175" s="1002"/>
      <c r="M175" s="1428">
        <f t="shared" si="38"/>
        <v>0</v>
      </c>
      <c r="N175" s="1111"/>
      <c r="O175" s="674">
        <f t="shared" si="39"/>
        <v>30</v>
      </c>
      <c r="P175" s="682"/>
      <c r="Q175" s="286"/>
      <c r="R175" s="287"/>
      <c r="S175" s="280"/>
      <c r="T175" s="280"/>
      <c r="U175" s="280"/>
      <c r="V175" s="280"/>
      <c r="W175" s="280"/>
      <c r="X175" s="280"/>
      <c r="Y175" s="280"/>
      <c r="Z175" s="284"/>
      <c r="AA175" s="284"/>
      <c r="AB175" s="284"/>
      <c r="AC175" s="284"/>
      <c r="AD175" s="284"/>
      <c r="AE175" s="284"/>
      <c r="AF175" s="447"/>
      <c r="AG175" s="447"/>
      <c r="AH175" s="447"/>
      <c r="AI175" s="382"/>
      <c r="AJ175" s="382"/>
      <c r="AK175" s="382"/>
      <c r="AL175" s="382"/>
      <c r="AM175" s="382"/>
      <c r="AN175" s="382"/>
      <c r="AO175" s="382"/>
      <c r="AP175" s="382"/>
      <c r="AQ175" s="382"/>
      <c r="AR175" s="382"/>
      <c r="AS175" s="382"/>
      <c r="AT175" s="382"/>
      <c r="AU175" s="382"/>
      <c r="AV175" s="382"/>
      <c r="AW175" s="382"/>
      <c r="AX175" s="382"/>
      <c r="AY175" s="382"/>
      <c r="AZ175" s="382"/>
      <c r="BA175" s="382"/>
      <c r="BB175" s="382"/>
      <c r="BC175" s="382"/>
      <c r="BD175" s="382"/>
      <c r="BE175" s="382"/>
      <c r="BF175" s="382"/>
      <c r="BG175" s="382"/>
      <c r="BH175" s="382"/>
      <c r="BI175" s="382"/>
      <c r="BJ175" s="382"/>
      <c r="BK175" s="382"/>
      <c r="BL175" s="382"/>
      <c r="BM175" s="382"/>
      <c r="BN175" s="382"/>
      <c r="BO175" s="382"/>
    </row>
    <row r="176" spans="1:67" s="88" customFormat="1" ht="10.55" customHeight="1" x14ac:dyDescent="0.2">
      <c r="A176" s="675"/>
      <c r="B176" s="2807"/>
      <c r="C176" s="2808"/>
      <c r="D176" s="2809"/>
      <c r="E176" s="2561"/>
      <c r="F176" s="2562"/>
      <c r="G176" s="1015"/>
      <c r="H176" s="524"/>
      <c r="I176" s="1409">
        <f t="shared" si="36"/>
        <v>0</v>
      </c>
      <c r="J176" s="1421">
        <f t="shared" si="37"/>
        <v>0</v>
      </c>
      <c r="K176" s="679"/>
      <c r="L176" s="1002"/>
      <c r="M176" s="1428">
        <f t="shared" si="38"/>
        <v>0</v>
      </c>
      <c r="N176" s="1111"/>
      <c r="O176" s="674">
        <f t="shared" si="39"/>
        <v>0</v>
      </c>
      <c r="P176" s="682"/>
      <c r="Q176" s="286"/>
      <c r="R176" s="287"/>
      <c r="S176" s="280"/>
      <c r="T176" s="280"/>
      <c r="U176" s="280"/>
      <c r="V176" s="280"/>
      <c r="W176" s="280"/>
      <c r="X176" s="280"/>
      <c r="Y176" s="280"/>
      <c r="Z176" s="284"/>
      <c r="AA176" s="284"/>
      <c r="AB176" s="284"/>
      <c r="AC176" s="284"/>
      <c r="AD176" s="284"/>
      <c r="AE176" s="284"/>
      <c r="AF176" s="447"/>
      <c r="AG176" s="447"/>
      <c r="AH176" s="447"/>
      <c r="AI176" s="382"/>
      <c r="AJ176" s="382"/>
      <c r="AK176" s="382"/>
      <c r="AL176" s="382"/>
      <c r="AM176" s="382"/>
      <c r="AN176" s="382"/>
      <c r="AO176" s="382"/>
      <c r="AP176" s="382"/>
      <c r="AQ176" s="382"/>
      <c r="AR176" s="382"/>
      <c r="AS176" s="382"/>
      <c r="AT176" s="382"/>
      <c r="AU176" s="382"/>
      <c r="AV176" s="382"/>
      <c r="AW176" s="382"/>
      <c r="AX176" s="382"/>
      <c r="AY176" s="382"/>
      <c r="AZ176" s="382"/>
      <c r="BA176" s="382"/>
      <c r="BB176" s="382"/>
      <c r="BC176" s="382"/>
      <c r="BD176" s="382"/>
      <c r="BE176" s="382"/>
      <c r="BF176" s="382"/>
      <c r="BG176" s="382"/>
      <c r="BH176" s="382"/>
      <c r="BI176" s="382"/>
      <c r="BJ176" s="382"/>
      <c r="BK176" s="382"/>
      <c r="BL176" s="382"/>
      <c r="BM176" s="382"/>
      <c r="BN176" s="382"/>
      <c r="BO176" s="382"/>
    </row>
    <row r="177" spans="1:67" s="88" customFormat="1" ht="10.55" customHeight="1" x14ac:dyDescent="0.2">
      <c r="A177" s="675"/>
      <c r="B177" s="2807"/>
      <c r="C177" s="2808"/>
      <c r="D177" s="2809"/>
      <c r="E177" s="2561"/>
      <c r="F177" s="2562"/>
      <c r="G177" s="1015"/>
      <c r="H177" s="524"/>
      <c r="I177" s="1409">
        <f t="shared" si="36"/>
        <v>0</v>
      </c>
      <c r="J177" s="1421">
        <f t="shared" si="37"/>
        <v>0</v>
      </c>
      <c r="K177" s="679"/>
      <c r="L177" s="1002"/>
      <c r="M177" s="1428">
        <f t="shared" si="38"/>
        <v>0</v>
      </c>
      <c r="N177" s="1111"/>
      <c r="O177" s="674">
        <f t="shared" si="39"/>
        <v>0</v>
      </c>
      <c r="P177" s="682"/>
      <c r="Q177" s="286"/>
      <c r="R177" s="287"/>
      <c r="S177" s="280"/>
      <c r="T177" s="280"/>
      <c r="U177" s="280"/>
      <c r="V177" s="280"/>
      <c r="W177" s="280"/>
      <c r="X177" s="280"/>
      <c r="Y177" s="280"/>
      <c r="Z177" s="284"/>
      <c r="AA177" s="284"/>
      <c r="AB177" s="284"/>
      <c r="AC177" s="284"/>
      <c r="AD177" s="284"/>
      <c r="AE177" s="284"/>
      <c r="AF177" s="447"/>
      <c r="AG177" s="447"/>
      <c r="AH177" s="447"/>
      <c r="AI177" s="382"/>
      <c r="AJ177" s="382"/>
      <c r="AK177" s="382"/>
      <c r="AL177" s="382"/>
      <c r="AM177" s="382"/>
      <c r="AN177" s="382"/>
      <c r="AO177" s="382"/>
      <c r="AP177" s="382"/>
      <c r="AQ177" s="382"/>
      <c r="AR177" s="382"/>
      <c r="AS177" s="382"/>
      <c r="AT177" s="382"/>
      <c r="AU177" s="382"/>
      <c r="AV177" s="382"/>
      <c r="AW177" s="382"/>
      <c r="AX177" s="382"/>
      <c r="AY177" s="382"/>
      <c r="AZ177" s="382"/>
      <c r="BA177" s="382"/>
      <c r="BB177" s="382"/>
      <c r="BC177" s="382"/>
      <c r="BD177" s="382"/>
      <c r="BE177" s="382"/>
      <c r="BF177" s="382"/>
      <c r="BG177" s="382"/>
      <c r="BH177" s="382"/>
      <c r="BI177" s="382"/>
      <c r="BJ177" s="382"/>
      <c r="BK177" s="382"/>
      <c r="BL177" s="382"/>
      <c r="BM177" s="382"/>
      <c r="BN177" s="382"/>
      <c r="BO177" s="382"/>
    </row>
    <row r="178" spans="1:67" s="88" customFormat="1" ht="10.55" customHeight="1" x14ac:dyDescent="0.2">
      <c r="A178" s="675"/>
      <c r="B178" s="2807"/>
      <c r="C178" s="2808"/>
      <c r="D178" s="2809"/>
      <c r="E178" s="2561"/>
      <c r="F178" s="2562"/>
      <c r="G178" s="1015"/>
      <c r="H178" s="524"/>
      <c r="I178" s="1409">
        <f t="shared" si="36"/>
        <v>0</v>
      </c>
      <c r="J178" s="1421">
        <f t="shared" si="37"/>
        <v>0</v>
      </c>
      <c r="K178" s="679"/>
      <c r="L178" s="1002"/>
      <c r="M178" s="1428">
        <f t="shared" si="38"/>
        <v>0</v>
      </c>
      <c r="N178" s="1111"/>
      <c r="O178" s="674">
        <f t="shared" si="39"/>
        <v>0</v>
      </c>
      <c r="P178" s="682"/>
      <c r="Q178" s="286"/>
      <c r="R178" s="287"/>
      <c r="S178" s="280"/>
      <c r="T178" s="280"/>
      <c r="U178" s="280"/>
      <c r="V178" s="280"/>
      <c r="W178" s="280"/>
      <c r="X178" s="280"/>
      <c r="Y178" s="280"/>
      <c r="Z178" s="284"/>
      <c r="AA178" s="284"/>
      <c r="AB178" s="284"/>
      <c r="AC178" s="284"/>
      <c r="AD178" s="284"/>
      <c r="AE178" s="284"/>
      <c r="AF178" s="447"/>
      <c r="AG178" s="447"/>
      <c r="AH178" s="447"/>
      <c r="AI178" s="382"/>
      <c r="AJ178" s="382"/>
      <c r="AK178" s="382"/>
      <c r="AL178" s="382"/>
      <c r="AM178" s="382"/>
      <c r="AN178" s="382"/>
      <c r="AO178" s="382"/>
      <c r="AP178" s="382"/>
      <c r="AQ178" s="382"/>
      <c r="AR178" s="382"/>
      <c r="AS178" s="382"/>
      <c r="AT178" s="382"/>
      <c r="AU178" s="382"/>
      <c r="AV178" s="382"/>
      <c r="AW178" s="382"/>
      <c r="AX178" s="382"/>
      <c r="AY178" s="382"/>
      <c r="AZ178" s="382"/>
      <c r="BA178" s="382"/>
      <c r="BB178" s="382"/>
      <c r="BC178" s="382"/>
      <c r="BD178" s="382"/>
      <c r="BE178" s="382"/>
      <c r="BF178" s="382"/>
      <c r="BG178" s="382"/>
      <c r="BH178" s="382"/>
      <c r="BI178" s="382"/>
      <c r="BJ178" s="382"/>
      <c r="BK178" s="382"/>
      <c r="BL178" s="382"/>
      <c r="BM178" s="382"/>
      <c r="BN178" s="382"/>
      <c r="BO178" s="382"/>
    </row>
    <row r="179" spans="1:67" s="88" customFormat="1" ht="10.55" customHeight="1" x14ac:dyDescent="0.2">
      <c r="A179" s="675"/>
      <c r="B179" s="2807"/>
      <c r="C179" s="2808"/>
      <c r="D179" s="2809"/>
      <c r="E179" s="2561"/>
      <c r="F179" s="2562"/>
      <c r="G179" s="1015"/>
      <c r="H179" s="524"/>
      <c r="I179" s="1409">
        <f t="shared" si="36"/>
        <v>0</v>
      </c>
      <c r="J179" s="1421">
        <f t="shared" si="37"/>
        <v>0</v>
      </c>
      <c r="K179" s="679"/>
      <c r="L179" s="1002"/>
      <c r="M179" s="1428">
        <f t="shared" si="38"/>
        <v>0</v>
      </c>
      <c r="N179" s="1111"/>
      <c r="O179" s="674">
        <f t="shared" si="39"/>
        <v>0</v>
      </c>
      <c r="P179" s="682"/>
      <c r="Q179" s="286"/>
      <c r="R179" s="287"/>
      <c r="S179" s="280"/>
      <c r="T179" s="280"/>
      <c r="U179" s="280"/>
      <c r="V179" s="280"/>
      <c r="W179" s="280"/>
      <c r="X179" s="280"/>
      <c r="Y179" s="280"/>
      <c r="Z179" s="284"/>
      <c r="AA179" s="284"/>
      <c r="AB179" s="284"/>
      <c r="AC179" s="284"/>
      <c r="AD179" s="284"/>
      <c r="AE179" s="284"/>
      <c r="AF179" s="447"/>
      <c r="AG179" s="447"/>
      <c r="AH179" s="447"/>
      <c r="AI179" s="382"/>
      <c r="AJ179" s="382"/>
      <c r="AK179" s="382"/>
      <c r="AL179" s="382"/>
      <c r="AM179" s="382"/>
      <c r="AN179" s="382"/>
      <c r="AO179" s="382"/>
      <c r="AP179" s="382"/>
      <c r="AQ179" s="382"/>
      <c r="AR179" s="382"/>
      <c r="AS179" s="382"/>
      <c r="AT179" s="382"/>
      <c r="AU179" s="382"/>
      <c r="AV179" s="382"/>
      <c r="AW179" s="382"/>
      <c r="AX179" s="382"/>
      <c r="AY179" s="382"/>
      <c r="AZ179" s="382"/>
      <c r="BA179" s="382"/>
      <c r="BB179" s="382"/>
      <c r="BC179" s="382"/>
      <c r="BD179" s="382"/>
      <c r="BE179" s="382"/>
      <c r="BF179" s="382"/>
      <c r="BG179" s="382"/>
      <c r="BH179" s="382"/>
      <c r="BI179" s="382"/>
      <c r="BJ179" s="382"/>
      <c r="BK179" s="382"/>
      <c r="BL179" s="382"/>
      <c r="BM179" s="382"/>
      <c r="BN179" s="382"/>
      <c r="BO179" s="382"/>
    </row>
    <row r="180" spans="1:67" s="88" customFormat="1" ht="10.55" customHeight="1" x14ac:dyDescent="0.2">
      <c r="A180" s="1017"/>
      <c r="B180" s="2804"/>
      <c r="C180" s="2805"/>
      <c r="D180" s="2806"/>
      <c r="E180" s="2793"/>
      <c r="F180" s="2794"/>
      <c r="G180" s="1018"/>
      <c r="H180" s="1019"/>
      <c r="I180" s="1436">
        <f t="shared" si="36"/>
        <v>0</v>
      </c>
      <c r="J180" s="1422"/>
      <c r="K180" s="680"/>
      <c r="L180" s="1020"/>
      <c r="M180" s="1429">
        <f t="shared" si="38"/>
        <v>0</v>
      </c>
      <c r="N180" s="1111"/>
      <c r="O180" s="674">
        <f t="shared" si="39"/>
        <v>0</v>
      </c>
      <c r="P180" s="682"/>
      <c r="Q180" s="286"/>
      <c r="R180" s="287"/>
      <c r="S180" s="280"/>
      <c r="T180" s="280"/>
      <c r="U180" s="280"/>
      <c r="V180" s="280"/>
      <c r="W180" s="280"/>
      <c r="X180" s="280"/>
      <c r="Y180" s="280"/>
      <c r="Z180" s="284"/>
      <c r="AA180" s="284"/>
      <c r="AB180" s="284"/>
      <c r="AC180" s="284"/>
      <c r="AD180" s="284"/>
      <c r="AE180" s="284"/>
      <c r="AF180" s="447"/>
      <c r="AG180" s="447"/>
      <c r="AH180" s="447"/>
      <c r="AI180" s="382"/>
      <c r="AJ180" s="382"/>
      <c r="AK180" s="382"/>
      <c r="AL180" s="382"/>
      <c r="AM180" s="382"/>
      <c r="AN180" s="382"/>
      <c r="AO180" s="382"/>
      <c r="AP180" s="382"/>
      <c r="AQ180" s="382"/>
      <c r="AR180" s="382"/>
      <c r="AS180" s="382"/>
      <c r="AT180" s="382"/>
      <c r="AU180" s="382"/>
      <c r="AV180" s="382"/>
      <c r="AW180" s="382"/>
      <c r="AX180" s="382"/>
      <c r="AY180" s="382"/>
      <c r="AZ180" s="382"/>
      <c r="BA180" s="382"/>
      <c r="BB180" s="382"/>
      <c r="BC180" s="382"/>
      <c r="BD180" s="382"/>
      <c r="BE180" s="382"/>
      <c r="BF180" s="382"/>
      <c r="BG180" s="382"/>
      <c r="BH180" s="382"/>
      <c r="BI180" s="382"/>
      <c r="BJ180" s="382"/>
      <c r="BK180" s="382"/>
      <c r="BL180" s="382"/>
      <c r="BM180" s="382"/>
      <c r="BN180" s="382"/>
      <c r="BO180" s="382"/>
    </row>
    <row r="181" spans="1:67" s="88" customFormat="1" ht="10.55" customHeight="1" x14ac:dyDescent="0.2">
      <c r="A181" s="1122" t="s">
        <v>376</v>
      </c>
      <c r="B181" s="2783"/>
      <c r="C181" s="2784"/>
      <c r="D181" s="2785"/>
      <c r="E181" s="2810">
        <f>SUM(E182:E194)</f>
        <v>0</v>
      </c>
      <c r="F181" s="2811"/>
      <c r="G181" s="2747"/>
      <c r="H181" s="2748"/>
      <c r="I181" s="1435">
        <f>IF(E181=0,0,J181/E181)</f>
        <v>0</v>
      </c>
      <c r="J181" s="1423">
        <f>SUM(J182:J194)</f>
        <v>0</v>
      </c>
      <c r="K181" s="2749">
        <f>IF(E181=0,0,M181/E181*100)</f>
        <v>0</v>
      </c>
      <c r="L181" s="2750"/>
      <c r="M181" s="1430">
        <f>SUM(M182:M194)</f>
        <v>0</v>
      </c>
      <c r="N181" s="1111"/>
      <c r="O181" s="387">
        <f>IF(H181="",G181,H181)</f>
        <v>0</v>
      </c>
      <c r="P181" s="682"/>
      <c r="Q181" s="286"/>
      <c r="R181" s="287"/>
      <c r="S181" s="280"/>
      <c r="T181" s="280"/>
      <c r="U181" s="280"/>
      <c r="V181" s="280"/>
      <c r="W181" s="280"/>
      <c r="X181" s="280"/>
      <c r="Y181" s="280"/>
      <c r="Z181" s="284"/>
      <c r="AA181" s="284"/>
      <c r="AB181" s="284"/>
      <c r="AC181" s="284"/>
      <c r="AD181" s="284"/>
      <c r="AE181" s="284"/>
      <c r="AF181" s="447"/>
      <c r="AG181" s="447"/>
      <c r="AH181" s="447"/>
      <c r="AI181" s="382"/>
      <c r="AJ181" s="382"/>
      <c r="AK181" s="382"/>
      <c r="AL181" s="382"/>
      <c r="AM181" s="382"/>
      <c r="AN181" s="382"/>
      <c r="AO181" s="382"/>
      <c r="AP181" s="382"/>
      <c r="AQ181" s="382"/>
      <c r="AR181" s="382"/>
      <c r="AS181" s="382"/>
      <c r="AT181" s="382"/>
      <c r="AU181" s="382"/>
      <c r="AV181" s="382"/>
      <c r="AW181" s="382"/>
      <c r="AX181" s="382"/>
      <c r="AY181" s="382"/>
      <c r="AZ181" s="382"/>
      <c r="BA181" s="382"/>
      <c r="BB181" s="382"/>
      <c r="BC181" s="382"/>
      <c r="BD181" s="382"/>
      <c r="BE181" s="382"/>
      <c r="BF181" s="382"/>
      <c r="BG181" s="382"/>
      <c r="BH181" s="382"/>
      <c r="BI181" s="382"/>
      <c r="BJ181" s="382"/>
      <c r="BK181" s="382"/>
      <c r="BL181" s="382"/>
      <c r="BM181" s="382"/>
      <c r="BN181" s="382"/>
      <c r="BO181" s="382"/>
    </row>
    <row r="182" spans="1:67" s="88" customFormat="1" ht="10.55" customHeight="1" x14ac:dyDescent="0.2">
      <c r="A182" s="1013" t="s">
        <v>836</v>
      </c>
      <c r="B182" s="2790"/>
      <c r="C182" s="2791"/>
      <c r="D182" s="2792"/>
      <c r="E182" s="2734"/>
      <c r="F182" s="2735"/>
      <c r="G182" s="1785">
        <v>25</v>
      </c>
      <c r="H182" s="524"/>
      <c r="I182" s="1409">
        <f t="shared" ref="I182:I195" si="40">IF($O182&gt;0,-PMT(($I$9),$O182,1),0)</f>
        <v>5.4275921045792611E-2</v>
      </c>
      <c r="J182" s="1421">
        <f t="shared" ref="J182:J194" si="41">ROUND(E182*I182,0)</f>
        <v>0</v>
      </c>
      <c r="K182" s="678">
        <v>4</v>
      </c>
      <c r="L182" s="1002"/>
      <c r="M182" s="1428">
        <f t="shared" ref="M182:M195" si="42">ROUND(E182/100*IF(ISBLANK(L182),K182,L182),0)</f>
        <v>0</v>
      </c>
      <c r="N182" s="1111"/>
      <c r="O182" s="674">
        <f t="shared" ref="O182:O195" si="43">IF(ISBLANK(H182),G182,H182)</f>
        <v>25</v>
      </c>
      <c r="P182" s="682"/>
      <c r="Q182" s="286"/>
      <c r="R182" s="287"/>
      <c r="S182" s="280"/>
      <c r="T182" s="280"/>
      <c r="U182" s="280"/>
      <c r="V182" s="280"/>
      <c r="W182" s="280"/>
      <c r="X182" s="280"/>
      <c r="Y182" s="280"/>
      <c r="Z182" s="284"/>
      <c r="AA182" s="284"/>
      <c r="AB182" s="284"/>
      <c r="AC182" s="284"/>
      <c r="AD182" s="284"/>
      <c r="AE182" s="284"/>
      <c r="AF182" s="447"/>
      <c r="AG182" s="447"/>
      <c r="AH182" s="447"/>
      <c r="AI182" s="382"/>
      <c r="AJ182" s="382"/>
      <c r="AK182" s="382"/>
      <c r="AL182" s="382"/>
      <c r="AM182" s="382"/>
      <c r="AN182" s="382"/>
      <c r="AO182" s="382"/>
      <c r="AP182" s="382"/>
      <c r="AQ182" s="382"/>
      <c r="AR182" s="382"/>
      <c r="AS182" s="382"/>
      <c r="AT182" s="382"/>
      <c r="AU182" s="382"/>
      <c r="AV182" s="382"/>
      <c r="AW182" s="382"/>
      <c r="AX182" s="382"/>
      <c r="AY182" s="382"/>
      <c r="AZ182" s="382"/>
      <c r="BA182" s="382"/>
      <c r="BB182" s="382"/>
      <c r="BC182" s="382"/>
      <c r="BD182" s="382"/>
      <c r="BE182" s="382"/>
      <c r="BF182" s="382"/>
      <c r="BG182" s="382"/>
      <c r="BH182" s="382"/>
      <c r="BI182" s="382"/>
      <c r="BJ182" s="382"/>
      <c r="BK182" s="382"/>
      <c r="BL182" s="382"/>
      <c r="BM182" s="382"/>
      <c r="BN182" s="382"/>
      <c r="BO182" s="382"/>
    </row>
    <row r="183" spans="1:67" s="88" customFormat="1" ht="10.55" customHeight="1" x14ac:dyDescent="0.2">
      <c r="A183" s="1013" t="s">
        <v>377</v>
      </c>
      <c r="B183" s="2807"/>
      <c r="C183" s="2808"/>
      <c r="D183" s="2809"/>
      <c r="E183" s="2561"/>
      <c r="F183" s="2562"/>
      <c r="G183" s="1785">
        <v>25</v>
      </c>
      <c r="H183" s="524"/>
      <c r="I183" s="1409">
        <f t="shared" si="40"/>
        <v>5.4275921045792611E-2</v>
      </c>
      <c r="J183" s="1421">
        <f t="shared" si="41"/>
        <v>0</v>
      </c>
      <c r="K183" s="678">
        <v>2</v>
      </c>
      <c r="L183" s="1002"/>
      <c r="M183" s="1428">
        <f t="shared" si="42"/>
        <v>0</v>
      </c>
      <c r="N183" s="1111"/>
      <c r="O183" s="674">
        <f t="shared" si="43"/>
        <v>25</v>
      </c>
      <c r="P183" s="682"/>
      <c r="Q183" s="286"/>
      <c r="R183" s="287"/>
      <c r="S183" s="280"/>
      <c r="T183" s="280"/>
      <c r="U183" s="280"/>
      <c r="V183" s="280"/>
      <c r="W183" s="280"/>
      <c r="X183" s="280"/>
      <c r="Y183" s="280"/>
      <c r="Z183" s="284"/>
      <c r="AA183" s="284"/>
      <c r="AB183" s="284"/>
      <c r="AC183" s="284"/>
      <c r="AD183" s="284"/>
      <c r="AE183" s="284"/>
      <c r="AF183" s="447"/>
      <c r="AG183" s="447"/>
      <c r="AH183" s="447"/>
      <c r="AI183" s="382"/>
      <c r="AJ183" s="382"/>
      <c r="AK183" s="382"/>
      <c r="AL183" s="382"/>
      <c r="AM183" s="382"/>
      <c r="AN183" s="382"/>
      <c r="AO183" s="382"/>
      <c r="AP183" s="382"/>
      <c r="AQ183" s="382"/>
      <c r="AR183" s="382"/>
      <c r="AS183" s="382"/>
      <c r="AT183" s="382"/>
      <c r="AU183" s="382"/>
      <c r="AV183" s="382"/>
      <c r="AW183" s="382"/>
      <c r="AX183" s="382"/>
      <c r="AY183" s="382"/>
      <c r="AZ183" s="382"/>
      <c r="BA183" s="382"/>
      <c r="BB183" s="382"/>
      <c r="BC183" s="382"/>
      <c r="BD183" s="382"/>
      <c r="BE183" s="382"/>
      <c r="BF183" s="382"/>
      <c r="BG183" s="382"/>
      <c r="BH183" s="382"/>
      <c r="BI183" s="382"/>
      <c r="BJ183" s="382"/>
      <c r="BK183" s="382"/>
      <c r="BL183" s="382"/>
      <c r="BM183" s="382"/>
      <c r="BN183" s="382"/>
      <c r="BO183" s="382"/>
    </row>
    <row r="184" spans="1:67" s="88" customFormat="1" ht="10.55" customHeight="1" x14ac:dyDescent="0.2">
      <c r="A184" s="1013" t="s">
        <v>378</v>
      </c>
      <c r="B184" s="2807"/>
      <c r="C184" s="2808"/>
      <c r="D184" s="2809"/>
      <c r="E184" s="2561"/>
      <c r="F184" s="2562"/>
      <c r="G184" s="1785">
        <v>15</v>
      </c>
      <c r="H184" s="524"/>
      <c r="I184" s="1409">
        <f t="shared" si="40"/>
        <v>8.0766456051533542E-2</v>
      </c>
      <c r="J184" s="1421">
        <f t="shared" si="41"/>
        <v>0</v>
      </c>
      <c r="K184" s="678">
        <v>1</v>
      </c>
      <c r="L184" s="1002"/>
      <c r="M184" s="1428">
        <f t="shared" si="42"/>
        <v>0</v>
      </c>
      <c r="N184" s="1111"/>
      <c r="O184" s="674">
        <f t="shared" si="43"/>
        <v>15</v>
      </c>
      <c r="P184" s="682"/>
      <c r="Q184" s="286"/>
      <c r="R184" s="287"/>
      <c r="S184" s="280"/>
      <c r="T184" s="280"/>
      <c r="U184" s="280"/>
      <c r="V184" s="280"/>
      <c r="W184" s="280"/>
      <c r="X184" s="280"/>
      <c r="Y184" s="280"/>
      <c r="Z184" s="284"/>
      <c r="AA184" s="284"/>
      <c r="AB184" s="284"/>
      <c r="AC184" s="284"/>
      <c r="AD184" s="284"/>
      <c r="AE184" s="284"/>
      <c r="AF184" s="447"/>
      <c r="AG184" s="447"/>
      <c r="AH184" s="447"/>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382"/>
      <c r="BM184" s="382"/>
      <c r="BN184" s="382"/>
      <c r="BO184" s="382"/>
    </row>
    <row r="185" spans="1:67" s="88" customFormat="1" ht="10.55" customHeight="1" x14ac:dyDescent="0.2">
      <c r="A185" s="1013" t="s">
        <v>379</v>
      </c>
      <c r="B185" s="2807"/>
      <c r="C185" s="2808"/>
      <c r="D185" s="2809"/>
      <c r="E185" s="2561"/>
      <c r="F185" s="2562"/>
      <c r="G185" s="1785">
        <v>40</v>
      </c>
      <c r="H185" s="524"/>
      <c r="I185" s="1409">
        <f t="shared" si="40"/>
        <v>3.9836233162469814E-2</v>
      </c>
      <c r="J185" s="1421">
        <f t="shared" si="41"/>
        <v>0</v>
      </c>
      <c r="K185" s="678">
        <v>1</v>
      </c>
      <c r="L185" s="1002"/>
      <c r="M185" s="1428">
        <f t="shared" si="42"/>
        <v>0</v>
      </c>
      <c r="N185" s="1111"/>
      <c r="O185" s="674">
        <f t="shared" si="43"/>
        <v>40</v>
      </c>
      <c r="P185" s="682"/>
      <c r="Q185" s="286"/>
      <c r="R185" s="287"/>
      <c r="S185" s="280"/>
      <c r="T185" s="280"/>
      <c r="U185" s="280"/>
      <c r="V185" s="280"/>
      <c r="W185" s="280"/>
      <c r="X185" s="280"/>
      <c r="Y185" s="280"/>
      <c r="Z185" s="284"/>
      <c r="AA185" s="284"/>
      <c r="AB185" s="284"/>
      <c r="AC185" s="284"/>
      <c r="AD185" s="284"/>
      <c r="AE185" s="284"/>
      <c r="AF185" s="447"/>
      <c r="AG185" s="447"/>
      <c r="AH185" s="447"/>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row>
    <row r="186" spans="1:67" s="88" customFormat="1" ht="10.55" customHeight="1" x14ac:dyDescent="0.2">
      <c r="A186" s="1013" t="s">
        <v>334</v>
      </c>
      <c r="B186" s="2807"/>
      <c r="C186" s="2808"/>
      <c r="D186" s="2809"/>
      <c r="E186" s="2561"/>
      <c r="F186" s="2562"/>
      <c r="G186" s="1785">
        <v>30</v>
      </c>
      <c r="H186" s="524"/>
      <c r="I186" s="1409">
        <f t="shared" si="40"/>
        <v>4.7777640736176463E-2</v>
      </c>
      <c r="J186" s="1421">
        <f t="shared" si="41"/>
        <v>0</v>
      </c>
      <c r="K186" s="678"/>
      <c r="L186" s="1002"/>
      <c r="M186" s="1428">
        <f t="shared" si="42"/>
        <v>0</v>
      </c>
      <c r="N186" s="1111"/>
      <c r="O186" s="674">
        <f t="shared" si="43"/>
        <v>30</v>
      </c>
      <c r="P186" s="682"/>
      <c r="Q186" s="286"/>
      <c r="R186" s="287"/>
      <c r="S186" s="280"/>
      <c r="T186" s="280"/>
      <c r="U186" s="280"/>
      <c r="V186" s="280"/>
      <c r="W186" s="280"/>
      <c r="X186" s="280"/>
      <c r="Y186" s="280"/>
      <c r="Z186" s="284"/>
      <c r="AA186" s="284"/>
      <c r="AB186" s="284"/>
      <c r="AC186" s="284"/>
      <c r="AD186" s="284"/>
      <c r="AE186" s="284"/>
      <c r="AF186" s="447"/>
      <c r="AG186" s="447"/>
      <c r="AH186" s="447"/>
      <c r="AI186" s="382"/>
      <c r="AJ186" s="382"/>
      <c r="AK186" s="382"/>
      <c r="AL186" s="382"/>
      <c r="AM186" s="382"/>
      <c r="AN186" s="382"/>
      <c r="AO186" s="382"/>
      <c r="AP186" s="382"/>
      <c r="AQ186" s="382"/>
      <c r="AR186" s="382"/>
      <c r="AS186" s="382"/>
      <c r="AT186" s="382"/>
      <c r="AU186" s="382"/>
      <c r="AV186" s="382"/>
      <c r="AW186" s="382"/>
      <c r="AX186" s="382"/>
      <c r="AY186" s="382"/>
      <c r="AZ186" s="382"/>
      <c r="BA186" s="382"/>
      <c r="BB186" s="382"/>
      <c r="BC186" s="382"/>
      <c r="BD186" s="382"/>
      <c r="BE186" s="382"/>
      <c r="BF186" s="382"/>
      <c r="BG186" s="382"/>
      <c r="BH186" s="382"/>
      <c r="BI186" s="382"/>
      <c r="BJ186" s="382"/>
      <c r="BK186" s="382"/>
      <c r="BL186" s="382"/>
      <c r="BM186" s="382"/>
      <c r="BN186" s="382"/>
      <c r="BO186" s="382"/>
    </row>
    <row r="187" spans="1:67" s="88" customFormat="1" ht="10.55" customHeight="1" x14ac:dyDescent="0.2">
      <c r="A187" s="675"/>
      <c r="B187" s="2807"/>
      <c r="C187" s="2808"/>
      <c r="D187" s="2809"/>
      <c r="E187" s="2561"/>
      <c r="F187" s="2562"/>
      <c r="G187" s="1015"/>
      <c r="H187" s="524"/>
      <c r="I187" s="1409">
        <f t="shared" si="40"/>
        <v>0</v>
      </c>
      <c r="J187" s="1421">
        <f t="shared" si="41"/>
        <v>0</v>
      </c>
      <c r="K187" s="679"/>
      <c r="L187" s="1002"/>
      <c r="M187" s="1428">
        <f t="shared" si="42"/>
        <v>0</v>
      </c>
      <c r="N187" s="1111"/>
      <c r="O187" s="674">
        <f t="shared" si="43"/>
        <v>0</v>
      </c>
      <c r="P187" s="682"/>
      <c r="Q187" s="286"/>
      <c r="R187" s="287"/>
      <c r="S187" s="280"/>
      <c r="T187" s="280"/>
      <c r="U187" s="280"/>
      <c r="V187" s="280"/>
      <c r="W187" s="280"/>
      <c r="X187" s="280"/>
      <c r="Y187" s="280"/>
      <c r="Z187" s="284"/>
      <c r="AA187" s="284"/>
      <c r="AB187" s="284"/>
      <c r="AC187" s="284"/>
      <c r="AD187" s="284"/>
      <c r="AE187" s="284"/>
      <c r="AF187" s="447"/>
      <c r="AG187" s="447"/>
      <c r="AH187" s="447"/>
      <c r="AI187" s="382"/>
      <c r="AJ187" s="382"/>
      <c r="AK187" s="382"/>
      <c r="AL187" s="382"/>
      <c r="AM187" s="382"/>
      <c r="AN187" s="382"/>
      <c r="AO187" s="382"/>
      <c r="AP187" s="382"/>
      <c r="AQ187" s="382"/>
      <c r="AR187" s="382"/>
      <c r="AS187" s="382"/>
      <c r="AT187" s="382"/>
      <c r="AU187" s="382"/>
      <c r="AV187" s="382"/>
      <c r="AW187" s="382"/>
      <c r="AX187" s="382"/>
      <c r="AY187" s="382"/>
      <c r="AZ187" s="382"/>
      <c r="BA187" s="382"/>
      <c r="BB187" s="382"/>
      <c r="BC187" s="382"/>
      <c r="BD187" s="382"/>
      <c r="BE187" s="382"/>
      <c r="BF187" s="382"/>
      <c r="BG187" s="382"/>
      <c r="BH187" s="382"/>
      <c r="BI187" s="382"/>
      <c r="BJ187" s="382"/>
      <c r="BK187" s="382"/>
      <c r="BL187" s="382"/>
      <c r="BM187" s="382"/>
      <c r="BN187" s="382"/>
      <c r="BO187" s="382"/>
    </row>
    <row r="188" spans="1:67" s="88" customFormat="1" ht="10.55" customHeight="1" x14ac:dyDescent="0.2">
      <c r="A188" s="675"/>
      <c r="B188" s="2807"/>
      <c r="C188" s="2808"/>
      <c r="D188" s="2809"/>
      <c r="E188" s="2561"/>
      <c r="F188" s="2562"/>
      <c r="G188" s="1015"/>
      <c r="H188" s="524"/>
      <c r="I188" s="1409">
        <f t="shared" si="40"/>
        <v>0</v>
      </c>
      <c r="J188" s="1421">
        <f t="shared" si="41"/>
        <v>0</v>
      </c>
      <c r="K188" s="679"/>
      <c r="L188" s="1002"/>
      <c r="M188" s="1428">
        <f t="shared" si="42"/>
        <v>0</v>
      </c>
      <c r="N188" s="1111"/>
      <c r="O188" s="674">
        <f t="shared" si="43"/>
        <v>0</v>
      </c>
      <c r="P188" s="682"/>
      <c r="Q188" s="286"/>
      <c r="R188" s="287"/>
      <c r="S188" s="280"/>
      <c r="T188" s="280"/>
      <c r="U188" s="280"/>
      <c r="V188" s="280"/>
      <c r="W188" s="280"/>
      <c r="X188" s="280"/>
      <c r="Y188" s="280"/>
      <c r="Z188" s="284"/>
      <c r="AA188" s="284"/>
      <c r="AB188" s="284"/>
      <c r="AC188" s="284"/>
      <c r="AD188" s="284"/>
      <c r="AE188" s="284"/>
      <c r="AF188" s="447"/>
      <c r="AG188" s="447"/>
      <c r="AH188" s="447"/>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row>
    <row r="189" spans="1:67" s="88" customFormat="1" ht="10.55" customHeight="1" x14ac:dyDescent="0.2">
      <c r="A189" s="675"/>
      <c r="B189" s="2807"/>
      <c r="C189" s="2808"/>
      <c r="D189" s="2809"/>
      <c r="E189" s="2561"/>
      <c r="F189" s="2562"/>
      <c r="G189" s="1015"/>
      <c r="H189" s="524"/>
      <c r="I189" s="1409">
        <f t="shared" si="40"/>
        <v>0</v>
      </c>
      <c r="J189" s="1421">
        <f t="shared" si="41"/>
        <v>0</v>
      </c>
      <c r="K189" s="679"/>
      <c r="L189" s="1002"/>
      <c r="M189" s="1428">
        <f t="shared" si="42"/>
        <v>0</v>
      </c>
      <c r="N189" s="1111"/>
      <c r="O189" s="674">
        <f t="shared" si="43"/>
        <v>0</v>
      </c>
      <c r="P189" s="682"/>
      <c r="Q189" s="286"/>
      <c r="R189" s="287"/>
      <c r="S189" s="280"/>
      <c r="T189" s="280"/>
      <c r="U189" s="280"/>
      <c r="V189" s="280"/>
      <c r="W189" s="280"/>
      <c r="X189" s="280"/>
      <c r="Y189" s="280"/>
      <c r="Z189" s="284"/>
      <c r="AA189" s="284"/>
      <c r="AB189" s="284"/>
      <c r="AC189" s="284"/>
      <c r="AD189" s="284"/>
      <c r="AE189" s="284"/>
      <c r="AF189" s="447"/>
      <c r="AG189" s="447"/>
      <c r="AH189" s="447"/>
      <c r="AI189" s="382"/>
      <c r="AJ189" s="382"/>
      <c r="AK189" s="382"/>
      <c r="AL189" s="382"/>
      <c r="AM189" s="382"/>
      <c r="AN189" s="382"/>
      <c r="AO189" s="382"/>
      <c r="AP189" s="382"/>
      <c r="AQ189" s="382"/>
      <c r="AR189" s="382"/>
      <c r="AS189" s="382"/>
      <c r="AT189" s="382"/>
      <c r="AU189" s="382"/>
      <c r="AV189" s="382"/>
      <c r="AW189" s="382"/>
      <c r="AX189" s="382"/>
      <c r="AY189" s="382"/>
      <c r="AZ189" s="382"/>
      <c r="BA189" s="382"/>
      <c r="BB189" s="382"/>
      <c r="BC189" s="382"/>
      <c r="BD189" s="382"/>
      <c r="BE189" s="382"/>
      <c r="BF189" s="382"/>
      <c r="BG189" s="382"/>
      <c r="BH189" s="382"/>
      <c r="BI189" s="382"/>
      <c r="BJ189" s="382"/>
      <c r="BK189" s="382"/>
      <c r="BL189" s="382"/>
      <c r="BM189" s="382"/>
      <c r="BN189" s="382"/>
      <c r="BO189" s="382"/>
    </row>
    <row r="190" spans="1:67" s="88" customFormat="1" ht="10.55" customHeight="1" x14ac:dyDescent="0.2">
      <c r="A190" s="675"/>
      <c r="B190" s="2807"/>
      <c r="C190" s="2808"/>
      <c r="D190" s="2809"/>
      <c r="E190" s="2561"/>
      <c r="F190" s="2562"/>
      <c r="G190" s="1015"/>
      <c r="H190" s="524"/>
      <c r="I190" s="1409">
        <f t="shared" si="40"/>
        <v>0</v>
      </c>
      <c r="J190" s="1421">
        <f t="shared" si="41"/>
        <v>0</v>
      </c>
      <c r="K190" s="679"/>
      <c r="L190" s="1002"/>
      <c r="M190" s="1428">
        <f t="shared" si="42"/>
        <v>0</v>
      </c>
      <c r="N190" s="1111"/>
      <c r="O190" s="674">
        <f t="shared" si="43"/>
        <v>0</v>
      </c>
      <c r="P190" s="682"/>
      <c r="Q190" s="286"/>
      <c r="R190" s="287"/>
      <c r="S190" s="280"/>
      <c r="T190" s="280"/>
      <c r="U190" s="280"/>
      <c r="V190" s="280"/>
      <c r="W190" s="280"/>
      <c r="X190" s="280"/>
      <c r="Y190" s="280"/>
      <c r="Z190" s="284"/>
      <c r="AA190" s="284"/>
      <c r="AB190" s="284"/>
      <c r="AC190" s="284"/>
      <c r="AD190" s="284"/>
      <c r="AE190" s="284"/>
      <c r="AF190" s="447"/>
      <c r="AG190" s="447"/>
      <c r="AH190" s="447"/>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row>
    <row r="191" spans="1:67" s="88" customFormat="1" ht="10.55" customHeight="1" x14ac:dyDescent="0.2">
      <c r="A191" s="675"/>
      <c r="B191" s="2807"/>
      <c r="C191" s="2808"/>
      <c r="D191" s="2809"/>
      <c r="E191" s="2561"/>
      <c r="F191" s="2562"/>
      <c r="G191" s="1015"/>
      <c r="H191" s="524"/>
      <c r="I191" s="1409">
        <f t="shared" si="40"/>
        <v>0</v>
      </c>
      <c r="J191" s="1421">
        <f t="shared" si="41"/>
        <v>0</v>
      </c>
      <c r="K191" s="679"/>
      <c r="L191" s="1002"/>
      <c r="M191" s="1428">
        <f t="shared" si="42"/>
        <v>0</v>
      </c>
      <c r="N191" s="1111"/>
      <c r="O191" s="674">
        <f t="shared" si="43"/>
        <v>0</v>
      </c>
      <c r="P191" s="682"/>
      <c r="Q191" s="286"/>
      <c r="R191" s="287"/>
      <c r="S191" s="280"/>
      <c r="T191" s="280"/>
      <c r="U191" s="280"/>
      <c r="V191" s="280"/>
      <c r="W191" s="280"/>
      <c r="X191" s="280"/>
      <c r="Y191" s="280"/>
      <c r="Z191" s="284"/>
      <c r="AA191" s="284"/>
      <c r="AB191" s="284"/>
      <c r="AC191" s="284"/>
      <c r="AD191" s="284"/>
      <c r="AE191" s="284"/>
      <c r="AF191" s="447"/>
      <c r="AG191" s="447"/>
      <c r="AH191" s="447"/>
      <c r="AI191" s="382"/>
      <c r="AJ191" s="382"/>
      <c r="AK191" s="382"/>
      <c r="AL191" s="382"/>
      <c r="AM191" s="382"/>
      <c r="AN191" s="382"/>
      <c r="AO191" s="382"/>
      <c r="AP191" s="382"/>
      <c r="AQ191" s="382"/>
      <c r="AR191" s="382"/>
      <c r="AS191" s="382"/>
      <c r="AT191" s="382"/>
      <c r="AU191" s="382"/>
      <c r="AV191" s="382"/>
      <c r="AW191" s="382"/>
      <c r="AX191" s="382"/>
      <c r="AY191" s="382"/>
      <c r="AZ191" s="382"/>
      <c r="BA191" s="382"/>
      <c r="BB191" s="382"/>
      <c r="BC191" s="382"/>
      <c r="BD191" s="382"/>
      <c r="BE191" s="382"/>
      <c r="BF191" s="382"/>
      <c r="BG191" s="382"/>
      <c r="BH191" s="382"/>
      <c r="BI191" s="382"/>
      <c r="BJ191" s="382"/>
      <c r="BK191" s="382"/>
      <c r="BL191" s="382"/>
      <c r="BM191" s="382"/>
      <c r="BN191" s="382"/>
      <c r="BO191" s="382"/>
    </row>
    <row r="192" spans="1:67" s="88" customFormat="1" ht="10.55" customHeight="1" x14ac:dyDescent="0.2">
      <c r="A192" s="675"/>
      <c r="B192" s="2807"/>
      <c r="C192" s="2808"/>
      <c r="D192" s="2809"/>
      <c r="E192" s="2561"/>
      <c r="F192" s="2562"/>
      <c r="G192" s="1015"/>
      <c r="H192" s="524"/>
      <c r="I192" s="1409">
        <f t="shared" si="40"/>
        <v>0</v>
      </c>
      <c r="J192" s="1421">
        <f t="shared" si="41"/>
        <v>0</v>
      </c>
      <c r="K192" s="679"/>
      <c r="L192" s="1002"/>
      <c r="M192" s="1428">
        <f t="shared" si="42"/>
        <v>0</v>
      </c>
      <c r="N192" s="1111"/>
      <c r="O192" s="674">
        <f t="shared" si="43"/>
        <v>0</v>
      </c>
      <c r="P192" s="682"/>
      <c r="Q192" s="286"/>
      <c r="R192" s="287"/>
      <c r="S192" s="280"/>
      <c r="T192" s="280"/>
      <c r="U192" s="280"/>
      <c r="V192" s="280"/>
      <c r="W192" s="280"/>
      <c r="X192" s="280"/>
      <c r="Y192" s="280"/>
      <c r="Z192" s="284"/>
      <c r="AA192" s="284"/>
      <c r="AB192" s="284"/>
      <c r="AC192" s="284"/>
      <c r="AD192" s="284"/>
      <c r="AE192" s="284"/>
      <c r="AF192" s="447"/>
      <c r="AG192" s="447"/>
      <c r="AH192" s="447"/>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382"/>
      <c r="BM192" s="382"/>
      <c r="BN192" s="382"/>
      <c r="BO192" s="382"/>
    </row>
    <row r="193" spans="1:67" s="88" customFormat="1" ht="10.55" customHeight="1" x14ac:dyDescent="0.2">
      <c r="A193" s="675"/>
      <c r="B193" s="2807"/>
      <c r="C193" s="2808"/>
      <c r="D193" s="2809"/>
      <c r="E193" s="2561"/>
      <c r="F193" s="2562"/>
      <c r="G193" s="1015"/>
      <c r="H193" s="524"/>
      <c r="I193" s="1409">
        <f t="shared" si="40"/>
        <v>0</v>
      </c>
      <c r="J193" s="1421">
        <f t="shared" si="41"/>
        <v>0</v>
      </c>
      <c r="K193" s="679"/>
      <c r="L193" s="1002"/>
      <c r="M193" s="1428">
        <f t="shared" si="42"/>
        <v>0</v>
      </c>
      <c r="N193" s="1111"/>
      <c r="O193" s="674">
        <f t="shared" si="43"/>
        <v>0</v>
      </c>
      <c r="P193" s="682"/>
      <c r="Q193" s="286"/>
      <c r="R193" s="287"/>
      <c r="S193" s="280"/>
      <c r="T193" s="280"/>
      <c r="U193" s="280"/>
      <c r="V193" s="280"/>
      <c r="W193" s="280"/>
      <c r="X193" s="280"/>
      <c r="Y193" s="280"/>
      <c r="Z193" s="284"/>
      <c r="AA193" s="284"/>
      <c r="AB193" s="284"/>
      <c r="AC193" s="284"/>
      <c r="AD193" s="284"/>
      <c r="AE193" s="284"/>
      <c r="AF193" s="447"/>
      <c r="AG193" s="447"/>
      <c r="AH193" s="447"/>
      <c r="AI193" s="382"/>
      <c r="AJ193" s="382"/>
      <c r="AK193" s="382"/>
      <c r="AL193" s="382"/>
      <c r="AM193" s="382"/>
      <c r="AN193" s="382"/>
      <c r="AO193" s="382"/>
      <c r="AP193" s="382"/>
      <c r="AQ193" s="382"/>
      <c r="AR193" s="382"/>
      <c r="AS193" s="382"/>
      <c r="AT193" s="382"/>
      <c r="AU193" s="382"/>
      <c r="AV193" s="382"/>
      <c r="AW193" s="382"/>
      <c r="AX193" s="382"/>
      <c r="AY193" s="382"/>
      <c r="AZ193" s="382"/>
      <c r="BA193" s="382"/>
      <c r="BB193" s="382"/>
      <c r="BC193" s="382"/>
      <c r="BD193" s="382"/>
      <c r="BE193" s="382"/>
      <c r="BF193" s="382"/>
      <c r="BG193" s="382"/>
      <c r="BH193" s="382"/>
      <c r="BI193" s="382"/>
      <c r="BJ193" s="382"/>
      <c r="BK193" s="382"/>
      <c r="BL193" s="382"/>
      <c r="BM193" s="382"/>
      <c r="BN193" s="382"/>
      <c r="BO193" s="382"/>
    </row>
    <row r="194" spans="1:67" s="88" customFormat="1" ht="10.55" customHeight="1" x14ac:dyDescent="0.2">
      <c r="A194" s="675"/>
      <c r="B194" s="2807"/>
      <c r="C194" s="2808"/>
      <c r="D194" s="2809"/>
      <c r="E194" s="2561"/>
      <c r="F194" s="2562"/>
      <c r="G194" s="1015"/>
      <c r="H194" s="524"/>
      <c r="I194" s="1409">
        <f t="shared" si="40"/>
        <v>0</v>
      </c>
      <c r="J194" s="1421">
        <f t="shared" si="41"/>
        <v>0</v>
      </c>
      <c r="K194" s="679"/>
      <c r="L194" s="1002"/>
      <c r="M194" s="1428">
        <f t="shared" si="42"/>
        <v>0</v>
      </c>
      <c r="N194" s="1111"/>
      <c r="O194" s="674">
        <f t="shared" si="43"/>
        <v>0</v>
      </c>
      <c r="P194" s="682"/>
      <c r="Q194" s="286"/>
      <c r="R194" s="287"/>
      <c r="S194" s="280"/>
      <c r="T194" s="280"/>
      <c r="U194" s="280"/>
      <c r="V194" s="280"/>
      <c r="W194" s="280"/>
      <c r="X194" s="280"/>
      <c r="Y194" s="280"/>
      <c r="Z194" s="284"/>
      <c r="AA194" s="284"/>
      <c r="AB194" s="284"/>
      <c r="AC194" s="284"/>
      <c r="AD194" s="284"/>
      <c r="AE194" s="284"/>
      <c r="AF194" s="447"/>
      <c r="AG194" s="447"/>
      <c r="AH194" s="447"/>
      <c r="AI194" s="382"/>
      <c r="AJ194" s="382"/>
      <c r="AK194" s="382"/>
      <c r="AL194" s="382"/>
      <c r="AM194" s="382"/>
      <c r="AN194" s="382"/>
      <c r="AO194" s="382"/>
      <c r="AP194" s="382"/>
      <c r="AQ194" s="382"/>
      <c r="AR194" s="382"/>
      <c r="AS194" s="382"/>
      <c r="AT194" s="382"/>
      <c r="AU194" s="382"/>
      <c r="AV194" s="382"/>
      <c r="AW194" s="382"/>
      <c r="AX194" s="382"/>
      <c r="AY194" s="382"/>
      <c r="AZ194" s="382"/>
      <c r="BA194" s="382"/>
      <c r="BB194" s="382"/>
      <c r="BC194" s="382"/>
      <c r="BD194" s="382"/>
      <c r="BE194" s="382"/>
      <c r="BF194" s="382"/>
      <c r="BG194" s="382"/>
      <c r="BH194" s="382"/>
      <c r="BI194" s="382"/>
      <c r="BJ194" s="382"/>
      <c r="BK194" s="382"/>
      <c r="BL194" s="382"/>
      <c r="BM194" s="382"/>
      <c r="BN194" s="382"/>
      <c r="BO194" s="382"/>
    </row>
    <row r="195" spans="1:67" s="88" customFormat="1" ht="10.55" customHeight="1" x14ac:dyDescent="0.2">
      <c r="A195" s="1017"/>
      <c r="B195" s="2804"/>
      <c r="C195" s="2805"/>
      <c r="D195" s="2806"/>
      <c r="E195" s="2793"/>
      <c r="F195" s="2794"/>
      <c r="G195" s="1018"/>
      <c r="H195" s="1019"/>
      <c r="I195" s="1436">
        <f t="shared" si="40"/>
        <v>0</v>
      </c>
      <c r="J195" s="1422"/>
      <c r="K195" s="680"/>
      <c r="L195" s="1020"/>
      <c r="M195" s="1429">
        <f t="shared" si="42"/>
        <v>0</v>
      </c>
      <c r="N195" s="1111"/>
      <c r="O195" s="674">
        <f t="shared" si="43"/>
        <v>0</v>
      </c>
      <c r="P195" s="682"/>
      <c r="Q195" s="286"/>
      <c r="R195" s="287"/>
      <c r="S195" s="280"/>
      <c r="T195" s="280"/>
      <c r="U195" s="280"/>
      <c r="V195" s="280"/>
      <c r="W195" s="280"/>
      <c r="X195" s="280"/>
      <c r="Y195" s="280"/>
      <c r="Z195" s="284"/>
      <c r="AA195" s="284"/>
      <c r="AB195" s="284"/>
      <c r="AC195" s="284"/>
      <c r="AD195" s="284"/>
      <c r="AE195" s="284"/>
      <c r="AF195" s="447"/>
      <c r="AG195" s="447"/>
      <c r="AH195" s="447"/>
      <c r="AI195" s="382"/>
      <c r="AJ195" s="382"/>
      <c r="AK195" s="382"/>
      <c r="AL195" s="382"/>
      <c r="AM195" s="382"/>
      <c r="AN195" s="382"/>
      <c r="AO195" s="382"/>
      <c r="AP195" s="382"/>
      <c r="AQ195" s="382"/>
      <c r="AR195" s="382"/>
      <c r="AS195" s="382"/>
      <c r="AT195" s="382"/>
      <c r="AU195" s="382"/>
      <c r="AV195" s="382"/>
      <c r="AW195" s="382"/>
      <c r="AX195" s="382"/>
      <c r="AY195" s="382"/>
      <c r="AZ195" s="382"/>
      <c r="BA195" s="382"/>
      <c r="BB195" s="382"/>
      <c r="BC195" s="382"/>
      <c r="BD195" s="382"/>
      <c r="BE195" s="382"/>
      <c r="BF195" s="382"/>
      <c r="BG195" s="382"/>
      <c r="BH195" s="382"/>
      <c r="BI195" s="382"/>
      <c r="BJ195" s="382"/>
      <c r="BK195" s="382"/>
      <c r="BL195" s="382"/>
      <c r="BM195" s="382"/>
      <c r="BN195" s="382"/>
      <c r="BO195" s="382"/>
    </row>
    <row r="196" spans="1:67" s="88" customFormat="1" ht="10.55" customHeight="1" x14ac:dyDescent="0.2">
      <c r="A196" s="1122" t="s">
        <v>380</v>
      </c>
      <c r="B196" s="2783"/>
      <c r="C196" s="2784"/>
      <c r="D196" s="2785"/>
      <c r="E196" s="2810">
        <f>SUM(E197:E209)</f>
        <v>0</v>
      </c>
      <c r="F196" s="2811"/>
      <c r="G196" s="2747"/>
      <c r="H196" s="2748"/>
      <c r="I196" s="1435">
        <f>IF(E196=0,0,J196/E196)</f>
        <v>0</v>
      </c>
      <c r="J196" s="1423">
        <f>SUM(J197:J209)</f>
        <v>0</v>
      </c>
      <c r="K196" s="2749">
        <f>IF(E196=0,0,M196/E196*100)</f>
        <v>0</v>
      </c>
      <c r="L196" s="2750"/>
      <c r="M196" s="1430">
        <f>SUM(M197:M209)</f>
        <v>0</v>
      </c>
      <c r="N196" s="1111"/>
      <c r="O196" s="387">
        <f>IF(H196="",G196,H196)</f>
        <v>0</v>
      </c>
      <c r="P196" s="682"/>
      <c r="Q196" s="286"/>
      <c r="R196" s="287"/>
      <c r="S196" s="280"/>
      <c r="T196" s="280"/>
      <c r="U196" s="280"/>
      <c r="V196" s="280"/>
      <c r="W196" s="280"/>
      <c r="X196" s="280"/>
      <c r="Y196" s="280"/>
      <c r="Z196" s="284"/>
      <c r="AA196" s="284"/>
      <c r="AB196" s="284"/>
      <c r="AC196" s="284"/>
      <c r="AD196" s="284"/>
      <c r="AE196" s="284"/>
      <c r="AF196" s="447"/>
      <c r="AG196" s="447"/>
      <c r="AH196" s="447"/>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382"/>
      <c r="BM196" s="382"/>
      <c r="BN196" s="382"/>
      <c r="BO196" s="382"/>
    </row>
    <row r="197" spans="1:67" s="88" customFormat="1" ht="10.55" customHeight="1" x14ac:dyDescent="0.2">
      <c r="A197" s="1013" t="s">
        <v>381</v>
      </c>
      <c r="B197" s="2790"/>
      <c r="C197" s="2791"/>
      <c r="D197" s="2792"/>
      <c r="E197" s="2734"/>
      <c r="F197" s="2735"/>
      <c r="G197" s="1785">
        <v>30</v>
      </c>
      <c r="H197" s="524"/>
      <c r="I197" s="1409">
        <f t="shared" ref="I197:I210" si="44">IF($O197&gt;0,-PMT(($I$9),$O197,1),0)</f>
        <v>4.7777640736176463E-2</v>
      </c>
      <c r="J197" s="1421">
        <f t="shared" ref="J197:J209" si="45">ROUND(E197*I197,0)</f>
        <v>0</v>
      </c>
      <c r="K197" s="678">
        <v>1.5</v>
      </c>
      <c r="L197" s="1002"/>
      <c r="M197" s="1428">
        <f t="shared" ref="M197:M210" si="46">ROUND(E197/100*IF(ISBLANK(L197),K197,L197),0)</f>
        <v>0</v>
      </c>
      <c r="N197" s="1111"/>
      <c r="O197" s="674">
        <f t="shared" ref="O197:O210" si="47">IF(ISBLANK(H197),G197,H197)</f>
        <v>30</v>
      </c>
      <c r="P197" s="682"/>
      <c r="Q197" s="286"/>
      <c r="R197" s="287"/>
      <c r="S197" s="280"/>
      <c r="T197" s="280"/>
      <c r="U197" s="280"/>
      <c r="V197" s="280"/>
      <c r="W197" s="280"/>
      <c r="X197" s="280"/>
      <c r="Y197" s="280"/>
      <c r="Z197" s="284"/>
      <c r="AA197" s="284"/>
      <c r="AB197" s="284"/>
      <c r="AC197" s="284"/>
      <c r="AD197" s="284"/>
      <c r="AE197" s="284"/>
      <c r="AF197" s="447"/>
      <c r="AG197" s="447"/>
      <c r="AH197" s="447"/>
      <c r="AI197" s="382"/>
      <c r="AJ197" s="382"/>
      <c r="AK197" s="382"/>
      <c r="AL197" s="382"/>
      <c r="AM197" s="382"/>
      <c r="AN197" s="382"/>
      <c r="AO197" s="382"/>
      <c r="AP197" s="382"/>
      <c r="AQ197" s="382"/>
      <c r="AR197" s="382"/>
      <c r="AS197" s="382"/>
      <c r="AT197" s="382"/>
      <c r="AU197" s="382"/>
      <c r="AV197" s="382"/>
      <c r="AW197" s="382"/>
      <c r="AX197" s="382"/>
      <c r="AY197" s="382"/>
      <c r="AZ197" s="382"/>
      <c r="BA197" s="382"/>
      <c r="BB197" s="382"/>
      <c r="BC197" s="382"/>
      <c r="BD197" s="382"/>
      <c r="BE197" s="382"/>
      <c r="BF197" s="382"/>
      <c r="BG197" s="382"/>
      <c r="BH197" s="382"/>
      <c r="BI197" s="382"/>
      <c r="BJ197" s="382"/>
      <c r="BK197" s="382"/>
      <c r="BL197" s="382"/>
      <c r="BM197" s="382"/>
      <c r="BN197" s="382"/>
      <c r="BO197" s="382"/>
    </row>
    <row r="198" spans="1:67" s="88" customFormat="1" ht="10.55" customHeight="1" x14ac:dyDescent="0.2">
      <c r="A198" s="1013" t="s">
        <v>382</v>
      </c>
      <c r="B198" s="2807"/>
      <c r="C198" s="2808"/>
      <c r="D198" s="2809"/>
      <c r="E198" s="2561"/>
      <c r="F198" s="2562"/>
      <c r="G198" s="1785">
        <v>30</v>
      </c>
      <c r="H198" s="524"/>
      <c r="I198" s="1409">
        <f t="shared" si="44"/>
        <v>4.7777640736176463E-2</v>
      </c>
      <c r="J198" s="1421">
        <f t="shared" si="45"/>
        <v>0</v>
      </c>
      <c r="K198" s="678">
        <v>1</v>
      </c>
      <c r="L198" s="1002"/>
      <c r="M198" s="1428">
        <f t="shared" si="46"/>
        <v>0</v>
      </c>
      <c r="N198" s="1111"/>
      <c r="O198" s="674">
        <f t="shared" si="47"/>
        <v>30</v>
      </c>
      <c r="P198" s="682"/>
      <c r="Q198" s="286"/>
      <c r="R198" s="287"/>
      <c r="S198" s="280"/>
      <c r="T198" s="280"/>
      <c r="U198" s="280"/>
      <c r="V198" s="280"/>
      <c r="W198" s="280"/>
      <c r="X198" s="280"/>
      <c r="Y198" s="280"/>
      <c r="Z198" s="284"/>
      <c r="AA198" s="284"/>
      <c r="AB198" s="284"/>
      <c r="AC198" s="284"/>
      <c r="AD198" s="284"/>
      <c r="AE198" s="284"/>
      <c r="AF198" s="447"/>
      <c r="AG198" s="447"/>
      <c r="AH198" s="447"/>
      <c r="AI198" s="382"/>
      <c r="AJ198" s="382"/>
      <c r="AK198" s="382"/>
      <c r="AL198" s="382"/>
      <c r="AM198" s="382"/>
      <c r="AN198" s="382"/>
      <c r="AO198" s="382"/>
      <c r="AP198" s="382"/>
      <c r="AQ198" s="382"/>
      <c r="AR198" s="382"/>
      <c r="AS198" s="382"/>
      <c r="AT198" s="382"/>
      <c r="AU198" s="382"/>
      <c r="AV198" s="382"/>
      <c r="AW198" s="382"/>
      <c r="AX198" s="382"/>
      <c r="AY198" s="382"/>
      <c r="AZ198" s="382"/>
      <c r="BA198" s="382"/>
      <c r="BB198" s="382"/>
      <c r="BC198" s="382"/>
      <c r="BD198" s="382"/>
      <c r="BE198" s="382"/>
      <c r="BF198" s="382"/>
      <c r="BG198" s="382"/>
      <c r="BH198" s="382"/>
      <c r="BI198" s="382"/>
      <c r="BJ198" s="382"/>
      <c r="BK198" s="382"/>
      <c r="BL198" s="382"/>
      <c r="BM198" s="382"/>
      <c r="BN198" s="382"/>
      <c r="BO198" s="382"/>
    </row>
    <row r="199" spans="1:67" s="88" customFormat="1" ht="10.55" customHeight="1" x14ac:dyDescent="0.2">
      <c r="A199" s="1013" t="s">
        <v>383</v>
      </c>
      <c r="B199" s="2807"/>
      <c r="C199" s="2808"/>
      <c r="D199" s="2809"/>
      <c r="E199" s="2561"/>
      <c r="F199" s="2562"/>
      <c r="G199" s="1785">
        <v>30</v>
      </c>
      <c r="H199" s="524"/>
      <c r="I199" s="1409">
        <f t="shared" si="44"/>
        <v>4.7777640736176463E-2</v>
      </c>
      <c r="J199" s="1421">
        <f t="shared" si="45"/>
        <v>0</v>
      </c>
      <c r="K199" s="678">
        <v>0.5</v>
      </c>
      <c r="L199" s="1002"/>
      <c r="M199" s="1428">
        <f t="shared" si="46"/>
        <v>0</v>
      </c>
      <c r="N199" s="1111"/>
      <c r="O199" s="674">
        <f t="shared" si="47"/>
        <v>30</v>
      </c>
      <c r="P199" s="682"/>
      <c r="Q199" s="286"/>
      <c r="R199" s="287"/>
      <c r="S199" s="280"/>
      <c r="T199" s="280"/>
      <c r="U199" s="280"/>
      <c r="V199" s="280"/>
      <c r="W199" s="280"/>
      <c r="X199" s="280"/>
      <c r="Y199" s="280"/>
      <c r="Z199" s="284"/>
      <c r="AA199" s="284"/>
      <c r="AB199" s="284"/>
      <c r="AC199" s="284"/>
      <c r="AD199" s="284"/>
      <c r="AE199" s="284"/>
      <c r="AF199" s="447"/>
      <c r="AG199" s="447"/>
      <c r="AH199" s="447"/>
      <c r="AI199" s="382"/>
      <c r="AJ199" s="382"/>
      <c r="AK199" s="382"/>
      <c r="AL199" s="382"/>
      <c r="AM199" s="382"/>
      <c r="AN199" s="382"/>
      <c r="AO199" s="382"/>
      <c r="AP199" s="382"/>
      <c r="AQ199" s="382"/>
      <c r="AR199" s="382"/>
      <c r="AS199" s="382"/>
      <c r="AT199" s="382"/>
      <c r="AU199" s="382"/>
      <c r="AV199" s="382"/>
      <c r="AW199" s="382"/>
      <c r="AX199" s="382"/>
      <c r="AY199" s="382"/>
      <c r="AZ199" s="382"/>
      <c r="BA199" s="382"/>
      <c r="BB199" s="382"/>
      <c r="BC199" s="382"/>
      <c r="BD199" s="382"/>
      <c r="BE199" s="382"/>
      <c r="BF199" s="382"/>
      <c r="BG199" s="382"/>
      <c r="BH199" s="382"/>
      <c r="BI199" s="382"/>
      <c r="BJ199" s="382"/>
      <c r="BK199" s="382"/>
      <c r="BL199" s="382"/>
      <c r="BM199" s="382"/>
      <c r="BN199" s="382"/>
      <c r="BO199" s="382"/>
    </row>
    <row r="200" spans="1:67" s="88" customFormat="1" ht="10.55" customHeight="1" x14ac:dyDescent="0.2">
      <c r="A200" s="1013" t="s">
        <v>384</v>
      </c>
      <c r="B200" s="2807"/>
      <c r="C200" s="2808"/>
      <c r="D200" s="2809"/>
      <c r="E200" s="2561"/>
      <c r="F200" s="2562"/>
      <c r="G200" s="1785">
        <v>30</v>
      </c>
      <c r="H200" s="524"/>
      <c r="I200" s="1409">
        <f t="shared" si="44"/>
        <v>4.7777640736176463E-2</v>
      </c>
      <c r="J200" s="1421">
        <f t="shared" si="45"/>
        <v>0</v>
      </c>
      <c r="K200" s="678">
        <v>0.5</v>
      </c>
      <c r="L200" s="1002"/>
      <c r="M200" s="1428">
        <f t="shared" si="46"/>
        <v>0</v>
      </c>
      <c r="N200" s="1111"/>
      <c r="O200" s="674">
        <f t="shared" si="47"/>
        <v>30</v>
      </c>
      <c r="P200" s="682"/>
      <c r="Q200" s="286"/>
      <c r="R200" s="287"/>
      <c r="S200" s="280"/>
      <c r="T200" s="280"/>
      <c r="U200" s="280"/>
      <c r="V200" s="280"/>
      <c r="W200" s="280"/>
      <c r="X200" s="280"/>
      <c r="Y200" s="280"/>
      <c r="Z200" s="284"/>
      <c r="AA200" s="284"/>
      <c r="AB200" s="284"/>
      <c r="AC200" s="284"/>
      <c r="AD200" s="284"/>
      <c r="AE200" s="284"/>
      <c r="AF200" s="447"/>
      <c r="AG200" s="447"/>
      <c r="AH200" s="447"/>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382"/>
      <c r="BM200" s="382"/>
      <c r="BN200" s="382"/>
      <c r="BO200" s="382"/>
    </row>
    <row r="201" spans="1:67" s="88" customFormat="1" ht="10.55" customHeight="1" x14ac:dyDescent="0.2">
      <c r="A201" s="1013" t="s">
        <v>385</v>
      </c>
      <c r="B201" s="2807"/>
      <c r="C201" s="2808"/>
      <c r="D201" s="2809"/>
      <c r="E201" s="2561"/>
      <c r="F201" s="2562"/>
      <c r="G201" s="1785">
        <v>15</v>
      </c>
      <c r="H201" s="524"/>
      <c r="I201" s="1409">
        <f t="shared" si="44"/>
        <v>8.0766456051533542E-2</v>
      </c>
      <c r="J201" s="1421">
        <f t="shared" si="45"/>
        <v>0</v>
      </c>
      <c r="K201" s="678">
        <v>2</v>
      </c>
      <c r="L201" s="1002"/>
      <c r="M201" s="1428">
        <f t="shared" si="46"/>
        <v>0</v>
      </c>
      <c r="N201" s="1111"/>
      <c r="O201" s="674">
        <f t="shared" si="47"/>
        <v>15</v>
      </c>
      <c r="P201" s="682"/>
      <c r="Q201" s="286"/>
      <c r="R201" s="287"/>
      <c r="S201" s="280"/>
      <c r="T201" s="280"/>
      <c r="U201" s="280"/>
      <c r="V201" s="280"/>
      <c r="W201" s="280"/>
      <c r="X201" s="280"/>
      <c r="Y201" s="280"/>
      <c r="Z201" s="284"/>
      <c r="AA201" s="284"/>
      <c r="AB201" s="284"/>
      <c r="AC201" s="284"/>
      <c r="AD201" s="284"/>
      <c r="AE201" s="284"/>
      <c r="AF201" s="447"/>
      <c r="AG201" s="447"/>
      <c r="AH201" s="447"/>
      <c r="AI201" s="382"/>
      <c r="AJ201" s="382"/>
      <c r="AK201" s="382"/>
      <c r="AL201" s="382"/>
      <c r="AM201" s="382"/>
      <c r="AN201" s="382"/>
      <c r="AO201" s="382"/>
      <c r="AP201" s="382"/>
      <c r="AQ201" s="382"/>
      <c r="AR201" s="382"/>
      <c r="AS201" s="382"/>
      <c r="AT201" s="382"/>
      <c r="AU201" s="382"/>
      <c r="AV201" s="382"/>
      <c r="AW201" s="382"/>
      <c r="AX201" s="382"/>
      <c r="AY201" s="382"/>
      <c r="AZ201" s="382"/>
      <c r="BA201" s="382"/>
      <c r="BB201" s="382"/>
      <c r="BC201" s="382"/>
      <c r="BD201" s="382"/>
      <c r="BE201" s="382"/>
      <c r="BF201" s="382"/>
      <c r="BG201" s="382"/>
      <c r="BH201" s="382"/>
      <c r="BI201" s="382"/>
      <c r="BJ201" s="382"/>
      <c r="BK201" s="382"/>
      <c r="BL201" s="382"/>
      <c r="BM201" s="382"/>
      <c r="BN201" s="382"/>
      <c r="BO201" s="382"/>
    </row>
    <row r="202" spans="1:67" s="88" customFormat="1" ht="10.55" customHeight="1" x14ac:dyDescent="0.2">
      <c r="A202" s="1013" t="s">
        <v>460</v>
      </c>
      <c r="B202" s="2807"/>
      <c r="C202" s="2808"/>
      <c r="D202" s="2809"/>
      <c r="E202" s="2561"/>
      <c r="F202" s="2562"/>
      <c r="G202" s="1785">
        <v>15</v>
      </c>
      <c r="H202" s="524"/>
      <c r="I202" s="1409">
        <f t="shared" si="44"/>
        <v>8.0766456051533542E-2</v>
      </c>
      <c r="J202" s="1421">
        <f t="shared" si="45"/>
        <v>0</v>
      </c>
      <c r="K202" s="678">
        <v>1.5</v>
      </c>
      <c r="L202" s="1002"/>
      <c r="M202" s="1428">
        <f t="shared" si="46"/>
        <v>0</v>
      </c>
      <c r="N202" s="1111"/>
      <c r="O202" s="674">
        <f t="shared" si="47"/>
        <v>15</v>
      </c>
      <c r="P202" s="682"/>
      <c r="Q202" s="286"/>
      <c r="R202" s="287"/>
      <c r="S202" s="280"/>
      <c r="T202" s="280"/>
      <c r="U202" s="280"/>
      <c r="V202" s="280"/>
      <c r="W202" s="280"/>
      <c r="X202" s="280"/>
      <c r="Y202" s="280"/>
      <c r="Z202" s="284"/>
      <c r="AA202" s="284"/>
      <c r="AB202" s="284"/>
      <c r="AC202" s="284"/>
      <c r="AD202" s="284"/>
      <c r="AE202" s="284"/>
      <c r="AF202" s="447"/>
      <c r="AG202" s="447"/>
      <c r="AH202" s="447"/>
      <c r="AI202" s="382"/>
      <c r="AJ202" s="382"/>
      <c r="AK202" s="382"/>
      <c r="AL202" s="382"/>
      <c r="AM202" s="382"/>
      <c r="AN202" s="382"/>
      <c r="AO202" s="382"/>
      <c r="AP202" s="382"/>
      <c r="AQ202" s="382"/>
      <c r="AR202" s="382"/>
      <c r="AS202" s="382"/>
      <c r="AT202" s="382"/>
      <c r="AU202" s="382"/>
      <c r="AV202" s="382"/>
      <c r="AW202" s="382"/>
      <c r="AX202" s="382"/>
      <c r="AY202" s="382"/>
      <c r="AZ202" s="382"/>
      <c r="BA202" s="382"/>
      <c r="BB202" s="382"/>
      <c r="BC202" s="382"/>
      <c r="BD202" s="382"/>
      <c r="BE202" s="382"/>
      <c r="BF202" s="382"/>
      <c r="BG202" s="382"/>
      <c r="BH202" s="382"/>
      <c r="BI202" s="382"/>
      <c r="BJ202" s="382"/>
      <c r="BK202" s="382"/>
      <c r="BL202" s="382"/>
      <c r="BM202" s="382"/>
      <c r="BN202" s="382"/>
      <c r="BO202" s="382"/>
    </row>
    <row r="203" spans="1:67" s="88" customFormat="1" ht="10.55" customHeight="1" x14ac:dyDescent="0.2">
      <c r="A203" s="675"/>
      <c r="B203" s="2807"/>
      <c r="C203" s="2808"/>
      <c r="D203" s="2809"/>
      <c r="E203" s="2561"/>
      <c r="F203" s="2562"/>
      <c r="G203" s="1015"/>
      <c r="H203" s="524"/>
      <c r="I203" s="1409">
        <f t="shared" si="44"/>
        <v>0</v>
      </c>
      <c r="J203" s="1421">
        <f t="shared" si="45"/>
        <v>0</v>
      </c>
      <c r="K203" s="679"/>
      <c r="L203" s="1002"/>
      <c r="M203" s="1428">
        <f t="shared" si="46"/>
        <v>0</v>
      </c>
      <c r="N203" s="1111"/>
      <c r="O203" s="674">
        <f t="shared" si="47"/>
        <v>0</v>
      </c>
      <c r="P203" s="682"/>
      <c r="Q203" s="286"/>
      <c r="R203" s="287"/>
      <c r="S203" s="280"/>
      <c r="T203" s="280"/>
      <c r="U203" s="280"/>
      <c r="V203" s="280"/>
      <c r="W203" s="280"/>
      <c r="X203" s="280"/>
      <c r="Y203" s="280"/>
      <c r="Z203" s="284"/>
      <c r="AA203" s="284"/>
      <c r="AB203" s="284"/>
      <c r="AC203" s="284"/>
      <c r="AD203" s="284"/>
      <c r="AE203" s="284"/>
      <c r="AF203" s="447"/>
      <c r="AG203" s="447"/>
      <c r="AH203" s="447"/>
      <c r="AI203" s="382"/>
      <c r="AJ203" s="382"/>
      <c r="AK203" s="382"/>
      <c r="AL203" s="382"/>
      <c r="AM203" s="382"/>
      <c r="AN203" s="382"/>
      <c r="AO203" s="382"/>
      <c r="AP203" s="382"/>
      <c r="AQ203" s="382"/>
      <c r="AR203" s="382"/>
      <c r="AS203" s="382"/>
      <c r="AT203" s="382"/>
      <c r="AU203" s="382"/>
      <c r="AV203" s="382"/>
      <c r="AW203" s="382"/>
      <c r="AX203" s="382"/>
      <c r="AY203" s="382"/>
      <c r="AZ203" s="382"/>
      <c r="BA203" s="382"/>
      <c r="BB203" s="382"/>
      <c r="BC203" s="382"/>
      <c r="BD203" s="382"/>
      <c r="BE203" s="382"/>
      <c r="BF203" s="382"/>
      <c r="BG203" s="382"/>
      <c r="BH203" s="382"/>
      <c r="BI203" s="382"/>
      <c r="BJ203" s="382"/>
      <c r="BK203" s="382"/>
      <c r="BL203" s="382"/>
      <c r="BM203" s="382"/>
      <c r="BN203" s="382"/>
      <c r="BO203" s="382"/>
    </row>
    <row r="204" spans="1:67" s="88" customFormat="1" ht="10.55" customHeight="1" x14ac:dyDescent="0.2">
      <c r="A204" s="675"/>
      <c r="B204" s="2807"/>
      <c r="C204" s="2808"/>
      <c r="D204" s="2809"/>
      <c r="E204" s="2561"/>
      <c r="F204" s="2562"/>
      <c r="G204" s="1015"/>
      <c r="H204" s="524"/>
      <c r="I204" s="1409">
        <f t="shared" si="44"/>
        <v>0</v>
      </c>
      <c r="J204" s="1421">
        <f t="shared" si="45"/>
        <v>0</v>
      </c>
      <c r="K204" s="679"/>
      <c r="L204" s="1002"/>
      <c r="M204" s="1428">
        <f t="shared" si="46"/>
        <v>0</v>
      </c>
      <c r="N204" s="1111"/>
      <c r="O204" s="674">
        <f t="shared" si="47"/>
        <v>0</v>
      </c>
      <c r="P204" s="682"/>
      <c r="Q204" s="286"/>
      <c r="R204" s="287"/>
      <c r="S204" s="280"/>
      <c r="T204" s="280"/>
      <c r="U204" s="280"/>
      <c r="V204" s="280"/>
      <c r="W204" s="280"/>
      <c r="X204" s="280"/>
      <c r="Y204" s="280"/>
      <c r="Z204" s="284"/>
      <c r="AA204" s="284"/>
      <c r="AB204" s="284"/>
      <c r="AC204" s="284"/>
      <c r="AD204" s="284"/>
      <c r="AE204" s="284"/>
      <c r="AF204" s="447"/>
      <c r="AG204" s="447"/>
      <c r="AH204" s="447"/>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382"/>
      <c r="BM204" s="382"/>
      <c r="BN204" s="382"/>
      <c r="BO204" s="382"/>
    </row>
    <row r="205" spans="1:67" s="88" customFormat="1" ht="10.55" customHeight="1" x14ac:dyDescent="0.2">
      <c r="A205" s="675"/>
      <c r="B205" s="2807"/>
      <c r="C205" s="2808"/>
      <c r="D205" s="2809"/>
      <c r="E205" s="2561"/>
      <c r="F205" s="2562"/>
      <c r="G205" s="1015"/>
      <c r="H205" s="524"/>
      <c r="I205" s="1409">
        <f t="shared" si="44"/>
        <v>0</v>
      </c>
      <c r="J205" s="1421">
        <f t="shared" si="45"/>
        <v>0</v>
      </c>
      <c r="K205" s="679"/>
      <c r="L205" s="1002"/>
      <c r="M205" s="1428">
        <f t="shared" si="46"/>
        <v>0</v>
      </c>
      <c r="N205" s="1111"/>
      <c r="O205" s="674">
        <f t="shared" si="47"/>
        <v>0</v>
      </c>
      <c r="P205" s="682"/>
      <c r="Q205" s="286"/>
      <c r="R205" s="287"/>
      <c r="S205" s="280"/>
      <c r="T205" s="280"/>
      <c r="U205" s="280"/>
      <c r="V205" s="280"/>
      <c r="W205" s="280"/>
      <c r="X205" s="280"/>
      <c r="Y205" s="280"/>
      <c r="Z205" s="284"/>
      <c r="AA205" s="284"/>
      <c r="AB205" s="284"/>
      <c r="AC205" s="284"/>
      <c r="AD205" s="284"/>
      <c r="AE205" s="284"/>
      <c r="AF205" s="447"/>
      <c r="AG205" s="447"/>
      <c r="AH205" s="447"/>
      <c r="AI205" s="382"/>
      <c r="AJ205" s="382"/>
      <c r="AK205" s="382"/>
      <c r="AL205" s="382"/>
      <c r="AM205" s="382"/>
      <c r="AN205" s="382"/>
      <c r="AO205" s="382"/>
      <c r="AP205" s="382"/>
      <c r="AQ205" s="382"/>
      <c r="AR205" s="382"/>
      <c r="AS205" s="382"/>
      <c r="AT205" s="382"/>
      <c r="AU205" s="382"/>
      <c r="AV205" s="382"/>
      <c r="AW205" s="382"/>
      <c r="AX205" s="382"/>
      <c r="AY205" s="382"/>
      <c r="AZ205" s="382"/>
      <c r="BA205" s="382"/>
      <c r="BB205" s="382"/>
      <c r="BC205" s="382"/>
      <c r="BD205" s="382"/>
      <c r="BE205" s="382"/>
      <c r="BF205" s="382"/>
      <c r="BG205" s="382"/>
      <c r="BH205" s="382"/>
      <c r="BI205" s="382"/>
      <c r="BJ205" s="382"/>
      <c r="BK205" s="382"/>
      <c r="BL205" s="382"/>
      <c r="BM205" s="382"/>
      <c r="BN205" s="382"/>
      <c r="BO205" s="382"/>
    </row>
    <row r="206" spans="1:67" s="88" customFormat="1" ht="10.55" customHeight="1" x14ac:dyDescent="0.2">
      <c r="A206" s="675"/>
      <c r="B206" s="2807"/>
      <c r="C206" s="2808"/>
      <c r="D206" s="2809"/>
      <c r="E206" s="2561"/>
      <c r="F206" s="2562"/>
      <c r="G206" s="1015"/>
      <c r="H206" s="524"/>
      <c r="I206" s="1409">
        <f t="shared" si="44"/>
        <v>0</v>
      </c>
      <c r="J206" s="1421">
        <f t="shared" si="45"/>
        <v>0</v>
      </c>
      <c r="K206" s="679"/>
      <c r="L206" s="1002"/>
      <c r="M206" s="1428">
        <f t="shared" si="46"/>
        <v>0</v>
      </c>
      <c r="N206" s="1111"/>
      <c r="O206" s="674">
        <f t="shared" si="47"/>
        <v>0</v>
      </c>
      <c r="P206" s="682"/>
      <c r="Q206" s="286"/>
      <c r="R206" s="287"/>
      <c r="S206" s="280"/>
      <c r="T206" s="280"/>
      <c r="U206" s="280"/>
      <c r="V206" s="280"/>
      <c r="W206" s="280"/>
      <c r="X206" s="280"/>
      <c r="Y206" s="280"/>
      <c r="Z206" s="284"/>
      <c r="AA206" s="284"/>
      <c r="AB206" s="284"/>
      <c r="AC206" s="284"/>
      <c r="AD206" s="284"/>
      <c r="AE206" s="284"/>
      <c r="AF206" s="447"/>
      <c r="AG206" s="447"/>
      <c r="AH206" s="447"/>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2"/>
      <c r="BL206" s="382"/>
      <c r="BM206" s="382"/>
      <c r="BN206" s="382"/>
      <c r="BO206" s="382"/>
    </row>
    <row r="207" spans="1:67" s="88" customFormat="1" ht="10.55" customHeight="1" x14ac:dyDescent="0.2">
      <c r="A207" s="675"/>
      <c r="B207" s="2807"/>
      <c r="C207" s="2808"/>
      <c r="D207" s="2809"/>
      <c r="E207" s="2561"/>
      <c r="F207" s="2562"/>
      <c r="G207" s="1015"/>
      <c r="H207" s="524"/>
      <c r="I207" s="1409">
        <f t="shared" si="44"/>
        <v>0</v>
      </c>
      <c r="J207" s="1421">
        <f t="shared" si="45"/>
        <v>0</v>
      </c>
      <c r="K207" s="679"/>
      <c r="L207" s="1002"/>
      <c r="M207" s="1428">
        <f t="shared" si="46"/>
        <v>0</v>
      </c>
      <c r="N207" s="1111"/>
      <c r="O207" s="674">
        <f t="shared" si="47"/>
        <v>0</v>
      </c>
      <c r="P207" s="682"/>
      <c r="Q207" s="286"/>
      <c r="R207" s="287"/>
      <c r="S207" s="280"/>
      <c r="T207" s="280"/>
      <c r="U207" s="280"/>
      <c r="V207" s="280"/>
      <c r="W207" s="280"/>
      <c r="X207" s="280"/>
      <c r="Y207" s="280"/>
      <c r="Z207" s="284"/>
      <c r="AA207" s="284"/>
      <c r="AB207" s="284"/>
      <c r="AC207" s="284"/>
      <c r="AD207" s="284"/>
      <c r="AE207" s="284"/>
      <c r="AF207" s="447"/>
      <c r="AG207" s="447"/>
      <c r="AH207" s="447"/>
      <c r="AI207" s="382"/>
      <c r="AJ207" s="382"/>
      <c r="AK207" s="382"/>
      <c r="AL207" s="382"/>
      <c r="AM207" s="382"/>
      <c r="AN207" s="382"/>
      <c r="AO207" s="382"/>
      <c r="AP207" s="382"/>
      <c r="AQ207" s="382"/>
      <c r="AR207" s="382"/>
      <c r="AS207" s="382"/>
      <c r="AT207" s="382"/>
      <c r="AU207" s="382"/>
      <c r="AV207" s="382"/>
      <c r="AW207" s="382"/>
      <c r="AX207" s="382"/>
      <c r="AY207" s="382"/>
      <c r="AZ207" s="382"/>
      <c r="BA207" s="382"/>
      <c r="BB207" s="382"/>
      <c r="BC207" s="382"/>
      <c r="BD207" s="382"/>
      <c r="BE207" s="382"/>
      <c r="BF207" s="382"/>
      <c r="BG207" s="382"/>
      <c r="BH207" s="382"/>
      <c r="BI207" s="382"/>
      <c r="BJ207" s="382"/>
      <c r="BK207" s="382"/>
      <c r="BL207" s="382"/>
      <c r="BM207" s="382"/>
      <c r="BN207" s="382"/>
      <c r="BO207" s="382"/>
    </row>
    <row r="208" spans="1:67" s="88" customFormat="1" ht="10.55" customHeight="1" x14ac:dyDescent="0.2">
      <c r="A208" s="675"/>
      <c r="B208" s="2807"/>
      <c r="C208" s="2808"/>
      <c r="D208" s="2809"/>
      <c r="E208" s="2561"/>
      <c r="F208" s="2562"/>
      <c r="G208" s="1015"/>
      <c r="H208" s="524"/>
      <c r="I208" s="1409">
        <f t="shared" si="44"/>
        <v>0</v>
      </c>
      <c r="J208" s="1421">
        <f t="shared" si="45"/>
        <v>0</v>
      </c>
      <c r="K208" s="679"/>
      <c r="L208" s="1002"/>
      <c r="M208" s="1428">
        <f t="shared" si="46"/>
        <v>0</v>
      </c>
      <c r="N208" s="1111"/>
      <c r="O208" s="674">
        <f t="shared" si="47"/>
        <v>0</v>
      </c>
      <c r="P208" s="682"/>
      <c r="Q208" s="286"/>
      <c r="R208" s="287"/>
      <c r="S208" s="280"/>
      <c r="T208" s="280"/>
      <c r="U208" s="280"/>
      <c r="V208" s="280"/>
      <c r="W208" s="280"/>
      <c r="X208" s="280"/>
      <c r="Y208" s="280"/>
      <c r="Z208" s="284"/>
      <c r="AA208" s="284"/>
      <c r="AB208" s="284"/>
      <c r="AC208" s="284"/>
      <c r="AD208" s="284"/>
      <c r="AE208" s="284"/>
      <c r="AF208" s="447"/>
      <c r="AG208" s="447"/>
      <c r="AH208" s="447"/>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382"/>
      <c r="BM208" s="382"/>
      <c r="BN208" s="382"/>
      <c r="BO208" s="382"/>
    </row>
    <row r="209" spans="1:67" s="88" customFormat="1" ht="10.55" customHeight="1" x14ac:dyDescent="0.2">
      <c r="A209" s="675"/>
      <c r="B209" s="2807"/>
      <c r="C209" s="2808"/>
      <c r="D209" s="2809"/>
      <c r="E209" s="2561"/>
      <c r="F209" s="2562"/>
      <c r="G209" s="1015"/>
      <c r="H209" s="524"/>
      <c r="I209" s="1409">
        <f t="shared" si="44"/>
        <v>0</v>
      </c>
      <c r="J209" s="1421">
        <f t="shared" si="45"/>
        <v>0</v>
      </c>
      <c r="K209" s="679"/>
      <c r="L209" s="1002"/>
      <c r="M209" s="1428">
        <f t="shared" si="46"/>
        <v>0</v>
      </c>
      <c r="N209" s="1111"/>
      <c r="O209" s="674">
        <f t="shared" si="47"/>
        <v>0</v>
      </c>
      <c r="P209" s="682"/>
      <c r="Q209" s="286"/>
      <c r="R209" s="287"/>
      <c r="S209" s="280"/>
      <c r="T209" s="280"/>
      <c r="U209" s="280"/>
      <c r="V209" s="280"/>
      <c r="W209" s="280"/>
      <c r="X209" s="280"/>
      <c r="Y209" s="280"/>
      <c r="Z209" s="284"/>
      <c r="AA209" s="284"/>
      <c r="AB209" s="284"/>
      <c r="AC209" s="284"/>
      <c r="AD209" s="284"/>
      <c r="AE209" s="284"/>
      <c r="AF209" s="447"/>
      <c r="AG209" s="447"/>
      <c r="AH209" s="447"/>
      <c r="AI209" s="382"/>
      <c r="AJ209" s="382"/>
      <c r="AK209" s="382"/>
      <c r="AL209" s="382"/>
      <c r="AM209" s="382"/>
      <c r="AN209" s="382"/>
      <c r="AO209" s="382"/>
      <c r="AP209" s="382"/>
      <c r="AQ209" s="382"/>
      <c r="AR209" s="382"/>
      <c r="AS209" s="382"/>
      <c r="AT209" s="382"/>
      <c r="AU209" s="382"/>
      <c r="AV209" s="382"/>
      <c r="AW209" s="382"/>
      <c r="AX209" s="382"/>
      <c r="AY209" s="382"/>
      <c r="AZ209" s="382"/>
      <c r="BA209" s="382"/>
      <c r="BB209" s="382"/>
      <c r="BC209" s="382"/>
      <c r="BD209" s="382"/>
      <c r="BE209" s="382"/>
      <c r="BF209" s="382"/>
      <c r="BG209" s="382"/>
      <c r="BH209" s="382"/>
      <c r="BI209" s="382"/>
      <c r="BJ209" s="382"/>
      <c r="BK209" s="382"/>
      <c r="BL209" s="382"/>
      <c r="BM209" s="382"/>
      <c r="BN209" s="382"/>
      <c r="BO209" s="382"/>
    </row>
    <row r="210" spans="1:67" s="88" customFormat="1" ht="10.55" customHeight="1" x14ac:dyDescent="0.2">
      <c r="A210" s="1017"/>
      <c r="B210" s="2804"/>
      <c r="C210" s="2805"/>
      <c r="D210" s="2806"/>
      <c r="E210" s="2793"/>
      <c r="F210" s="2794"/>
      <c r="G210" s="1018"/>
      <c r="H210" s="1019"/>
      <c r="I210" s="1436">
        <f t="shared" si="44"/>
        <v>0</v>
      </c>
      <c r="J210" s="1422"/>
      <c r="K210" s="680"/>
      <c r="L210" s="1020"/>
      <c r="M210" s="1429">
        <f t="shared" si="46"/>
        <v>0</v>
      </c>
      <c r="N210" s="1111"/>
      <c r="O210" s="674">
        <f t="shared" si="47"/>
        <v>0</v>
      </c>
      <c r="P210" s="682"/>
      <c r="Q210" s="286"/>
      <c r="R210" s="287"/>
      <c r="S210" s="280"/>
      <c r="T210" s="280"/>
      <c r="U210" s="280"/>
      <c r="V210" s="280"/>
      <c r="W210" s="280"/>
      <c r="X210" s="280"/>
      <c r="Y210" s="280"/>
      <c r="Z210" s="284"/>
      <c r="AA210" s="284"/>
      <c r="AB210" s="284"/>
      <c r="AC210" s="284"/>
      <c r="AD210" s="284"/>
      <c r="AE210" s="284"/>
      <c r="AF210" s="447"/>
      <c r="AG210" s="447"/>
      <c r="AH210" s="447"/>
      <c r="AI210" s="382"/>
      <c r="AJ210" s="382"/>
      <c r="AK210" s="382"/>
      <c r="AL210" s="382"/>
      <c r="AM210" s="382"/>
      <c r="AN210" s="382"/>
      <c r="AO210" s="382"/>
      <c r="AP210" s="382"/>
      <c r="AQ210" s="382"/>
      <c r="AR210" s="382"/>
      <c r="AS210" s="382"/>
      <c r="AT210" s="382"/>
      <c r="AU210" s="382"/>
      <c r="AV210" s="382"/>
      <c r="AW210" s="382"/>
      <c r="AX210" s="382"/>
      <c r="AY210" s="382"/>
      <c r="AZ210" s="382"/>
      <c r="BA210" s="382"/>
      <c r="BB210" s="382"/>
      <c r="BC210" s="382"/>
      <c r="BD210" s="382"/>
      <c r="BE210" s="382"/>
      <c r="BF210" s="382"/>
      <c r="BG210" s="382"/>
      <c r="BH210" s="382"/>
      <c r="BI210" s="382"/>
      <c r="BJ210" s="382"/>
      <c r="BK210" s="382"/>
      <c r="BL210" s="382"/>
      <c r="BM210" s="382"/>
      <c r="BN210" s="382"/>
      <c r="BO210" s="382"/>
    </row>
    <row r="211" spans="1:67" s="88" customFormat="1" ht="10.55" customHeight="1" x14ac:dyDescent="0.2">
      <c r="A211" s="1122" t="s">
        <v>386</v>
      </c>
      <c r="B211" s="2783"/>
      <c r="C211" s="2784"/>
      <c r="D211" s="2785"/>
      <c r="E211" s="2810">
        <f>SUM(E212:E224)</f>
        <v>0</v>
      </c>
      <c r="F211" s="2811"/>
      <c r="G211" s="2747"/>
      <c r="H211" s="2748"/>
      <c r="I211" s="1435">
        <f>IF(E211=0,0,J211/E211)</f>
        <v>0</v>
      </c>
      <c r="J211" s="1423">
        <f>SUM(J212:J224)</f>
        <v>0</v>
      </c>
      <c r="K211" s="2749">
        <f>IF(E211=0,0,M211/E211*100)</f>
        <v>0</v>
      </c>
      <c r="L211" s="2750"/>
      <c r="M211" s="1430">
        <f>SUM(M212:M224)</f>
        <v>0</v>
      </c>
      <c r="N211" s="1111"/>
      <c r="O211" s="387">
        <f>IF(H211="",G211,H211)</f>
        <v>0</v>
      </c>
      <c r="P211" s="682"/>
      <c r="Q211" s="286"/>
      <c r="R211" s="287"/>
      <c r="S211" s="280"/>
      <c r="T211" s="280"/>
      <c r="U211" s="280"/>
      <c r="V211" s="280"/>
      <c r="W211" s="280"/>
      <c r="X211" s="280"/>
      <c r="Y211" s="280"/>
      <c r="Z211" s="284"/>
      <c r="AA211" s="284"/>
      <c r="AB211" s="284"/>
      <c r="AC211" s="284"/>
      <c r="AD211" s="284"/>
      <c r="AE211" s="284"/>
      <c r="AF211" s="447"/>
      <c r="AG211" s="447"/>
      <c r="AH211" s="447"/>
      <c r="AI211" s="382"/>
      <c r="AJ211" s="382"/>
      <c r="AK211" s="382"/>
      <c r="AL211" s="382"/>
      <c r="AM211" s="382"/>
      <c r="AN211" s="382"/>
      <c r="AO211" s="382"/>
      <c r="AP211" s="382"/>
      <c r="AQ211" s="382"/>
      <c r="AR211" s="382"/>
      <c r="AS211" s="382"/>
      <c r="AT211" s="382"/>
      <c r="AU211" s="382"/>
      <c r="AV211" s="382"/>
      <c r="AW211" s="382"/>
      <c r="AX211" s="382"/>
      <c r="AY211" s="382"/>
      <c r="AZ211" s="382"/>
      <c r="BA211" s="382"/>
      <c r="BB211" s="382"/>
      <c r="BC211" s="382"/>
      <c r="BD211" s="382"/>
      <c r="BE211" s="382"/>
      <c r="BF211" s="382"/>
      <c r="BG211" s="382"/>
      <c r="BH211" s="382"/>
      <c r="BI211" s="382"/>
      <c r="BJ211" s="382"/>
      <c r="BK211" s="382"/>
      <c r="BL211" s="382"/>
      <c r="BM211" s="382"/>
      <c r="BN211" s="382"/>
      <c r="BO211" s="382"/>
    </row>
    <row r="212" spans="1:67" s="88" customFormat="1" ht="10.55" customHeight="1" x14ac:dyDescent="0.2">
      <c r="A212" s="1013" t="s">
        <v>387</v>
      </c>
      <c r="B212" s="2790"/>
      <c r="C212" s="2791"/>
      <c r="D212" s="2792"/>
      <c r="E212" s="2734"/>
      <c r="F212" s="2735"/>
      <c r="G212" s="1785">
        <v>30</v>
      </c>
      <c r="H212" s="524"/>
      <c r="I212" s="1409">
        <f t="shared" ref="I212:I225" si="48">IF($O212&gt;0,-PMT(($I$9),$O212,1),0)</f>
        <v>4.7777640736176463E-2</v>
      </c>
      <c r="J212" s="1421">
        <f t="shared" ref="J212:J224" si="49">ROUND(E212*I212,0)</f>
        <v>0</v>
      </c>
      <c r="K212" s="678">
        <v>0.5</v>
      </c>
      <c r="L212" s="1002"/>
      <c r="M212" s="1428">
        <f t="shared" ref="M212:M225" si="50">ROUND(E212/100*IF(ISBLANK(L212),K212,L212),0)</f>
        <v>0</v>
      </c>
      <c r="N212" s="1111"/>
      <c r="O212" s="674">
        <f t="shared" ref="O212:O225" si="51">IF(ISBLANK(H212),G212,H212)</f>
        <v>30</v>
      </c>
      <c r="P212" s="682"/>
      <c r="Q212" s="286"/>
      <c r="R212" s="287"/>
      <c r="S212" s="280"/>
      <c r="T212" s="280"/>
      <c r="U212" s="280"/>
      <c r="V212" s="280"/>
      <c r="W212" s="280"/>
      <c r="X212" s="280"/>
      <c r="Y212" s="280"/>
      <c r="Z212" s="284"/>
      <c r="AA212" s="284"/>
      <c r="AB212" s="284"/>
      <c r="AC212" s="284"/>
      <c r="AD212" s="284"/>
      <c r="AE212" s="284"/>
      <c r="AF212" s="447"/>
      <c r="AG212" s="447"/>
      <c r="AH212" s="447"/>
      <c r="AI212" s="382"/>
      <c r="AJ212" s="382"/>
      <c r="AK212" s="382"/>
      <c r="AL212" s="382"/>
      <c r="AM212" s="382"/>
      <c r="AN212" s="382"/>
      <c r="AO212" s="382"/>
      <c r="AP212" s="382"/>
      <c r="AQ212" s="382"/>
      <c r="AR212" s="382"/>
      <c r="AS212" s="382"/>
      <c r="AT212" s="382"/>
      <c r="AU212" s="382"/>
      <c r="AV212" s="382"/>
      <c r="AW212" s="382"/>
      <c r="AX212" s="382"/>
      <c r="AY212" s="382"/>
      <c r="AZ212" s="382"/>
      <c r="BA212" s="382"/>
      <c r="BB212" s="382"/>
      <c r="BC212" s="382"/>
      <c r="BD212" s="382"/>
      <c r="BE212" s="382"/>
      <c r="BF212" s="382"/>
      <c r="BG212" s="382"/>
      <c r="BH212" s="382"/>
      <c r="BI212" s="382"/>
      <c r="BJ212" s="382"/>
      <c r="BK212" s="382"/>
      <c r="BL212" s="382"/>
      <c r="BM212" s="382"/>
      <c r="BN212" s="382"/>
      <c r="BO212" s="382"/>
    </row>
    <row r="213" spans="1:67" s="88" customFormat="1" ht="10.55" customHeight="1" x14ac:dyDescent="0.2">
      <c r="A213" s="1013" t="s">
        <v>388</v>
      </c>
      <c r="B213" s="2807"/>
      <c r="C213" s="2808"/>
      <c r="D213" s="2809"/>
      <c r="E213" s="2561"/>
      <c r="F213" s="2562"/>
      <c r="G213" s="1785">
        <v>30</v>
      </c>
      <c r="H213" s="524"/>
      <c r="I213" s="1409">
        <f t="shared" si="48"/>
        <v>4.7777640736176463E-2</v>
      </c>
      <c r="J213" s="1421">
        <f t="shared" si="49"/>
        <v>0</v>
      </c>
      <c r="K213" s="678">
        <v>1.5</v>
      </c>
      <c r="L213" s="1002"/>
      <c r="M213" s="1428">
        <f t="shared" si="50"/>
        <v>0</v>
      </c>
      <c r="N213" s="1111"/>
      <c r="O213" s="674">
        <f t="shared" si="51"/>
        <v>30</v>
      </c>
      <c r="P213" s="682"/>
      <c r="Q213" s="286"/>
      <c r="R213" s="287"/>
      <c r="S213" s="280"/>
      <c r="T213" s="280"/>
      <c r="U213" s="280"/>
      <c r="V213" s="280"/>
      <c r="W213" s="280"/>
      <c r="X213" s="280"/>
      <c r="Y213" s="280"/>
      <c r="Z213" s="284"/>
      <c r="AA213" s="284"/>
      <c r="AB213" s="284"/>
      <c r="AC213" s="284"/>
      <c r="AD213" s="284"/>
      <c r="AE213" s="284"/>
      <c r="AF213" s="447"/>
      <c r="AG213" s="447"/>
      <c r="AH213" s="447"/>
      <c r="AI213" s="382"/>
      <c r="AJ213" s="382"/>
      <c r="AK213" s="382"/>
      <c r="AL213" s="382"/>
      <c r="AM213" s="382"/>
      <c r="AN213" s="382"/>
      <c r="AO213" s="382"/>
      <c r="AP213" s="382"/>
      <c r="AQ213" s="382"/>
      <c r="AR213" s="382"/>
      <c r="AS213" s="382"/>
      <c r="AT213" s="382"/>
      <c r="AU213" s="382"/>
      <c r="AV213" s="382"/>
      <c r="AW213" s="382"/>
      <c r="AX213" s="382"/>
      <c r="AY213" s="382"/>
      <c r="AZ213" s="382"/>
      <c r="BA213" s="382"/>
      <c r="BB213" s="382"/>
      <c r="BC213" s="382"/>
      <c r="BD213" s="382"/>
      <c r="BE213" s="382"/>
      <c r="BF213" s="382"/>
      <c r="BG213" s="382"/>
      <c r="BH213" s="382"/>
      <c r="BI213" s="382"/>
      <c r="BJ213" s="382"/>
      <c r="BK213" s="382"/>
      <c r="BL213" s="382"/>
      <c r="BM213" s="382"/>
      <c r="BN213" s="382"/>
      <c r="BO213" s="382"/>
    </row>
    <row r="214" spans="1:67" s="88" customFormat="1" ht="10.55" customHeight="1" x14ac:dyDescent="0.2">
      <c r="A214" s="1013" t="s">
        <v>389</v>
      </c>
      <c r="B214" s="2807"/>
      <c r="C214" s="2808"/>
      <c r="D214" s="2809"/>
      <c r="E214" s="2561"/>
      <c r="F214" s="2562"/>
      <c r="G214" s="1785">
        <v>30</v>
      </c>
      <c r="H214" s="524"/>
      <c r="I214" s="1409">
        <f t="shared" si="48"/>
        <v>4.7777640736176463E-2</v>
      </c>
      <c r="J214" s="1421">
        <f t="shared" si="49"/>
        <v>0</v>
      </c>
      <c r="K214" s="678">
        <v>1.5</v>
      </c>
      <c r="L214" s="1002"/>
      <c r="M214" s="1428">
        <f t="shared" si="50"/>
        <v>0</v>
      </c>
      <c r="N214" s="1111"/>
      <c r="O214" s="674">
        <f t="shared" si="51"/>
        <v>30</v>
      </c>
      <c r="P214" s="682"/>
      <c r="Q214" s="286"/>
      <c r="R214" s="287"/>
      <c r="S214" s="280"/>
      <c r="T214" s="280"/>
      <c r="U214" s="280"/>
      <c r="V214" s="280"/>
      <c r="W214" s="280"/>
      <c r="X214" s="280"/>
      <c r="Y214" s="280"/>
      <c r="Z214" s="284"/>
      <c r="AA214" s="284"/>
      <c r="AB214" s="284"/>
      <c r="AC214" s="284"/>
      <c r="AD214" s="284"/>
      <c r="AE214" s="284"/>
      <c r="AF214" s="447"/>
      <c r="AG214" s="447"/>
      <c r="AH214" s="447"/>
      <c r="AI214" s="382"/>
      <c r="AJ214" s="382"/>
      <c r="AK214" s="382"/>
      <c r="AL214" s="382"/>
      <c r="AM214" s="382"/>
      <c r="AN214" s="382"/>
      <c r="AO214" s="382"/>
      <c r="AP214" s="382"/>
      <c r="AQ214" s="382"/>
      <c r="AR214" s="382"/>
      <c r="AS214" s="382"/>
      <c r="AT214" s="382"/>
      <c r="AU214" s="382"/>
      <c r="AV214" s="382"/>
      <c r="AW214" s="382"/>
      <c r="AX214" s="382"/>
      <c r="AY214" s="382"/>
      <c r="AZ214" s="382"/>
      <c r="BA214" s="382"/>
      <c r="BB214" s="382"/>
      <c r="BC214" s="382"/>
      <c r="BD214" s="382"/>
      <c r="BE214" s="382"/>
      <c r="BF214" s="382"/>
      <c r="BG214" s="382"/>
      <c r="BH214" s="382"/>
      <c r="BI214" s="382"/>
      <c r="BJ214" s="382"/>
      <c r="BK214" s="382"/>
      <c r="BL214" s="382"/>
      <c r="BM214" s="382"/>
      <c r="BN214" s="382"/>
      <c r="BO214" s="382"/>
    </row>
    <row r="215" spans="1:67" s="88" customFormat="1" ht="10.55" customHeight="1" x14ac:dyDescent="0.2">
      <c r="A215" s="1013" t="s">
        <v>461</v>
      </c>
      <c r="B215" s="2807"/>
      <c r="C215" s="2808"/>
      <c r="D215" s="2809"/>
      <c r="E215" s="2561"/>
      <c r="F215" s="2562"/>
      <c r="G215" s="1785">
        <v>30</v>
      </c>
      <c r="H215" s="524"/>
      <c r="I215" s="1409">
        <f t="shared" si="48"/>
        <v>4.7777640736176463E-2</v>
      </c>
      <c r="J215" s="1421">
        <f t="shared" si="49"/>
        <v>0</v>
      </c>
      <c r="K215" s="678">
        <v>1.5</v>
      </c>
      <c r="L215" s="1002"/>
      <c r="M215" s="1428">
        <f t="shared" si="50"/>
        <v>0</v>
      </c>
      <c r="N215" s="1111"/>
      <c r="O215" s="674">
        <f t="shared" si="51"/>
        <v>30</v>
      </c>
      <c r="P215" s="682"/>
      <c r="Q215" s="286"/>
      <c r="R215" s="287"/>
      <c r="S215" s="280"/>
      <c r="T215" s="280"/>
      <c r="U215" s="280"/>
      <c r="V215" s="280"/>
      <c r="W215" s="280"/>
      <c r="X215" s="280"/>
      <c r="Y215" s="280"/>
      <c r="Z215" s="284"/>
      <c r="AA215" s="284"/>
      <c r="AB215" s="284"/>
      <c r="AC215" s="284"/>
      <c r="AD215" s="284"/>
      <c r="AE215" s="284"/>
      <c r="AF215" s="447"/>
      <c r="AG215" s="447"/>
      <c r="AH215" s="447"/>
      <c r="AI215" s="382"/>
      <c r="AJ215" s="382"/>
      <c r="AK215" s="382"/>
      <c r="AL215" s="382"/>
      <c r="AM215" s="382"/>
      <c r="AN215" s="382"/>
      <c r="AO215" s="382"/>
      <c r="AP215" s="382"/>
      <c r="AQ215" s="382"/>
      <c r="AR215" s="382"/>
      <c r="AS215" s="382"/>
      <c r="AT215" s="382"/>
      <c r="AU215" s="382"/>
      <c r="AV215" s="382"/>
      <c r="AW215" s="382"/>
      <c r="AX215" s="382"/>
      <c r="AY215" s="382"/>
      <c r="AZ215" s="382"/>
      <c r="BA215" s="382"/>
      <c r="BB215" s="382"/>
      <c r="BC215" s="382"/>
      <c r="BD215" s="382"/>
      <c r="BE215" s="382"/>
      <c r="BF215" s="382"/>
      <c r="BG215" s="382"/>
      <c r="BH215" s="382"/>
      <c r="BI215" s="382"/>
      <c r="BJ215" s="382"/>
      <c r="BK215" s="382"/>
      <c r="BL215" s="382"/>
      <c r="BM215" s="382"/>
      <c r="BN215" s="382"/>
      <c r="BO215" s="382"/>
    </row>
    <row r="216" spans="1:67" s="88" customFormat="1" ht="10.55" customHeight="1" x14ac:dyDescent="0.2">
      <c r="A216" s="1013" t="s">
        <v>462</v>
      </c>
      <c r="B216" s="2807"/>
      <c r="C216" s="2808"/>
      <c r="D216" s="2809"/>
      <c r="E216" s="2561"/>
      <c r="F216" s="2562"/>
      <c r="G216" s="1785">
        <v>30</v>
      </c>
      <c r="H216" s="524"/>
      <c r="I216" s="1409">
        <f t="shared" si="48"/>
        <v>4.7777640736176463E-2</v>
      </c>
      <c r="J216" s="1421">
        <f t="shared" si="49"/>
        <v>0</v>
      </c>
      <c r="K216" s="678">
        <v>1.5</v>
      </c>
      <c r="L216" s="1002"/>
      <c r="M216" s="1428">
        <f t="shared" si="50"/>
        <v>0</v>
      </c>
      <c r="N216" s="1111"/>
      <c r="O216" s="674">
        <f t="shared" si="51"/>
        <v>30</v>
      </c>
      <c r="P216" s="682"/>
      <c r="Q216" s="286"/>
      <c r="R216" s="287"/>
      <c r="S216" s="280"/>
      <c r="T216" s="280"/>
      <c r="U216" s="280"/>
      <c r="V216" s="280"/>
      <c r="W216" s="280"/>
      <c r="X216" s="280"/>
      <c r="Y216" s="280"/>
      <c r="Z216" s="284"/>
      <c r="AA216" s="284"/>
      <c r="AB216" s="284"/>
      <c r="AC216" s="284"/>
      <c r="AD216" s="284"/>
      <c r="AE216" s="284"/>
      <c r="AF216" s="447"/>
      <c r="AG216" s="447"/>
      <c r="AH216" s="447"/>
      <c r="AI216" s="382"/>
      <c r="AJ216" s="382"/>
      <c r="AK216" s="382"/>
      <c r="AL216" s="382"/>
      <c r="AM216" s="382"/>
      <c r="AN216" s="382"/>
      <c r="AO216" s="382"/>
      <c r="AP216" s="382"/>
      <c r="AQ216" s="382"/>
      <c r="AR216" s="382"/>
      <c r="AS216" s="382"/>
      <c r="AT216" s="382"/>
      <c r="AU216" s="382"/>
      <c r="AV216" s="382"/>
      <c r="AW216" s="382"/>
      <c r="AX216" s="382"/>
      <c r="AY216" s="382"/>
      <c r="AZ216" s="382"/>
      <c r="BA216" s="382"/>
      <c r="BB216" s="382"/>
      <c r="BC216" s="382"/>
      <c r="BD216" s="382"/>
      <c r="BE216" s="382"/>
      <c r="BF216" s="382"/>
      <c r="BG216" s="382"/>
      <c r="BH216" s="382"/>
      <c r="BI216" s="382"/>
      <c r="BJ216" s="382"/>
      <c r="BK216" s="382"/>
      <c r="BL216" s="382"/>
      <c r="BM216" s="382"/>
      <c r="BN216" s="382"/>
      <c r="BO216" s="382"/>
    </row>
    <row r="217" spans="1:67" s="88" customFormat="1" ht="10.55" customHeight="1" x14ac:dyDescent="0.2">
      <c r="A217" s="675"/>
      <c r="B217" s="2807"/>
      <c r="C217" s="2808"/>
      <c r="D217" s="2809"/>
      <c r="E217" s="2561"/>
      <c r="F217" s="2562"/>
      <c r="G217" s="1015"/>
      <c r="H217" s="524"/>
      <c r="I217" s="1409">
        <f t="shared" si="48"/>
        <v>0</v>
      </c>
      <c r="J217" s="1421">
        <f t="shared" si="49"/>
        <v>0</v>
      </c>
      <c r="K217" s="679"/>
      <c r="L217" s="1002"/>
      <c r="M217" s="1428">
        <f t="shared" si="50"/>
        <v>0</v>
      </c>
      <c r="N217" s="1111"/>
      <c r="O217" s="674">
        <f t="shared" si="51"/>
        <v>0</v>
      </c>
      <c r="P217" s="682"/>
      <c r="Q217" s="286"/>
      <c r="R217" s="287"/>
      <c r="S217" s="280"/>
      <c r="T217" s="280"/>
      <c r="U217" s="280"/>
      <c r="V217" s="280"/>
      <c r="W217" s="280"/>
      <c r="X217" s="280"/>
      <c r="Y217" s="280"/>
      <c r="Z217" s="284"/>
      <c r="AA217" s="284"/>
      <c r="AB217" s="284"/>
      <c r="AC217" s="284"/>
      <c r="AD217" s="284"/>
      <c r="AE217" s="284"/>
      <c r="AF217" s="447"/>
      <c r="AG217" s="447"/>
      <c r="AH217" s="447"/>
      <c r="AI217" s="382"/>
      <c r="AJ217" s="382"/>
      <c r="AK217" s="382"/>
      <c r="AL217" s="382"/>
      <c r="AM217" s="382"/>
      <c r="AN217" s="382"/>
      <c r="AO217" s="382"/>
      <c r="AP217" s="382"/>
      <c r="AQ217" s="382"/>
      <c r="AR217" s="382"/>
      <c r="AS217" s="382"/>
      <c r="AT217" s="382"/>
      <c r="AU217" s="382"/>
      <c r="AV217" s="382"/>
      <c r="AW217" s="382"/>
      <c r="AX217" s="382"/>
      <c r="AY217" s="382"/>
      <c r="AZ217" s="382"/>
      <c r="BA217" s="382"/>
      <c r="BB217" s="382"/>
      <c r="BC217" s="382"/>
      <c r="BD217" s="382"/>
      <c r="BE217" s="382"/>
      <c r="BF217" s="382"/>
      <c r="BG217" s="382"/>
      <c r="BH217" s="382"/>
      <c r="BI217" s="382"/>
      <c r="BJ217" s="382"/>
      <c r="BK217" s="382"/>
      <c r="BL217" s="382"/>
      <c r="BM217" s="382"/>
      <c r="BN217" s="382"/>
      <c r="BO217" s="382"/>
    </row>
    <row r="218" spans="1:67" s="88" customFormat="1" ht="10.55" customHeight="1" x14ac:dyDescent="0.2">
      <c r="A218" s="675"/>
      <c r="B218" s="2807"/>
      <c r="C218" s="2808"/>
      <c r="D218" s="2809"/>
      <c r="E218" s="2561"/>
      <c r="F218" s="2562"/>
      <c r="G218" s="1015"/>
      <c r="H218" s="524"/>
      <c r="I218" s="1409">
        <f t="shared" si="48"/>
        <v>0</v>
      </c>
      <c r="J218" s="1421">
        <f t="shared" si="49"/>
        <v>0</v>
      </c>
      <c r="K218" s="679"/>
      <c r="L218" s="1002"/>
      <c r="M218" s="1428">
        <f t="shared" si="50"/>
        <v>0</v>
      </c>
      <c r="N218" s="1111"/>
      <c r="O218" s="674">
        <f t="shared" si="51"/>
        <v>0</v>
      </c>
      <c r="P218" s="682"/>
      <c r="Q218" s="286"/>
      <c r="R218" s="287"/>
      <c r="S218" s="280"/>
      <c r="T218" s="280"/>
      <c r="U218" s="280"/>
      <c r="V218" s="280"/>
      <c r="W218" s="280"/>
      <c r="X218" s="280"/>
      <c r="Y218" s="280"/>
      <c r="Z218" s="284"/>
      <c r="AA218" s="284"/>
      <c r="AB218" s="284"/>
      <c r="AC218" s="284"/>
      <c r="AD218" s="284"/>
      <c r="AE218" s="284"/>
      <c r="AF218" s="447"/>
      <c r="AG218" s="447"/>
      <c r="AH218" s="447"/>
      <c r="AI218" s="382"/>
      <c r="AJ218" s="382"/>
      <c r="AK218" s="382"/>
      <c r="AL218" s="382"/>
      <c r="AM218" s="382"/>
      <c r="AN218" s="382"/>
      <c r="AO218" s="382"/>
      <c r="AP218" s="382"/>
      <c r="AQ218" s="382"/>
      <c r="AR218" s="382"/>
      <c r="AS218" s="382"/>
      <c r="AT218" s="382"/>
      <c r="AU218" s="382"/>
      <c r="AV218" s="382"/>
      <c r="AW218" s="382"/>
      <c r="AX218" s="382"/>
      <c r="AY218" s="382"/>
      <c r="AZ218" s="382"/>
      <c r="BA218" s="382"/>
      <c r="BB218" s="382"/>
      <c r="BC218" s="382"/>
      <c r="BD218" s="382"/>
      <c r="BE218" s="382"/>
      <c r="BF218" s="382"/>
      <c r="BG218" s="382"/>
      <c r="BH218" s="382"/>
      <c r="BI218" s="382"/>
      <c r="BJ218" s="382"/>
      <c r="BK218" s="382"/>
      <c r="BL218" s="382"/>
      <c r="BM218" s="382"/>
      <c r="BN218" s="382"/>
      <c r="BO218" s="382"/>
    </row>
    <row r="219" spans="1:67" s="88" customFormat="1" ht="10.55" customHeight="1" x14ac:dyDescent="0.2">
      <c r="A219" s="675"/>
      <c r="B219" s="2807"/>
      <c r="C219" s="2808"/>
      <c r="D219" s="2809"/>
      <c r="E219" s="2561"/>
      <c r="F219" s="2562"/>
      <c r="G219" s="1015"/>
      <c r="H219" s="524"/>
      <c r="I219" s="1409">
        <f t="shared" si="48"/>
        <v>0</v>
      </c>
      <c r="J219" s="1421">
        <f t="shared" si="49"/>
        <v>0</v>
      </c>
      <c r="K219" s="679"/>
      <c r="L219" s="1002"/>
      <c r="M219" s="1428">
        <f t="shared" si="50"/>
        <v>0</v>
      </c>
      <c r="N219" s="1111"/>
      <c r="O219" s="674">
        <f t="shared" si="51"/>
        <v>0</v>
      </c>
      <c r="P219" s="682"/>
      <c r="Q219" s="286"/>
      <c r="R219" s="287"/>
      <c r="S219" s="280"/>
      <c r="T219" s="280"/>
      <c r="U219" s="280"/>
      <c r="V219" s="280"/>
      <c r="W219" s="280"/>
      <c r="X219" s="280"/>
      <c r="Y219" s="280"/>
      <c r="Z219" s="284"/>
      <c r="AA219" s="284"/>
      <c r="AB219" s="284"/>
      <c r="AC219" s="284"/>
      <c r="AD219" s="284"/>
      <c r="AE219" s="284"/>
      <c r="AF219" s="447"/>
      <c r="AG219" s="447"/>
      <c r="AH219" s="447"/>
      <c r="AI219" s="382"/>
      <c r="AJ219" s="382"/>
      <c r="AK219" s="382"/>
      <c r="AL219" s="382"/>
      <c r="AM219" s="382"/>
      <c r="AN219" s="382"/>
      <c r="AO219" s="382"/>
      <c r="AP219" s="382"/>
      <c r="AQ219" s="382"/>
      <c r="AR219" s="382"/>
      <c r="AS219" s="382"/>
      <c r="AT219" s="382"/>
      <c r="AU219" s="382"/>
      <c r="AV219" s="382"/>
      <c r="AW219" s="382"/>
      <c r="AX219" s="382"/>
      <c r="AY219" s="382"/>
      <c r="AZ219" s="382"/>
      <c r="BA219" s="382"/>
      <c r="BB219" s="382"/>
      <c r="BC219" s="382"/>
      <c r="BD219" s="382"/>
      <c r="BE219" s="382"/>
      <c r="BF219" s="382"/>
      <c r="BG219" s="382"/>
      <c r="BH219" s="382"/>
      <c r="BI219" s="382"/>
      <c r="BJ219" s="382"/>
      <c r="BK219" s="382"/>
      <c r="BL219" s="382"/>
      <c r="BM219" s="382"/>
      <c r="BN219" s="382"/>
      <c r="BO219" s="382"/>
    </row>
    <row r="220" spans="1:67" s="88" customFormat="1" ht="10.55" customHeight="1" x14ac:dyDescent="0.2">
      <c r="A220" s="675"/>
      <c r="B220" s="2807"/>
      <c r="C220" s="2808"/>
      <c r="D220" s="2809"/>
      <c r="E220" s="2561"/>
      <c r="F220" s="2562"/>
      <c r="G220" s="1015"/>
      <c r="H220" s="524"/>
      <c r="I220" s="1409">
        <f t="shared" si="48"/>
        <v>0</v>
      </c>
      <c r="J220" s="1421">
        <f t="shared" si="49"/>
        <v>0</v>
      </c>
      <c r="K220" s="679"/>
      <c r="L220" s="1002"/>
      <c r="M220" s="1428">
        <f t="shared" si="50"/>
        <v>0</v>
      </c>
      <c r="N220" s="1111"/>
      <c r="O220" s="674">
        <f t="shared" si="51"/>
        <v>0</v>
      </c>
      <c r="P220" s="682"/>
      <c r="Q220" s="286"/>
      <c r="R220" s="287"/>
      <c r="S220" s="280"/>
      <c r="T220" s="280"/>
      <c r="U220" s="280"/>
      <c r="V220" s="280"/>
      <c r="W220" s="280"/>
      <c r="X220" s="280"/>
      <c r="Y220" s="280"/>
      <c r="Z220" s="284"/>
      <c r="AA220" s="284"/>
      <c r="AB220" s="284"/>
      <c r="AC220" s="284"/>
      <c r="AD220" s="284"/>
      <c r="AE220" s="284"/>
      <c r="AF220" s="447"/>
      <c r="AG220" s="447"/>
      <c r="AH220" s="447"/>
      <c r="AI220" s="382"/>
      <c r="AJ220" s="382"/>
      <c r="AK220" s="382"/>
      <c r="AL220" s="382"/>
      <c r="AM220" s="382"/>
      <c r="AN220" s="382"/>
      <c r="AO220" s="382"/>
      <c r="AP220" s="382"/>
      <c r="AQ220" s="382"/>
      <c r="AR220" s="382"/>
      <c r="AS220" s="382"/>
      <c r="AT220" s="382"/>
      <c r="AU220" s="382"/>
      <c r="AV220" s="382"/>
      <c r="AW220" s="382"/>
      <c r="AX220" s="382"/>
      <c r="AY220" s="382"/>
      <c r="AZ220" s="382"/>
      <c r="BA220" s="382"/>
      <c r="BB220" s="382"/>
      <c r="BC220" s="382"/>
      <c r="BD220" s="382"/>
      <c r="BE220" s="382"/>
      <c r="BF220" s="382"/>
      <c r="BG220" s="382"/>
      <c r="BH220" s="382"/>
      <c r="BI220" s="382"/>
      <c r="BJ220" s="382"/>
      <c r="BK220" s="382"/>
      <c r="BL220" s="382"/>
      <c r="BM220" s="382"/>
      <c r="BN220" s="382"/>
      <c r="BO220" s="382"/>
    </row>
    <row r="221" spans="1:67" s="88" customFormat="1" ht="10.55" customHeight="1" x14ac:dyDescent="0.2">
      <c r="A221" s="675"/>
      <c r="B221" s="2807"/>
      <c r="C221" s="2808"/>
      <c r="D221" s="2809"/>
      <c r="E221" s="2561"/>
      <c r="F221" s="2562"/>
      <c r="G221" s="1015"/>
      <c r="H221" s="524"/>
      <c r="I221" s="1409">
        <f t="shared" si="48"/>
        <v>0</v>
      </c>
      <c r="J221" s="1421">
        <f t="shared" si="49"/>
        <v>0</v>
      </c>
      <c r="K221" s="679"/>
      <c r="L221" s="1002"/>
      <c r="M221" s="1428">
        <f t="shared" si="50"/>
        <v>0</v>
      </c>
      <c r="N221" s="1111"/>
      <c r="O221" s="674">
        <f t="shared" si="51"/>
        <v>0</v>
      </c>
      <c r="P221" s="682"/>
      <c r="Q221" s="286"/>
      <c r="R221" s="287"/>
      <c r="S221" s="280"/>
      <c r="T221" s="280"/>
      <c r="U221" s="280"/>
      <c r="V221" s="280"/>
      <c r="W221" s="280"/>
      <c r="X221" s="280"/>
      <c r="Y221" s="280"/>
      <c r="Z221" s="284"/>
      <c r="AA221" s="284"/>
      <c r="AB221" s="284"/>
      <c r="AC221" s="284"/>
      <c r="AD221" s="284"/>
      <c r="AE221" s="284"/>
      <c r="AF221" s="447"/>
      <c r="AG221" s="447"/>
      <c r="AH221" s="447"/>
      <c r="AI221" s="382"/>
      <c r="AJ221" s="382"/>
      <c r="AK221" s="382"/>
      <c r="AL221" s="382"/>
      <c r="AM221" s="382"/>
      <c r="AN221" s="382"/>
      <c r="AO221" s="382"/>
      <c r="AP221" s="382"/>
      <c r="AQ221" s="382"/>
      <c r="AR221" s="382"/>
      <c r="AS221" s="382"/>
      <c r="AT221" s="382"/>
      <c r="AU221" s="382"/>
      <c r="AV221" s="382"/>
      <c r="AW221" s="382"/>
      <c r="AX221" s="382"/>
      <c r="AY221" s="382"/>
      <c r="AZ221" s="382"/>
      <c r="BA221" s="382"/>
      <c r="BB221" s="382"/>
      <c r="BC221" s="382"/>
      <c r="BD221" s="382"/>
      <c r="BE221" s="382"/>
      <c r="BF221" s="382"/>
      <c r="BG221" s="382"/>
      <c r="BH221" s="382"/>
      <c r="BI221" s="382"/>
      <c r="BJ221" s="382"/>
      <c r="BK221" s="382"/>
      <c r="BL221" s="382"/>
      <c r="BM221" s="382"/>
      <c r="BN221" s="382"/>
      <c r="BO221" s="382"/>
    </row>
    <row r="222" spans="1:67" s="88" customFormat="1" ht="10.55" customHeight="1" x14ac:dyDescent="0.2">
      <c r="A222" s="675"/>
      <c r="B222" s="2807"/>
      <c r="C222" s="2808"/>
      <c r="D222" s="2809"/>
      <c r="E222" s="2561"/>
      <c r="F222" s="2562"/>
      <c r="G222" s="1015"/>
      <c r="H222" s="524"/>
      <c r="I222" s="1409">
        <f t="shared" si="48"/>
        <v>0</v>
      </c>
      <c r="J222" s="1421">
        <f t="shared" si="49"/>
        <v>0</v>
      </c>
      <c r="K222" s="679"/>
      <c r="L222" s="1002"/>
      <c r="M222" s="1428">
        <f t="shared" si="50"/>
        <v>0</v>
      </c>
      <c r="N222" s="1111"/>
      <c r="O222" s="674">
        <f t="shared" si="51"/>
        <v>0</v>
      </c>
      <c r="P222" s="682"/>
      <c r="Q222" s="286"/>
      <c r="R222" s="287"/>
      <c r="S222" s="280"/>
      <c r="T222" s="280"/>
      <c r="U222" s="280"/>
      <c r="V222" s="280"/>
      <c r="W222" s="280"/>
      <c r="X222" s="280"/>
      <c r="Y222" s="280"/>
      <c r="Z222" s="284"/>
      <c r="AA222" s="284"/>
      <c r="AB222" s="284"/>
      <c r="AC222" s="284"/>
      <c r="AD222" s="284"/>
      <c r="AE222" s="284"/>
      <c r="AF222" s="447"/>
      <c r="AG222" s="447"/>
      <c r="AH222" s="447"/>
      <c r="AI222" s="382"/>
      <c r="AJ222" s="382"/>
      <c r="AK222" s="382"/>
      <c r="AL222" s="382"/>
      <c r="AM222" s="382"/>
      <c r="AN222" s="382"/>
      <c r="AO222" s="382"/>
      <c r="AP222" s="382"/>
      <c r="AQ222" s="382"/>
      <c r="AR222" s="382"/>
      <c r="AS222" s="382"/>
      <c r="AT222" s="382"/>
      <c r="AU222" s="382"/>
      <c r="AV222" s="382"/>
      <c r="AW222" s="382"/>
      <c r="AX222" s="382"/>
      <c r="AY222" s="382"/>
      <c r="AZ222" s="382"/>
      <c r="BA222" s="382"/>
      <c r="BB222" s="382"/>
      <c r="BC222" s="382"/>
      <c r="BD222" s="382"/>
      <c r="BE222" s="382"/>
      <c r="BF222" s="382"/>
      <c r="BG222" s="382"/>
      <c r="BH222" s="382"/>
      <c r="BI222" s="382"/>
      <c r="BJ222" s="382"/>
      <c r="BK222" s="382"/>
      <c r="BL222" s="382"/>
      <c r="BM222" s="382"/>
      <c r="BN222" s="382"/>
      <c r="BO222" s="382"/>
    </row>
    <row r="223" spans="1:67" s="88" customFormat="1" ht="10.55" customHeight="1" x14ac:dyDescent="0.2">
      <c r="A223" s="675"/>
      <c r="B223" s="2807"/>
      <c r="C223" s="2808"/>
      <c r="D223" s="2809"/>
      <c r="E223" s="2561"/>
      <c r="F223" s="2562"/>
      <c r="G223" s="1015"/>
      <c r="H223" s="524"/>
      <c r="I223" s="1409">
        <f t="shared" si="48"/>
        <v>0</v>
      </c>
      <c r="J223" s="1421">
        <f t="shared" si="49"/>
        <v>0</v>
      </c>
      <c r="K223" s="679"/>
      <c r="L223" s="1002"/>
      <c r="M223" s="1428">
        <f t="shared" si="50"/>
        <v>0</v>
      </c>
      <c r="N223" s="1111"/>
      <c r="O223" s="674">
        <f t="shared" si="51"/>
        <v>0</v>
      </c>
      <c r="P223" s="682"/>
      <c r="Q223" s="286"/>
      <c r="R223" s="287"/>
      <c r="S223" s="280"/>
      <c r="T223" s="280"/>
      <c r="U223" s="280"/>
      <c r="V223" s="280"/>
      <c r="W223" s="280"/>
      <c r="X223" s="280"/>
      <c r="Y223" s="280"/>
      <c r="Z223" s="284"/>
      <c r="AA223" s="284"/>
      <c r="AB223" s="284"/>
      <c r="AC223" s="284"/>
      <c r="AD223" s="284"/>
      <c r="AE223" s="284"/>
      <c r="AF223" s="447"/>
      <c r="AG223" s="447"/>
      <c r="AH223" s="447"/>
      <c r="AI223" s="382"/>
      <c r="AJ223" s="382"/>
      <c r="AK223" s="382"/>
      <c r="AL223" s="382"/>
      <c r="AM223" s="382"/>
      <c r="AN223" s="382"/>
      <c r="AO223" s="382"/>
      <c r="AP223" s="382"/>
      <c r="AQ223" s="382"/>
      <c r="AR223" s="382"/>
      <c r="AS223" s="382"/>
      <c r="AT223" s="382"/>
      <c r="AU223" s="382"/>
      <c r="AV223" s="382"/>
      <c r="AW223" s="382"/>
      <c r="AX223" s="382"/>
      <c r="AY223" s="382"/>
      <c r="AZ223" s="382"/>
      <c r="BA223" s="382"/>
      <c r="BB223" s="382"/>
      <c r="BC223" s="382"/>
      <c r="BD223" s="382"/>
      <c r="BE223" s="382"/>
      <c r="BF223" s="382"/>
      <c r="BG223" s="382"/>
      <c r="BH223" s="382"/>
      <c r="BI223" s="382"/>
      <c r="BJ223" s="382"/>
      <c r="BK223" s="382"/>
      <c r="BL223" s="382"/>
      <c r="BM223" s="382"/>
      <c r="BN223" s="382"/>
      <c r="BO223" s="382"/>
    </row>
    <row r="224" spans="1:67" s="88" customFormat="1" ht="10.55" customHeight="1" x14ac:dyDescent="0.2">
      <c r="A224" s="675"/>
      <c r="B224" s="2807"/>
      <c r="C224" s="2808"/>
      <c r="D224" s="2809"/>
      <c r="E224" s="2561"/>
      <c r="F224" s="2562"/>
      <c r="G224" s="1015"/>
      <c r="H224" s="524"/>
      <c r="I224" s="1409">
        <f t="shared" si="48"/>
        <v>0</v>
      </c>
      <c r="J224" s="1421">
        <f t="shared" si="49"/>
        <v>0</v>
      </c>
      <c r="K224" s="679"/>
      <c r="L224" s="1002"/>
      <c r="M224" s="1428">
        <f t="shared" si="50"/>
        <v>0</v>
      </c>
      <c r="N224" s="1111"/>
      <c r="O224" s="674">
        <f t="shared" si="51"/>
        <v>0</v>
      </c>
      <c r="P224" s="682"/>
      <c r="Q224" s="286"/>
      <c r="R224" s="287"/>
      <c r="S224" s="280"/>
      <c r="T224" s="280"/>
      <c r="U224" s="280"/>
      <c r="V224" s="280"/>
      <c r="W224" s="280"/>
      <c r="X224" s="280"/>
      <c r="Y224" s="280"/>
      <c r="Z224" s="284"/>
      <c r="AA224" s="284"/>
      <c r="AB224" s="284"/>
      <c r="AC224" s="284"/>
      <c r="AD224" s="284"/>
      <c r="AE224" s="284"/>
      <c r="AF224" s="447"/>
      <c r="AG224" s="447"/>
      <c r="AH224" s="447"/>
      <c r="AI224" s="382"/>
      <c r="AJ224" s="382"/>
      <c r="AK224" s="382"/>
      <c r="AL224" s="382"/>
      <c r="AM224" s="382"/>
      <c r="AN224" s="382"/>
      <c r="AO224" s="382"/>
      <c r="AP224" s="382"/>
      <c r="AQ224" s="382"/>
      <c r="AR224" s="382"/>
      <c r="AS224" s="382"/>
      <c r="AT224" s="382"/>
      <c r="AU224" s="382"/>
      <c r="AV224" s="382"/>
      <c r="AW224" s="382"/>
      <c r="AX224" s="382"/>
      <c r="AY224" s="382"/>
      <c r="AZ224" s="382"/>
      <c r="BA224" s="382"/>
      <c r="BB224" s="382"/>
      <c r="BC224" s="382"/>
      <c r="BD224" s="382"/>
      <c r="BE224" s="382"/>
      <c r="BF224" s="382"/>
      <c r="BG224" s="382"/>
      <c r="BH224" s="382"/>
      <c r="BI224" s="382"/>
      <c r="BJ224" s="382"/>
      <c r="BK224" s="382"/>
      <c r="BL224" s="382"/>
      <c r="BM224" s="382"/>
      <c r="BN224" s="382"/>
      <c r="BO224" s="382"/>
    </row>
    <row r="225" spans="1:67" s="88" customFormat="1" ht="10.55" customHeight="1" x14ac:dyDescent="0.2">
      <c r="A225" s="1085"/>
      <c r="B225" s="2804"/>
      <c r="C225" s="2805"/>
      <c r="D225" s="2806"/>
      <c r="E225" s="2793"/>
      <c r="F225" s="2794"/>
      <c r="G225" s="1086"/>
      <c r="H225" s="1087"/>
      <c r="I225" s="1437">
        <f t="shared" si="48"/>
        <v>0</v>
      </c>
      <c r="J225" s="1413"/>
      <c r="K225" s="1088"/>
      <c r="L225" s="1089"/>
      <c r="M225" s="1431">
        <f t="shared" si="50"/>
        <v>0</v>
      </c>
      <c r="N225" s="1111"/>
      <c r="O225" s="674">
        <f t="shared" si="51"/>
        <v>0</v>
      </c>
      <c r="P225" s="682"/>
      <c r="Q225" s="286"/>
      <c r="R225" s="287"/>
      <c r="S225" s="280"/>
      <c r="T225" s="280"/>
      <c r="U225" s="280"/>
      <c r="V225" s="280"/>
      <c r="W225" s="280"/>
      <c r="X225" s="280"/>
      <c r="Y225" s="280"/>
      <c r="Z225" s="284"/>
      <c r="AA225" s="284"/>
      <c r="AB225" s="284"/>
      <c r="AC225" s="284"/>
      <c r="AD225" s="284"/>
      <c r="AE225" s="284"/>
      <c r="AF225" s="447"/>
      <c r="AG225" s="447"/>
      <c r="AH225" s="447"/>
      <c r="AI225" s="382"/>
      <c r="AJ225" s="382"/>
      <c r="AK225" s="382"/>
      <c r="AL225" s="382"/>
      <c r="AM225" s="382"/>
      <c r="AN225" s="382"/>
      <c r="AO225" s="382"/>
      <c r="AP225" s="382"/>
      <c r="AQ225" s="382"/>
      <c r="AR225" s="382"/>
      <c r="AS225" s="382"/>
      <c r="AT225" s="382"/>
      <c r="AU225" s="382"/>
      <c r="AV225" s="382"/>
      <c r="AW225" s="382"/>
      <c r="AX225" s="382"/>
      <c r="AY225" s="382"/>
      <c r="AZ225" s="382"/>
      <c r="BA225" s="382"/>
      <c r="BB225" s="382"/>
      <c r="BC225" s="382"/>
      <c r="BD225" s="382"/>
      <c r="BE225" s="382"/>
      <c r="BF225" s="382"/>
      <c r="BG225" s="382"/>
      <c r="BH225" s="382"/>
      <c r="BI225" s="382"/>
      <c r="BJ225" s="382"/>
      <c r="BK225" s="382"/>
      <c r="BL225" s="382"/>
      <c r="BM225" s="382"/>
      <c r="BN225" s="382"/>
      <c r="BO225" s="382"/>
    </row>
    <row r="226" spans="1:67" s="88" customFormat="1" ht="10.55" customHeight="1" x14ac:dyDescent="0.2">
      <c r="A226" s="1122" t="s">
        <v>390</v>
      </c>
      <c r="B226" s="2783"/>
      <c r="C226" s="2784"/>
      <c r="D226" s="2785"/>
      <c r="E226" s="2810">
        <f>SUM(E227:E239)</f>
        <v>0</v>
      </c>
      <c r="F226" s="2811"/>
      <c r="G226" s="2747"/>
      <c r="H226" s="2748"/>
      <c r="I226" s="1435">
        <f>IF(E226=0,0,J226/E226)</f>
        <v>0</v>
      </c>
      <c r="J226" s="1423">
        <f>SUM(J227:J239)</f>
        <v>0</v>
      </c>
      <c r="K226" s="2749">
        <f>IF(E226=0,0,M226/E226*100)</f>
        <v>0</v>
      </c>
      <c r="L226" s="2750"/>
      <c r="M226" s="1430">
        <f>SUM(M227:M239)</f>
        <v>0</v>
      </c>
      <c r="N226" s="1111"/>
      <c r="O226" s="387">
        <f>IF(H226="",G226,H226)</f>
        <v>0</v>
      </c>
      <c r="P226" s="682"/>
      <c r="Q226" s="286"/>
      <c r="R226" s="287"/>
      <c r="S226" s="280"/>
      <c r="T226" s="280"/>
      <c r="U226" s="280"/>
      <c r="V226" s="280"/>
      <c r="W226" s="280"/>
      <c r="X226" s="280"/>
      <c r="Y226" s="280"/>
      <c r="Z226" s="284"/>
      <c r="AA226" s="284"/>
      <c r="AB226" s="284"/>
      <c r="AC226" s="284"/>
      <c r="AD226" s="284"/>
      <c r="AE226" s="284"/>
      <c r="AF226" s="447"/>
      <c r="AG226" s="447"/>
      <c r="AH226" s="447"/>
      <c r="AI226" s="382"/>
      <c r="AJ226" s="382"/>
      <c r="AK226" s="382"/>
      <c r="AL226" s="382"/>
      <c r="AM226" s="382"/>
      <c r="AN226" s="382"/>
      <c r="AO226" s="382"/>
      <c r="AP226" s="382"/>
      <c r="AQ226" s="382"/>
      <c r="AR226" s="382"/>
      <c r="AS226" s="382"/>
      <c r="AT226" s="382"/>
      <c r="AU226" s="382"/>
      <c r="AV226" s="382"/>
      <c r="AW226" s="382"/>
      <c r="AX226" s="382"/>
      <c r="AY226" s="382"/>
      <c r="AZ226" s="382"/>
      <c r="BA226" s="382"/>
      <c r="BB226" s="382"/>
      <c r="BC226" s="382"/>
      <c r="BD226" s="382"/>
      <c r="BE226" s="382"/>
      <c r="BF226" s="382"/>
      <c r="BG226" s="382"/>
      <c r="BH226" s="382"/>
      <c r="BI226" s="382"/>
      <c r="BJ226" s="382"/>
      <c r="BK226" s="382"/>
      <c r="BL226" s="382"/>
      <c r="BM226" s="382"/>
      <c r="BN226" s="382"/>
      <c r="BO226" s="382"/>
    </row>
    <row r="227" spans="1:67" s="88" customFormat="1" ht="10.55" customHeight="1" x14ac:dyDescent="0.2">
      <c r="A227" s="1013" t="s">
        <v>391</v>
      </c>
      <c r="B227" s="2790"/>
      <c r="C227" s="2791"/>
      <c r="D227" s="2792"/>
      <c r="E227" s="2734"/>
      <c r="F227" s="2735"/>
      <c r="G227" s="1785">
        <v>30</v>
      </c>
      <c r="H227" s="524"/>
      <c r="I227" s="1409">
        <f t="shared" ref="I227:I240" si="52">IF($O227&gt;0,-PMT(($I$9),$O227,1),0)</f>
        <v>4.7777640736176463E-2</v>
      </c>
      <c r="J227" s="1421">
        <f t="shared" ref="J227:J239" si="53">ROUND(E227*I227,0)</f>
        <v>0</v>
      </c>
      <c r="K227" s="678">
        <v>1.5</v>
      </c>
      <c r="L227" s="1002"/>
      <c r="M227" s="1428">
        <f t="shared" ref="M227:M240" si="54">ROUND(E227/100*IF(ISBLANK(L227),K227,L227),0)</f>
        <v>0</v>
      </c>
      <c r="N227" s="1111"/>
      <c r="O227" s="674">
        <f t="shared" ref="O227:O240" si="55">IF(ISBLANK(H227),G227,H227)</f>
        <v>30</v>
      </c>
      <c r="P227" s="682"/>
      <c r="Q227" s="286"/>
      <c r="R227" s="287"/>
      <c r="S227" s="280"/>
      <c r="T227" s="280"/>
      <c r="U227" s="280"/>
      <c r="V227" s="280"/>
      <c r="W227" s="280"/>
      <c r="X227" s="280"/>
      <c r="Y227" s="280"/>
      <c r="Z227" s="284"/>
      <c r="AA227" s="284"/>
      <c r="AB227" s="284"/>
      <c r="AC227" s="284"/>
      <c r="AD227" s="284"/>
      <c r="AE227" s="284"/>
      <c r="AF227" s="447"/>
      <c r="AG227" s="447"/>
      <c r="AH227" s="447"/>
      <c r="AI227" s="382"/>
      <c r="AJ227" s="382"/>
      <c r="AK227" s="382"/>
      <c r="AL227" s="382"/>
      <c r="AM227" s="382"/>
      <c r="AN227" s="382"/>
      <c r="AO227" s="382"/>
      <c r="AP227" s="382"/>
      <c r="AQ227" s="382"/>
      <c r="AR227" s="382"/>
      <c r="AS227" s="382"/>
      <c r="AT227" s="382"/>
      <c r="AU227" s="382"/>
      <c r="AV227" s="382"/>
      <c r="AW227" s="382"/>
      <c r="AX227" s="382"/>
      <c r="AY227" s="382"/>
      <c r="AZ227" s="382"/>
      <c r="BA227" s="382"/>
      <c r="BB227" s="382"/>
      <c r="BC227" s="382"/>
      <c r="BD227" s="382"/>
      <c r="BE227" s="382"/>
      <c r="BF227" s="382"/>
      <c r="BG227" s="382"/>
      <c r="BH227" s="382"/>
      <c r="BI227" s="382"/>
      <c r="BJ227" s="382"/>
      <c r="BK227" s="382"/>
      <c r="BL227" s="382"/>
      <c r="BM227" s="382"/>
      <c r="BN227" s="382"/>
      <c r="BO227" s="382"/>
    </row>
    <row r="228" spans="1:67" s="88" customFormat="1" ht="10.55" customHeight="1" x14ac:dyDescent="0.2">
      <c r="A228" s="1013" t="s">
        <v>392</v>
      </c>
      <c r="B228" s="2807"/>
      <c r="C228" s="2808"/>
      <c r="D228" s="2809"/>
      <c r="E228" s="2561"/>
      <c r="F228" s="2562"/>
      <c r="G228" s="1785">
        <v>30</v>
      </c>
      <c r="H228" s="524"/>
      <c r="I228" s="1409">
        <f t="shared" si="52"/>
        <v>4.7777640736176463E-2</v>
      </c>
      <c r="J228" s="1421">
        <f t="shared" si="53"/>
        <v>0</v>
      </c>
      <c r="K228" s="678">
        <v>2</v>
      </c>
      <c r="L228" s="1002"/>
      <c r="M228" s="1428">
        <f t="shared" si="54"/>
        <v>0</v>
      </c>
      <c r="N228" s="1111"/>
      <c r="O228" s="674">
        <f t="shared" si="55"/>
        <v>30</v>
      </c>
      <c r="P228" s="682"/>
      <c r="Q228" s="286"/>
      <c r="R228" s="287"/>
      <c r="S228" s="280"/>
      <c r="T228" s="280"/>
      <c r="U228" s="280"/>
      <c r="V228" s="280"/>
      <c r="W228" s="280"/>
      <c r="X228" s="280"/>
      <c r="Y228" s="280"/>
      <c r="Z228" s="284"/>
      <c r="AA228" s="284"/>
      <c r="AB228" s="284"/>
      <c r="AC228" s="284"/>
      <c r="AD228" s="284"/>
      <c r="AE228" s="284"/>
      <c r="AF228" s="447"/>
      <c r="AG228" s="447"/>
      <c r="AH228" s="447"/>
      <c r="AI228" s="382"/>
      <c r="AJ228" s="382"/>
      <c r="AK228" s="382"/>
      <c r="AL228" s="382"/>
      <c r="AM228" s="382"/>
      <c r="AN228" s="382"/>
      <c r="AO228" s="382"/>
      <c r="AP228" s="382"/>
      <c r="AQ228" s="382"/>
      <c r="AR228" s="382"/>
      <c r="AS228" s="382"/>
      <c r="AT228" s="382"/>
      <c r="AU228" s="382"/>
      <c r="AV228" s="382"/>
      <c r="AW228" s="382"/>
      <c r="AX228" s="382"/>
      <c r="AY228" s="382"/>
      <c r="AZ228" s="382"/>
      <c r="BA228" s="382"/>
      <c r="BB228" s="382"/>
      <c r="BC228" s="382"/>
      <c r="BD228" s="382"/>
      <c r="BE228" s="382"/>
      <c r="BF228" s="382"/>
      <c r="BG228" s="382"/>
      <c r="BH228" s="382"/>
      <c r="BI228" s="382"/>
      <c r="BJ228" s="382"/>
      <c r="BK228" s="382"/>
      <c r="BL228" s="382"/>
      <c r="BM228" s="382"/>
      <c r="BN228" s="382"/>
      <c r="BO228" s="382"/>
    </row>
    <row r="229" spans="1:67" s="88" customFormat="1" ht="10.55" customHeight="1" x14ac:dyDescent="0.2">
      <c r="A229" s="1013" t="s">
        <v>393</v>
      </c>
      <c r="B229" s="2807"/>
      <c r="C229" s="2808"/>
      <c r="D229" s="2809"/>
      <c r="E229" s="2561"/>
      <c r="F229" s="2562"/>
      <c r="G229" s="1785">
        <v>30</v>
      </c>
      <c r="H229" s="524"/>
      <c r="I229" s="1409">
        <f t="shared" si="52"/>
        <v>4.7777640736176463E-2</v>
      </c>
      <c r="J229" s="1421">
        <f t="shared" si="53"/>
        <v>0</v>
      </c>
      <c r="K229" s="678">
        <v>2</v>
      </c>
      <c r="L229" s="1002"/>
      <c r="M229" s="1428">
        <f t="shared" si="54"/>
        <v>0</v>
      </c>
      <c r="N229" s="1111"/>
      <c r="O229" s="674">
        <f t="shared" si="55"/>
        <v>30</v>
      </c>
      <c r="P229" s="682"/>
      <c r="Q229" s="286"/>
      <c r="R229" s="287"/>
      <c r="S229" s="280"/>
      <c r="T229" s="280"/>
      <c r="U229" s="280"/>
      <c r="V229" s="280"/>
      <c r="W229" s="280"/>
      <c r="X229" s="280"/>
      <c r="Y229" s="280"/>
      <c r="Z229" s="284"/>
      <c r="AA229" s="284"/>
      <c r="AB229" s="284"/>
      <c r="AC229" s="284"/>
      <c r="AD229" s="284"/>
      <c r="AE229" s="284"/>
      <c r="AF229" s="447"/>
      <c r="AG229" s="447"/>
      <c r="AH229" s="447"/>
      <c r="AI229" s="382"/>
      <c r="AJ229" s="382"/>
      <c r="AK229" s="382"/>
      <c r="AL229" s="382"/>
      <c r="AM229" s="382"/>
      <c r="AN229" s="382"/>
      <c r="AO229" s="382"/>
      <c r="AP229" s="382"/>
      <c r="AQ229" s="382"/>
      <c r="AR229" s="382"/>
      <c r="AS229" s="382"/>
      <c r="AT229" s="382"/>
      <c r="AU229" s="382"/>
      <c r="AV229" s="382"/>
      <c r="AW229" s="382"/>
      <c r="AX229" s="382"/>
      <c r="AY229" s="382"/>
      <c r="AZ229" s="382"/>
      <c r="BA229" s="382"/>
      <c r="BB229" s="382"/>
      <c r="BC229" s="382"/>
      <c r="BD229" s="382"/>
      <c r="BE229" s="382"/>
      <c r="BF229" s="382"/>
      <c r="BG229" s="382"/>
      <c r="BH229" s="382"/>
      <c r="BI229" s="382"/>
      <c r="BJ229" s="382"/>
      <c r="BK229" s="382"/>
      <c r="BL229" s="382"/>
      <c r="BM229" s="382"/>
      <c r="BN229" s="382"/>
      <c r="BO229" s="382"/>
    </row>
    <row r="230" spans="1:67" s="88" customFormat="1" ht="10.55" customHeight="1" x14ac:dyDescent="0.2">
      <c r="A230" s="1013" t="s">
        <v>394</v>
      </c>
      <c r="B230" s="2807"/>
      <c r="C230" s="2808"/>
      <c r="D230" s="2809"/>
      <c r="E230" s="2561"/>
      <c r="F230" s="2562"/>
      <c r="G230" s="1785">
        <v>30</v>
      </c>
      <c r="H230" s="524"/>
      <c r="I230" s="1409">
        <f t="shared" si="52"/>
        <v>4.7777640736176463E-2</v>
      </c>
      <c r="J230" s="1421">
        <f t="shared" si="53"/>
        <v>0</v>
      </c>
      <c r="K230" s="678">
        <v>0.5</v>
      </c>
      <c r="L230" s="1002"/>
      <c r="M230" s="1428">
        <f t="shared" si="54"/>
        <v>0</v>
      </c>
      <c r="N230" s="1111"/>
      <c r="O230" s="674">
        <f t="shared" si="55"/>
        <v>30</v>
      </c>
      <c r="P230" s="682"/>
      <c r="Q230" s="286"/>
      <c r="R230" s="287"/>
      <c r="S230" s="280"/>
      <c r="T230" s="280"/>
      <c r="U230" s="280"/>
      <c r="V230" s="280"/>
      <c r="W230" s="280"/>
      <c r="X230" s="280"/>
      <c r="Y230" s="280"/>
      <c r="Z230" s="284"/>
      <c r="AA230" s="284"/>
      <c r="AB230" s="284"/>
      <c r="AC230" s="284"/>
      <c r="AD230" s="284"/>
      <c r="AE230" s="284"/>
      <c r="AF230" s="447"/>
      <c r="AG230" s="447"/>
      <c r="AH230" s="447"/>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2"/>
      <c r="BD230" s="382"/>
      <c r="BE230" s="382"/>
      <c r="BF230" s="382"/>
      <c r="BG230" s="382"/>
      <c r="BH230" s="382"/>
      <c r="BI230" s="382"/>
      <c r="BJ230" s="382"/>
      <c r="BK230" s="382"/>
      <c r="BL230" s="382"/>
      <c r="BM230" s="382"/>
      <c r="BN230" s="382"/>
      <c r="BO230" s="382"/>
    </row>
    <row r="231" spans="1:67" s="88" customFormat="1" ht="10.55" customHeight="1" x14ac:dyDescent="0.2">
      <c r="A231" s="675"/>
      <c r="B231" s="2807"/>
      <c r="C231" s="2808"/>
      <c r="D231" s="2809"/>
      <c r="E231" s="2561"/>
      <c r="F231" s="2562"/>
      <c r="G231" s="1015"/>
      <c r="H231" s="524"/>
      <c r="I231" s="1409">
        <f t="shared" si="52"/>
        <v>0</v>
      </c>
      <c r="J231" s="1421">
        <f t="shared" si="53"/>
        <v>0</v>
      </c>
      <c r="K231" s="679"/>
      <c r="L231" s="1002"/>
      <c r="M231" s="1428">
        <f t="shared" si="54"/>
        <v>0</v>
      </c>
      <c r="N231" s="1111"/>
      <c r="O231" s="674">
        <f t="shared" si="55"/>
        <v>0</v>
      </c>
      <c r="P231" s="682"/>
      <c r="Q231" s="286"/>
      <c r="R231" s="287"/>
      <c r="S231" s="280"/>
      <c r="T231" s="280"/>
      <c r="U231" s="280"/>
      <c r="V231" s="280"/>
      <c r="W231" s="280"/>
      <c r="X231" s="280"/>
      <c r="Y231" s="280"/>
      <c r="Z231" s="284"/>
      <c r="AA231" s="284"/>
      <c r="AB231" s="284"/>
      <c r="AC231" s="284"/>
      <c r="AD231" s="284"/>
      <c r="AE231" s="284"/>
      <c r="AF231" s="447"/>
      <c r="AG231" s="447"/>
      <c r="AH231" s="447"/>
      <c r="AI231" s="382"/>
      <c r="AJ231" s="382"/>
      <c r="AK231" s="382"/>
      <c r="AL231" s="382"/>
      <c r="AM231" s="382"/>
      <c r="AN231" s="382"/>
      <c r="AO231" s="382"/>
      <c r="AP231" s="382"/>
      <c r="AQ231" s="382"/>
      <c r="AR231" s="382"/>
      <c r="AS231" s="382"/>
      <c r="AT231" s="382"/>
      <c r="AU231" s="382"/>
      <c r="AV231" s="382"/>
      <c r="AW231" s="382"/>
      <c r="AX231" s="382"/>
      <c r="AY231" s="382"/>
      <c r="AZ231" s="382"/>
      <c r="BA231" s="382"/>
      <c r="BB231" s="382"/>
      <c r="BC231" s="382"/>
      <c r="BD231" s="382"/>
      <c r="BE231" s="382"/>
      <c r="BF231" s="382"/>
      <c r="BG231" s="382"/>
      <c r="BH231" s="382"/>
      <c r="BI231" s="382"/>
      <c r="BJ231" s="382"/>
      <c r="BK231" s="382"/>
      <c r="BL231" s="382"/>
      <c r="BM231" s="382"/>
      <c r="BN231" s="382"/>
      <c r="BO231" s="382"/>
    </row>
    <row r="232" spans="1:67" s="88" customFormat="1" ht="10.55" customHeight="1" x14ac:dyDescent="0.2">
      <c r="A232" s="675"/>
      <c r="B232" s="2807"/>
      <c r="C232" s="2808"/>
      <c r="D232" s="2809"/>
      <c r="E232" s="2561"/>
      <c r="F232" s="2562"/>
      <c r="G232" s="1015"/>
      <c r="H232" s="524"/>
      <c r="I232" s="1409">
        <f t="shared" si="52"/>
        <v>0</v>
      </c>
      <c r="J232" s="1421">
        <f t="shared" si="53"/>
        <v>0</v>
      </c>
      <c r="K232" s="679"/>
      <c r="L232" s="1002"/>
      <c r="M232" s="1428">
        <f t="shared" si="54"/>
        <v>0</v>
      </c>
      <c r="N232" s="1111"/>
      <c r="O232" s="674">
        <f t="shared" si="55"/>
        <v>0</v>
      </c>
      <c r="P232" s="682"/>
      <c r="Q232" s="286"/>
      <c r="R232" s="287"/>
      <c r="S232" s="280"/>
      <c r="T232" s="280"/>
      <c r="U232" s="280"/>
      <c r="V232" s="280"/>
      <c r="W232" s="280"/>
      <c r="X232" s="280"/>
      <c r="Y232" s="280"/>
      <c r="Z232" s="284"/>
      <c r="AA232" s="284"/>
      <c r="AB232" s="284"/>
      <c r="AC232" s="284"/>
      <c r="AD232" s="284"/>
      <c r="AE232" s="284"/>
      <c r="AF232" s="447"/>
      <c r="AG232" s="447"/>
      <c r="AH232" s="447"/>
      <c r="AI232" s="382"/>
      <c r="AJ232" s="382"/>
      <c r="AK232" s="382"/>
      <c r="AL232" s="382"/>
      <c r="AM232" s="382"/>
      <c r="AN232" s="382"/>
      <c r="AO232" s="382"/>
      <c r="AP232" s="382"/>
      <c r="AQ232" s="382"/>
      <c r="AR232" s="382"/>
      <c r="AS232" s="382"/>
      <c r="AT232" s="382"/>
      <c r="AU232" s="382"/>
      <c r="AV232" s="382"/>
      <c r="AW232" s="382"/>
      <c r="AX232" s="382"/>
      <c r="AY232" s="382"/>
      <c r="AZ232" s="382"/>
      <c r="BA232" s="382"/>
      <c r="BB232" s="382"/>
      <c r="BC232" s="382"/>
      <c r="BD232" s="382"/>
      <c r="BE232" s="382"/>
      <c r="BF232" s="382"/>
      <c r="BG232" s="382"/>
      <c r="BH232" s="382"/>
      <c r="BI232" s="382"/>
      <c r="BJ232" s="382"/>
      <c r="BK232" s="382"/>
      <c r="BL232" s="382"/>
      <c r="BM232" s="382"/>
      <c r="BN232" s="382"/>
      <c r="BO232" s="382"/>
    </row>
    <row r="233" spans="1:67" s="88" customFormat="1" ht="10.55" customHeight="1" x14ac:dyDescent="0.2">
      <c r="A233" s="675"/>
      <c r="B233" s="2807"/>
      <c r="C233" s="2808"/>
      <c r="D233" s="2809"/>
      <c r="E233" s="2561"/>
      <c r="F233" s="2562"/>
      <c r="G233" s="1015"/>
      <c r="H233" s="524"/>
      <c r="I233" s="1409">
        <f t="shared" si="52"/>
        <v>0</v>
      </c>
      <c r="J233" s="1421">
        <f t="shared" si="53"/>
        <v>0</v>
      </c>
      <c r="K233" s="679"/>
      <c r="L233" s="1002"/>
      <c r="M233" s="1428">
        <f t="shared" si="54"/>
        <v>0</v>
      </c>
      <c r="N233" s="1111"/>
      <c r="O233" s="674">
        <f t="shared" si="55"/>
        <v>0</v>
      </c>
      <c r="P233" s="682"/>
      <c r="Q233" s="286"/>
      <c r="R233" s="287"/>
      <c r="S233" s="280"/>
      <c r="T233" s="280"/>
      <c r="U233" s="280"/>
      <c r="V233" s="280"/>
      <c r="W233" s="280"/>
      <c r="X233" s="280"/>
      <c r="Y233" s="280"/>
      <c r="Z233" s="284"/>
      <c r="AA233" s="284"/>
      <c r="AB233" s="284"/>
      <c r="AC233" s="284"/>
      <c r="AD233" s="284"/>
      <c r="AE233" s="284"/>
      <c r="AF233" s="447"/>
      <c r="AG233" s="447"/>
      <c r="AH233" s="447"/>
      <c r="AI233" s="382"/>
      <c r="AJ233" s="382"/>
      <c r="AK233" s="382"/>
      <c r="AL233" s="382"/>
      <c r="AM233" s="382"/>
      <c r="AN233" s="382"/>
      <c r="AO233" s="382"/>
      <c r="AP233" s="382"/>
      <c r="AQ233" s="382"/>
      <c r="AR233" s="382"/>
      <c r="AS233" s="382"/>
      <c r="AT233" s="382"/>
      <c r="AU233" s="382"/>
      <c r="AV233" s="382"/>
      <c r="AW233" s="382"/>
      <c r="AX233" s="382"/>
      <c r="AY233" s="382"/>
      <c r="AZ233" s="382"/>
      <c r="BA233" s="382"/>
      <c r="BB233" s="382"/>
      <c r="BC233" s="382"/>
      <c r="BD233" s="382"/>
      <c r="BE233" s="382"/>
      <c r="BF233" s="382"/>
      <c r="BG233" s="382"/>
      <c r="BH233" s="382"/>
      <c r="BI233" s="382"/>
      <c r="BJ233" s="382"/>
      <c r="BK233" s="382"/>
      <c r="BL233" s="382"/>
      <c r="BM233" s="382"/>
      <c r="BN233" s="382"/>
      <c r="BO233" s="382"/>
    </row>
    <row r="234" spans="1:67" s="88" customFormat="1" ht="10.55" customHeight="1" x14ac:dyDescent="0.2">
      <c r="A234" s="675"/>
      <c r="B234" s="2807"/>
      <c r="C234" s="2808"/>
      <c r="D234" s="2809"/>
      <c r="E234" s="2561"/>
      <c r="F234" s="2562"/>
      <c r="G234" s="1015"/>
      <c r="H234" s="524"/>
      <c r="I234" s="1409">
        <f t="shared" si="52"/>
        <v>0</v>
      </c>
      <c r="J234" s="1421">
        <f t="shared" si="53"/>
        <v>0</v>
      </c>
      <c r="K234" s="679"/>
      <c r="L234" s="1002"/>
      <c r="M234" s="1428">
        <f t="shared" si="54"/>
        <v>0</v>
      </c>
      <c r="N234" s="1111"/>
      <c r="O234" s="674">
        <f t="shared" si="55"/>
        <v>0</v>
      </c>
      <c r="P234" s="682"/>
      <c r="Q234" s="286"/>
      <c r="R234" s="287"/>
      <c r="S234" s="280"/>
      <c r="T234" s="280"/>
      <c r="U234" s="280"/>
      <c r="V234" s="280"/>
      <c r="W234" s="280"/>
      <c r="X234" s="280"/>
      <c r="Y234" s="280"/>
      <c r="Z234" s="284"/>
      <c r="AA234" s="284"/>
      <c r="AB234" s="284"/>
      <c r="AC234" s="284"/>
      <c r="AD234" s="284"/>
      <c r="AE234" s="284"/>
      <c r="AF234" s="447"/>
      <c r="AG234" s="447"/>
      <c r="AH234" s="447"/>
      <c r="AI234" s="382"/>
      <c r="AJ234" s="382"/>
      <c r="AK234" s="382"/>
      <c r="AL234" s="382"/>
      <c r="AM234" s="382"/>
      <c r="AN234" s="382"/>
      <c r="AO234" s="382"/>
      <c r="AP234" s="382"/>
      <c r="AQ234" s="382"/>
      <c r="AR234" s="382"/>
      <c r="AS234" s="382"/>
      <c r="AT234" s="382"/>
      <c r="AU234" s="382"/>
      <c r="AV234" s="382"/>
      <c r="AW234" s="382"/>
      <c r="AX234" s="382"/>
      <c r="AY234" s="382"/>
      <c r="AZ234" s="382"/>
      <c r="BA234" s="382"/>
      <c r="BB234" s="382"/>
      <c r="BC234" s="382"/>
      <c r="BD234" s="382"/>
      <c r="BE234" s="382"/>
      <c r="BF234" s="382"/>
      <c r="BG234" s="382"/>
      <c r="BH234" s="382"/>
      <c r="BI234" s="382"/>
      <c r="BJ234" s="382"/>
      <c r="BK234" s="382"/>
      <c r="BL234" s="382"/>
      <c r="BM234" s="382"/>
      <c r="BN234" s="382"/>
      <c r="BO234" s="382"/>
    </row>
    <row r="235" spans="1:67" s="88" customFormat="1" ht="10.55" customHeight="1" x14ac:dyDescent="0.2">
      <c r="A235" s="675"/>
      <c r="B235" s="2807"/>
      <c r="C235" s="2808"/>
      <c r="D235" s="2809"/>
      <c r="E235" s="2561"/>
      <c r="F235" s="2562"/>
      <c r="G235" s="1015"/>
      <c r="H235" s="524"/>
      <c r="I235" s="1409">
        <f t="shared" si="52"/>
        <v>0</v>
      </c>
      <c r="J235" s="1421">
        <f t="shared" si="53"/>
        <v>0</v>
      </c>
      <c r="K235" s="679"/>
      <c r="L235" s="1002"/>
      <c r="M235" s="1428">
        <f t="shared" si="54"/>
        <v>0</v>
      </c>
      <c r="N235" s="1111"/>
      <c r="O235" s="674">
        <f t="shared" si="55"/>
        <v>0</v>
      </c>
      <c r="P235" s="682"/>
      <c r="Q235" s="286"/>
      <c r="R235" s="287"/>
      <c r="S235" s="280"/>
      <c r="T235" s="280"/>
      <c r="U235" s="280"/>
      <c r="V235" s="280"/>
      <c r="W235" s="280"/>
      <c r="X235" s="280"/>
      <c r="Y235" s="280"/>
      <c r="Z235" s="284"/>
      <c r="AA235" s="284"/>
      <c r="AB235" s="284"/>
      <c r="AC235" s="284"/>
      <c r="AD235" s="284"/>
      <c r="AE235" s="284"/>
      <c r="AF235" s="447"/>
      <c r="AG235" s="447"/>
      <c r="AH235" s="447"/>
      <c r="AI235" s="382"/>
      <c r="AJ235" s="382"/>
      <c r="AK235" s="382"/>
      <c r="AL235" s="382"/>
      <c r="AM235" s="382"/>
      <c r="AN235" s="382"/>
      <c r="AO235" s="382"/>
      <c r="AP235" s="382"/>
      <c r="AQ235" s="382"/>
      <c r="AR235" s="382"/>
      <c r="AS235" s="382"/>
      <c r="AT235" s="382"/>
      <c r="AU235" s="382"/>
      <c r="AV235" s="382"/>
      <c r="AW235" s="382"/>
      <c r="AX235" s="382"/>
      <c r="AY235" s="382"/>
      <c r="AZ235" s="382"/>
      <c r="BA235" s="382"/>
      <c r="BB235" s="382"/>
      <c r="BC235" s="382"/>
      <c r="BD235" s="382"/>
      <c r="BE235" s="382"/>
      <c r="BF235" s="382"/>
      <c r="BG235" s="382"/>
      <c r="BH235" s="382"/>
      <c r="BI235" s="382"/>
      <c r="BJ235" s="382"/>
      <c r="BK235" s="382"/>
      <c r="BL235" s="382"/>
      <c r="BM235" s="382"/>
      <c r="BN235" s="382"/>
      <c r="BO235" s="382"/>
    </row>
    <row r="236" spans="1:67" s="88" customFormat="1" ht="10.55" customHeight="1" x14ac:dyDescent="0.2">
      <c r="A236" s="675"/>
      <c r="B236" s="2807"/>
      <c r="C236" s="2808"/>
      <c r="D236" s="2809"/>
      <c r="E236" s="2561"/>
      <c r="F236" s="2562"/>
      <c r="G236" s="1015"/>
      <c r="H236" s="524"/>
      <c r="I236" s="1409">
        <f t="shared" si="52"/>
        <v>0</v>
      </c>
      <c r="J236" s="1421">
        <f t="shared" si="53"/>
        <v>0</v>
      </c>
      <c r="K236" s="679"/>
      <c r="L236" s="1002"/>
      <c r="M236" s="1428">
        <f t="shared" si="54"/>
        <v>0</v>
      </c>
      <c r="N236" s="1111"/>
      <c r="O236" s="674">
        <f t="shared" si="55"/>
        <v>0</v>
      </c>
      <c r="P236" s="682"/>
      <c r="Q236" s="286"/>
      <c r="R236" s="287"/>
      <c r="S236" s="280"/>
      <c r="T236" s="280"/>
      <c r="U236" s="280"/>
      <c r="V236" s="280"/>
      <c r="W236" s="280"/>
      <c r="X236" s="280"/>
      <c r="Y236" s="280"/>
      <c r="Z236" s="284"/>
      <c r="AA236" s="284"/>
      <c r="AB236" s="284"/>
      <c r="AC236" s="284"/>
      <c r="AD236" s="284"/>
      <c r="AE236" s="284"/>
      <c r="AF236" s="447"/>
      <c r="AG236" s="447"/>
      <c r="AH236" s="447"/>
      <c r="AI236" s="382"/>
      <c r="AJ236" s="382"/>
      <c r="AK236" s="382"/>
      <c r="AL236" s="382"/>
      <c r="AM236" s="382"/>
      <c r="AN236" s="382"/>
      <c r="AO236" s="382"/>
      <c r="AP236" s="382"/>
      <c r="AQ236" s="382"/>
      <c r="AR236" s="382"/>
      <c r="AS236" s="382"/>
      <c r="AT236" s="382"/>
      <c r="AU236" s="382"/>
      <c r="AV236" s="382"/>
      <c r="AW236" s="382"/>
      <c r="AX236" s="382"/>
      <c r="AY236" s="382"/>
      <c r="AZ236" s="382"/>
      <c r="BA236" s="382"/>
      <c r="BB236" s="382"/>
      <c r="BC236" s="382"/>
      <c r="BD236" s="382"/>
      <c r="BE236" s="382"/>
      <c r="BF236" s="382"/>
      <c r="BG236" s="382"/>
      <c r="BH236" s="382"/>
      <c r="BI236" s="382"/>
      <c r="BJ236" s="382"/>
      <c r="BK236" s="382"/>
      <c r="BL236" s="382"/>
      <c r="BM236" s="382"/>
      <c r="BN236" s="382"/>
      <c r="BO236" s="382"/>
    </row>
    <row r="237" spans="1:67" s="88" customFormat="1" ht="10.55" customHeight="1" x14ac:dyDescent="0.2">
      <c r="A237" s="675"/>
      <c r="B237" s="2807"/>
      <c r="C237" s="2808"/>
      <c r="D237" s="2809"/>
      <c r="E237" s="2561"/>
      <c r="F237" s="2562"/>
      <c r="G237" s="1015"/>
      <c r="H237" s="524"/>
      <c r="I237" s="1409">
        <f t="shared" si="52"/>
        <v>0</v>
      </c>
      <c r="J237" s="1421">
        <f t="shared" si="53"/>
        <v>0</v>
      </c>
      <c r="K237" s="679"/>
      <c r="L237" s="1002"/>
      <c r="M237" s="1428">
        <f t="shared" si="54"/>
        <v>0</v>
      </c>
      <c r="N237" s="1111"/>
      <c r="O237" s="674">
        <f t="shared" si="55"/>
        <v>0</v>
      </c>
      <c r="P237" s="682"/>
      <c r="Q237" s="286"/>
      <c r="R237" s="287"/>
      <c r="S237" s="280"/>
      <c r="T237" s="280"/>
      <c r="U237" s="280"/>
      <c r="V237" s="280"/>
      <c r="W237" s="280"/>
      <c r="X237" s="280"/>
      <c r="Y237" s="280"/>
      <c r="Z237" s="284"/>
      <c r="AA237" s="284"/>
      <c r="AB237" s="284"/>
      <c r="AC237" s="284"/>
      <c r="AD237" s="284"/>
      <c r="AE237" s="284"/>
      <c r="AF237" s="447"/>
      <c r="AG237" s="447"/>
      <c r="AH237" s="447"/>
      <c r="AI237" s="382"/>
      <c r="AJ237" s="382"/>
      <c r="AK237" s="382"/>
      <c r="AL237" s="382"/>
      <c r="AM237" s="382"/>
      <c r="AN237" s="382"/>
      <c r="AO237" s="382"/>
      <c r="AP237" s="382"/>
      <c r="AQ237" s="382"/>
      <c r="AR237" s="382"/>
      <c r="AS237" s="382"/>
      <c r="AT237" s="382"/>
      <c r="AU237" s="382"/>
      <c r="AV237" s="382"/>
      <c r="AW237" s="382"/>
      <c r="AX237" s="382"/>
      <c r="AY237" s="382"/>
      <c r="AZ237" s="382"/>
      <c r="BA237" s="382"/>
      <c r="BB237" s="382"/>
      <c r="BC237" s="382"/>
      <c r="BD237" s="382"/>
      <c r="BE237" s="382"/>
      <c r="BF237" s="382"/>
      <c r="BG237" s="382"/>
      <c r="BH237" s="382"/>
      <c r="BI237" s="382"/>
      <c r="BJ237" s="382"/>
      <c r="BK237" s="382"/>
      <c r="BL237" s="382"/>
      <c r="BM237" s="382"/>
      <c r="BN237" s="382"/>
      <c r="BO237" s="382"/>
    </row>
    <row r="238" spans="1:67" s="88" customFormat="1" ht="10.55" customHeight="1" x14ac:dyDescent="0.2">
      <c r="A238" s="675"/>
      <c r="B238" s="2807"/>
      <c r="C238" s="2808"/>
      <c r="D238" s="2809"/>
      <c r="E238" s="2561"/>
      <c r="F238" s="2562"/>
      <c r="G238" s="1015"/>
      <c r="H238" s="524"/>
      <c r="I238" s="1409">
        <f t="shared" si="52"/>
        <v>0</v>
      </c>
      <c r="J238" s="1421">
        <f t="shared" si="53"/>
        <v>0</v>
      </c>
      <c r="K238" s="679"/>
      <c r="L238" s="1002"/>
      <c r="M238" s="1428">
        <f t="shared" si="54"/>
        <v>0</v>
      </c>
      <c r="N238" s="1111"/>
      <c r="O238" s="674">
        <f t="shared" si="55"/>
        <v>0</v>
      </c>
      <c r="P238" s="682"/>
      <c r="Q238" s="286"/>
      <c r="R238" s="287"/>
      <c r="S238" s="280"/>
      <c r="T238" s="280"/>
      <c r="U238" s="280"/>
      <c r="V238" s="280"/>
      <c r="W238" s="280"/>
      <c r="X238" s="280"/>
      <c r="Y238" s="280"/>
      <c r="Z238" s="284"/>
      <c r="AA238" s="284"/>
      <c r="AB238" s="284"/>
      <c r="AC238" s="284"/>
      <c r="AD238" s="284"/>
      <c r="AE238" s="284"/>
      <c r="AF238" s="447"/>
      <c r="AG238" s="447"/>
      <c r="AH238" s="447"/>
      <c r="AI238" s="382"/>
      <c r="AJ238" s="382"/>
      <c r="AK238" s="382"/>
      <c r="AL238" s="382"/>
      <c r="AM238" s="382"/>
      <c r="AN238" s="382"/>
      <c r="AO238" s="382"/>
      <c r="AP238" s="382"/>
      <c r="AQ238" s="382"/>
      <c r="AR238" s="382"/>
      <c r="AS238" s="382"/>
      <c r="AT238" s="382"/>
      <c r="AU238" s="382"/>
      <c r="AV238" s="382"/>
      <c r="AW238" s="382"/>
      <c r="AX238" s="382"/>
      <c r="AY238" s="382"/>
      <c r="AZ238" s="382"/>
      <c r="BA238" s="382"/>
      <c r="BB238" s="382"/>
      <c r="BC238" s="382"/>
      <c r="BD238" s="382"/>
      <c r="BE238" s="382"/>
      <c r="BF238" s="382"/>
      <c r="BG238" s="382"/>
      <c r="BH238" s="382"/>
      <c r="BI238" s="382"/>
      <c r="BJ238" s="382"/>
      <c r="BK238" s="382"/>
      <c r="BL238" s="382"/>
      <c r="BM238" s="382"/>
      <c r="BN238" s="382"/>
      <c r="BO238" s="382"/>
    </row>
    <row r="239" spans="1:67" s="88" customFormat="1" ht="10.55" customHeight="1" x14ac:dyDescent="0.2">
      <c r="A239" s="675"/>
      <c r="B239" s="2807"/>
      <c r="C239" s="2808"/>
      <c r="D239" s="2809"/>
      <c r="E239" s="2561"/>
      <c r="F239" s="2562"/>
      <c r="G239" s="1015"/>
      <c r="H239" s="524"/>
      <c r="I239" s="1409">
        <f t="shared" si="52"/>
        <v>0</v>
      </c>
      <c r="J239" s="1421">
        <f t="shared" si="53"/>
        <v>0</v>
      </c>
      <c r="K239" s="679"/>
      <c r="L239" s="1002"/>
      <c r="M239" s="1428">
        <f t="shared" si="54"/>
        <v>0</v>
      </c>
      <c r="N239" s="1111"/>
      <c r="O239" s="674">
        <f t="shared" si="55"/>
        <v>0</v>
      </c>
      <c r="P239" s="682"/>
      <c r="Q239" s="286"/>
      <c r="R239" s="287"/>
      <c r="S239" s="280"/>
      <c r="T239" s="280"/>
      <c r="U239" s="280"/>
      <c r="V239" s="280"/>
      <c r="W239" s="280"/>
      <c r="X239" s="280"/>
      <c r="Y239" s="280"/>
      <c r="Z239" s="284"/>
      <c r="AA239" s="284"/>
      <c r="AB239" s="284"/>
      <c r="AC239" s="284"/>
      <c r="AD239" s="284"/>
      <c r="AE239" s="284"/>
      <c r="AF239" s="447"/>
      <c r="AG239" s="447"/>
      <c r="AH239" s="447"/>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c r="BL239" s="382"/>
      <c r="BM239" s="382"/>
      <c r="BN239" s="382"/>
      <c r="BO239" s="382"/>
    </row>
    <row r="240" spans="1:67" s="88" customFormat="1" ht="10.55" customHeight="1" x14ac:dyDescent="0.2">
      <c r="A240" s="1017"/>
      <c r="B240" s="2804"/>
      <c r="C240" s="2805"/>
      <c r="D240" s="2806"/>
      <c r="E240" s="2793"/>
      <c r="F240" s="2794"/>
      <c r="G240" s="1018"/>
      <c r="H240" s="1019"/>
      <c r="I240" s="1436">
        <f t="shared" si="52"/>
        <v>0</v>
      </c>
      <c r="J240" s="1422"/>
      <c r="K240" s="680"/>
      <c r="L240" s="1020"/>
      <c r="M240" s="1429">
        <f t="shared" si="54"/>
        <v>0</v>
      </c>
      <c r="N240" s="1111"/>
      <c r="O240" s="674">
        <f t="shared" si="55"/>
        <v>0</v>
      </c>
      <c r="P240" s="682"/>
      <c r="Q240" s="286"/>
      <c r="R240" s="287"/>
      <c r="S240" s="280"/>
      <c r="T240" s="280"/>
      <c r="U240" s="280"/>
      <c r="V240" s="280"/>
      <c r="W240" s="280"/>
      <c r="X240" s="280"/>
      <c r="Y240" s="280"/>
      <c r="Z240" s="284"/>
      <c r="AA240" s="284"/>
      <c r="AB240" s="284"/>
      <c r="AC240" s="284"/>
      <c r="AD240" s="284"/>
      <c r="AE240" s="284"/>
      <c r="AF240" s="447"/>
      <c r="AG240" s="447"/>
      <c r="AH240" s="447"/>
      <c r="AI240" s="382"/>
      <c r="AJ240" s="382"/>
      <c r="AK240" s="382"/>
      <c r="AL240" s="382"/>
      <c r="AM240" s="382"/>
      <c r="AN240" s="382"/>
      <c r="AO240" s="382"/>
      <c r="AP240" s="382"/>
      <c r="AQ240" s="382"/>
      <c r="AR240" s="382"/>
      <c r="AS240" s="382"/>
      <c r="AT240" s="382"/>
      <c r="AU240" s="382"/>
      <c r="AV240" s="382"/>
      <c r="AW240" s="382"/>
      <c r="AX240" s="382"/>
      <c r="AY240" s="382"/>
      <c r="AZ240" s="382"/>
      <c r="BA240" s="382"/>
      <c r="BB240" s="382"/>
      <c r="BC240" s="382"/>
      <c r="BD240" s="382"/>
      <c r="BE240" s="382"/>
      <c r="BF240" s="382"/>
      <c r="BG240" s="382"/>
      <c r="BH240" s="382"/>
      <c r="BI240" s="382"/>
      <c r="BJ240" s="382"/>
      <c r="BK240" s="382"/>
      <c r="BL240" s="382"/>
      <c r="BM240" s="382"/>
      <c r="BN240" s="382"/>
      <c r="BO240" s="382"/>
    </row>
    <row r="241" spans="1:67" s="88" customFormat="1" ht="10.55" customHeight="1" x14ac:dyDescent="0.2">
      <c r="A241" s="1122" t="s">
        <v>395</v>
      </c>
      <c r="B241" s="2783"/>
      <c r="C241" s="2784"/>
      <c r="D241" s="2785"/>
      <c r="E241" s="2810">
        <f>SUM(E242:E254)</f>
        <v>0</v>
      </c>
      <c r="F241" s="2811"/>
      <c r="G241" s="2747"/>
      <c r="H241" s="2748"/>
      <c r="I241" s="1435">
        <f>IF(E241=0,0,J241/E241)</f>
        <v>0</v>
      </c>
      <c r="J241" s="1423">
        <f>SUM(J242:J254)</f>
        <v>0</v>
      </c>
      <c r="K241" s="2749">
        <f>IF(E241=0,0,M241/E241*100)</f>
        <v>0</v>
      </c>
      <c r="L241" s="2750"/>
      <c r="M241" s="1430">
        <f>SUM(M242:M254)</f>
        <v>0</v>
      </c>
      <c r="N241" s="1111"/>
      <c r="O241" s="387">
        <f>IF(H241="",G241,H241)</f>
        <v>0</v>
      </c>
      <c r="P241" s="682"/>
      <c r="Q241" s="286"/>
      <c r="R241" s="287"/>
      <c r="S241" s="280"/>
      <c r="T241" s="280"/>
      <c r="U241" s="280"/>
      <c r="V241" s="280"/>
      <c r="W241" s="280"/>
      <c r="X241" s="280"/>
      <c r="Y241" s="280"/>
      <c r="Z241" s="284"/>
      <c r="AA241" s="284"/>
      <c r="AB241" s="284"/>
      <c r="AC241" s="284"/>
      <c r="AD241" s="284"/>
      <c r="AE241" s="284"/>
      <c r="AF241" s="447"/>
      <c r="AG241" s="447"/>
      <c r="AH241" s="447"/>
      <c r="AI241" s="382"/>
      <c r="AJ241" s="382"/>
      <c r="AK241" s="382"/>
      <c r="AL241" s="382"/>
      <c r="AM241" s="382"/>
      <c r="AN241" s="382"/>
      <c r="AO241" s="382"/>
      <c r="AP241" s="382"/>
      <c r="AQ241" s="382"/>
      <c r="AR241" s="382"/>
      <c r="AS241" s="382"/>
      <c r="AT241" s="382"/>
      <c r="AU241" s="382"/>
      <c r="AV241" s="382"/>
      <c r="AW241" s="382"/>
      <c r="AX241" s="382"/>
      <c r="AY241" s="382"/>
      <c r="AZ241" s="382"/>
      <c r="BA241" s="382"/>
      <c r="BB241" s="382"/>
      <c r="BC241" s="382"/>
      <c r="BD241" s="382"/>
      <c r="BE241" s="382"/>
      <c r="BF241" s="382"/>
      <c r="BG241" s="382"/>
      <c r="BH241" s="382"/>
      <c r="BI241" s="382"/>
      <c r="BJ241" s="382"/>
      <c r="BK241" s="382"/>
      <c r="BL241" s="382"/>
      <c r="BM241" s="382"/>
      <c r="BN241" s="382"/>
      <c r="BO241" s="382"/>
    </row>
    <row r="242" spans="1:67" s="88" customFormat="1" ht="10.55" customHeight="1" x14ac:dyDescent="0.2">
      <c r="A242" s="1013" t="s">
        <v>396</v>
      </c>
      <c r="B242" s="2790"/>
      <c r="C242" s="2791"/>
      <c r="D242" s="2792"/>
      <c r="E242" s="2734"/>
      <c r="F242" s="2735"/>
      <c r="G242" s="1785">
        <v>30</v>
      </c>
      <c r="H242" s="524"/>
      <c r="I242" s="1409">
        <f t="shared" ref="I242:I255" si="56">IF($O242&gt;0,-PMT(($I$9),$O242,1),0)</f>
        <v>4.7777640736176463E-2</v>
      </c>
      <c r="J242" s="1421">
        <f t="shared" ref="J242:J254" si="57">ROUND(E242*I242,0)</f>
        <v>0</v>
      </c>
      <c r="K242" s="678">
        <v>1</v>
      </c>
      <c r="L242" s="1002"/>
      <c r="M242" s="1428">
        <f t="shared" ref="M242:M255" si="58">ROUND(E242/100*IF(ISBLANK(L242),K242,L242),0)</f>
        <v>0</v>
      </c>
      <c r="N242" s="1111"/>
      <c r="O242" s="674">
        <f t="shared" ref="O242:O255" si="59">IF(ISBLANK(H242),G242,H242)</f>
        <v>30</v>
      </c>
      <c r="P242" s="682"/>
      <c r="Q242" s="286"/>
      <c r="R242" s="287"/>
      <c r="S242" s="280"/>
      <c r="T242" s="280"/>
      <c r="U242" s="280"/>
      <c r="V242" s="280"/>
      <c r="W242" s="280"/>
      <c r="X242" s="280"/>
      <c r="Y242" s="280"/>
      <c r="Z242" s="284"/>
      <c r="AA242" s="284"/>
      <c r="AB242" s="284"/>
      <c r="AC242" s="284"/>
      <c r="AD242" s="284"/>
      <c r="AE242" s="284"/>
      <c r="AF242" s="447"/>
      <c r="AG242" s="447"/>
      <c r="AH242" s="447"/>
      <c r="AI242" s="382"/>
      <c r="AJ242" s="382"/>
      <c r="AK242" s="382"/>
      <c r="AL242" s="382"/>
      <c r="AM242" s="382"/>
      <c r="AN242" s="382"/>
      <c r="AO242" s="382"/>
      <c r="AP242" s="382"/>
      <c r="AQ242" s="382"/>
      <c r="AR242" s="382"/>
      <c r="AS242" s="382"/>
      <c r="AT242" s="382"/>
      <c r="AU242" s="382"/>
      <c r="AV242" s="382"/>
      <c r="AW242" s="382"/>
      <c r="AX242" s="382"/>
      <c r="AY242" s="382"/>
      <c r="AZ242" s="382"/>
      <c r="BA242" s="382"/>
      <c r="BB242" s="382"/>
      <c r="BC242" s="382"/>
      <c r="BD242" s="382"/>
      <c r="BE242" s="382"/>
      <c r="BF242" s="382"/>
      <c r="BG242" s="382"/>
      <c r="BH242" s="382"/>
      <c r="BI242" s="382"/>
      <c r="BJ242" s="382"/>
      <c r="BK242" s="382"/>
      <c r="BL242" s="382"/>
      <c r="BM242" s="382"/>
      <c r="BN242" s="382"/>
      <c r="BO242" s="382"/>
    </row>
    <row r="243" spans="1:67" s="88" customFormat="1" ht="10.55" customHeight="1" x14ac:dyDescent="0.2">
      <c r="A243" s="1013" t="s">
        <v>397</v>
      </c>
      <c r="B243" s="2807"/>
      <c r="C243" s="2808"/>
      <c r="D243" s="2809"/>
      <c r="E243" s="2561"/>
      <c r="F243" s="2562"/>
      <c r="G243" s="1785">
        <v>30</v>
      </c>
      <c r="H243" s="524"/>
      <c r="I243" s="1409">
        <f t="shared" si="56"/>
        <v>4.7777640736176463E-2</v>
      </c>
      <c r="J243" s="1421">
        <f t="shared" si="57"/>
        <v>0</v>
      </c>
      <c r="K243" s="678">
        <v>1</v>
      </c>
      <c r="L243" s="1002"/>
      <c r="M243" s="1428">
        <f t="shared" si="58"/>
        <v>0</v>
      </c>
      <c r="N243" s="1111"/>
      <c r="O243" s="674">
        <f t="shared" si="59"/>
        <v>30</v>
      </c>
      <c r="P243" s="682"/>
      <c r="Q243" s="286"/>
      <c r="R243" s="287"/>
      <c r="S243" s="280"/>
      <c r="T243" s="280"/>
      <c r="U243" s="280"/>
      <c r="V243" s="280"/>
      <c r="W243" s="280"/>
      <c r="X243" s="280"/>
      <c r="Y243" s="280"/>
      <c r="Z243" s="284"/>
      <c r="AA243" s="284"/>
      <c r="AB243" s="284"/>
      <c r="AC243" s="284"/>
      <c r="AD243" s="284"/>
      <c r="AE243" s="284"/>
      <c r="AF243" s="447"/>
      <c r="AG243" s="447"/>
      <c r="AH243" s="447"/>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382"/>
      <c r="BM243" s="382"/>
      <c r="BN243" s="382"/>
      <c r="BO243" s="382"/>
    </row>
    <row r="244" spans="1:67" s="88" customFormat="1" ht="10.55" customHeight="1" x14ac:dyDescent="0.2">
      <c r="A244" s="1013" t="s">
        <v>398</v>
      </c>
      <c r="B244" s="2807"/>
      <c r="C244" s="2808"/>
      <c r="D244" s="2809"/>
      <c r="E244" s="2561"/>
      <c r="F244" s="2562"/>
      <c r="G244" s="1785">
        <v>30</v>
      </c>
      <c r="H244" s="524"/>
      <c r="I244" s="1409">
        <f t="shared" si="56"/>
        <v>4.7777640736176463E-2</v>
      </c>
      <c r="J244" s="1421">
        <f t="shared" si="57"/>
        <v>0</v>
      </c>
      <c r="K244" s="678">
        <v>1</v>
      </c>
      <c r="L244" s="1002"/>
      <c r="M244" s="1428">
        <f t="shared" si="58"/>
        <v>0</v>
      </c>
      <c r="N244" s="1111"/>
      <c r="O244" s="674">
        <f t="shared" si="59"/>
        <v>30</v>
      </c>
      <c r="P244" s="682"/>
      <c r="Q244" s="286"/>
      <c r="R244" s="287"/>
      <c r="S244" s="280"/>
      <c r="T244" s="280"/>
      <c r="U244" s="280"/>
      <c r="V244" s="280"/>
      <c r="W244" s="280"/>
      <c r="X244" s="280"/>
      <c r="Y244" s="280"/>
      <c r="Z244" s="284"/>
      <c r="AA244" s="284"/>
      <c r="AB244" s="284"/>
      <c r="AC244" s="284"/>
      <c r="AD244" s="284"/>
      <c r="AE244" s="284"/>
      <c r="AF244" s="447"/>
      <c r="AG244" s="447"/>
      <c r="AH244" s="447"/>
      <c r="AI244" s="382"/>
      <c r="AJ244" s="382"/>
      <c r="AK244" s="382"/>
      <c r="AL244" s="382"/>
      <c r="AM244" s="382"/>
      <c r="AN244" s="382"/>
      <c r="AO244" s="382"/>
      <c r="AP244" s="382"/>
      <c r="AQ244" s="382"/>
      <c r="AR244" s="382"/>
      <c r="AS244" s="382"/>
      <c r="AT244" s="382"/>
      <c r="AU244" s="382"/>
      <c r="AV244" s="382"/>
      <c r="AW244" s="382"/>
      <c r="AX244" s="382"/>
      <c r="AY244" s="382"/>
      <c r="AZ244" s="382"/>
      <c r="BA244" s="382"/>
      <c r="BB244" s="382"/>
      <c r="BC244" s="382"/>
      <c r="BD244" s="382"/>
      <c r="BE244" s="382"/>
      <c r="BF244" s="382"/>
      <c r="BG244" s="382"/>
      <c r="BH244" s="382"/>
      <c r="BI244" s="382"/>
      <c r="BJ244" s="382"/>
      <c r="BK244" s="382"/>
      <c r="BL244" s="382"/>
      <c r="BM244" s="382"/>
      <c r="BN244" s="382"/>
      <c r="BO244" s="382"/>
    </row>
    <row r="245" spans="1:67" s="88" customFormat="1" ht="10.55" customHeight="1" x14ac:dyDescent="0.2">
      <c r="A245" s="1013" t="s">
        <v>399</v>
      </c>
      <c r="B245" s="2807"/>
      <c r="C245" s="2808"/>
      <c r="D245" s="2809"/>
      <c r="E245" s="2561"/>
      <c r="F245" s="2562"/>
      <c r="G245" s="1785">
        <v>30</v>
      </c>
      <c r="H245" s="524"/>
      <c r="I245" s="1409">
        <f t="shared" si="56"/>
        <v>4.7777640736176463E-2</v>
      </c>
      <c r="J245" s="1421">
        <f t="shared" si="57"/>
        <v>0</v>
      </c>
      <c r="K245" s="678">
        <v>1.5</v>
      </c>
      <c r="L245" s="1002"/>
      <c r="M245" s="1428">
        <f t="shared" si="58"/>
        <v>0</v>
      </c>
      <c r="N245" s="1111"/>
      <c r="O245" s="674">
        <f t="shared" si="59"/>
        <v>30</v>
      </c>
      <c r="P245" s="682"/>
      <c r="Q245" s="286"/>
      <c r="R245" s="287"/>
      <c r="S245" s="280"/>
      <c r="T245" s="280"/>
      <c r="U245" s="280"/>
      <c r="V245" s="280"/>
      <c r="W245" s="280"/>
      <c r="X245" s="280"/>
      <c r="Y245" s="280"/>
      <c r="Z245" s="284"/>
      <c r="AA245" s="284"/>
      <c r="AB245" s="284"/>
      <c r="AC245" s="284"/>
      <c r="AD245" s="284"/>
      <c r="AE245" s="284"/>
      <c r="AF245" s="447"/>
      <c r="AG245" s="447"/>
      <c r="AH245" s="447"/>
      <c r="AI245" s="382"/>
      <c r="AJ245" s="382"/>
      <c r="AK245" s="382"/>
      <c r="AL245" s="382"/>
      <c r="AM245" s="382"/>
      <c r="AN245" s="382"/>
      <c r="AO245" s="382"/>
      <c r="AP245" s="382"/>
      <c r="AQ245" s="382"/>
      <c r="AR245" s="382"/>
      <c r="AS245" s="382"/>
      <c r="AT245" s="382"/>
      <c r="AU245" s="382"/>
      <c r="AV245" s="382"/>
      <c r="AW245" s="382"/>
      <c r="AX245" s="382"/>
      <c r="AY245" s="382"/>
      <c r="AZ245" s="382"/>
      <c r="BA245" s="382"/>
      <c r="BB245" s="382"/>
      <c r="BC245" s="382"/>
      <c r="BD245" s="382"/>
      <c r="BE245" s="382"/>
      <c r="BF245" s="382"/>
      <c r="BG245" s="382"/>
      <c r="BH245" s="382"/>
      <c r="BI245" s="382"/>
      <c r="BJ245" s="382"/>
      <c r="BK245" s="382"/>
      <c r="BL245" s="382"/>
      <c r="BM245" s="382"/>
      <c r="BN245" s="382"/>
      <c r="BO245" s="382"/>
    </row>
    <row r="246" spans="1:67" s="88" customFormat="1" ht="10.55" customHeight="1" x14ac:dyDescent="0.2">
      <c r="A246" s="1013" t="s">
        <v>400</v>
      </c>
      <c r="B246" s="2807"/>
      <c r="C246" s="2808"/>
      <c r="D246" s="2809"/>
      <c r="E246" s="2561"/>
      <c r="F246" s="2562"/>
      <c r="G246" s="1785">
        <v>30</v>
      </c>
      <c r="H246" s="524"/>
      <c r="I246" s="1409">
        <f t="shared" si="56"/>
        <v>4.7777640736176463E-2</v>
      </c>
      <c r="J246" s="1421">
        <f t="shared" si="57"/>
        <v>0</v>
      </c>
      <c r="K246" s="678">
        <v>1.5</v>
      </c>
      <c r="L246" s="1002"/>
      <c r="M246" s="1428">
        <f t="shared" si="58"/>
        <v>0</v>
      </c>
      <c r="N246" s="1111"/>
      <c r="O246" s="674">
        <f t="shared" si="59"/>
        <v>30</v>
      </c>
      <c r="P246" s="682"/>
      <c r="Q246" s="286"/>
      <c r="R246" s="287"/>
      <c r="S246" s="280"/>
      <c r="T246" s="280"/>
      <c r="U246" s="280"/>
      <c r="V246" s="280"/>
      <c r="W246" s="280"/>
      <c r="X246" s="280"/>
      <c r="Y246" s="280"/>
      <c r="Z246" s="284"/>
      <c r="AA246" s="284"/>
      <c r="AB246" s="284"/>
      <c r="AC246" s="284"/>
      <c r="AD246" s="284"/>
      <c r="AE246" s="284"/>
      <c r="AF246" s="447"/>
      <c r="AG246" s="447"/>
      <c r="AH246" s="447"/>
      <c r="AI246" s="382"/>
      <c r="AJ246" s="382"/>
      <c r="AK246" s="382"/>
      <c r="AL246" s="382"/>
      <c r="AM246" s="382"/>
      <c r="AN246" s="382"/>
      <c r="AO246" s="382"/>
      <c r="AP246" s="382"/>
      <c r="AQ246" s="382"/>
      <c r="AR246" s="382"/>
      <c r="AS246" s="382"/>
      <c r="AT246" s="382"/>
      <c r="AU246" s="382"/>
      <c r="AV246" s="382"/>
      <c r="AW246" s="382"/>
      <c r="AX246" s="382"/>
      <c r="AY246" s="382"/>
      <c r="AZ246" s="382"/>
      <c r="BA246" s="382"/>
      <c r="BB246" s="382"/>
      <c r="BC246" s="382"/>
      <c r="BD246" s="382"/>
      <c r="BE246" s="382"/>
      <c r="BF246" s="382"/>
      <c r="BG246" s="382"/>
      <c r="BH246" s="382"/>
      <c r="BI246" s="382"/>
      <c r="BJ246" s="382"/>
      <c r="BK246" s="382"/>
      <c r="BL246" s="382"/>
      <c r="BM246" s="382"/>
      <c r="BN246" s="382"/>
      <c r="BO246" s="382"/>
    </row>
    <row r="247" spans="1:67" s="88" customFormat="1" ht="10.55" customHeight="1" x14ac:dyDescent="0.2">
      <c r="A247" s="1013" t="s">
        <v>352</v>
      </c>
      <c r="B247" s="2807"/>
      <c r="C247" s="2808"/>
      <c r="D247" s="2809"/>
      <c r="E247" s="2561"/>
      <c r="F247" s="2562"/>
      <c r="G247" s="1785">
        <v>20</v>
      </c>
      <c r="H247" s="524"/>
      <c r="I247" s="1409">
        <f t="shared" si="56"/>
        <v>6.4147128734474465E-2</v>
      </c>
      <c r="J247" s="1421">
        <f t="shared" si="57"/>
        <v>0</v>
      </c>
      <c r="K247" s="678">
        <v>2</v>
      </c>
      <c r="L247" s="1002"/>
      <c r="M247" s="1428">
        <f t="shared" si="58"/>
        <v>0</v>
      </c>
      <c r="N247" s="1111"/>
      <c r="O247" s="674">
        <f t="shared" si="59"/>
        <v>20</v>
      </c>
      <c r="P247" s="682"/>
      <c r="Q247" s="286"/>
      <c r="R247" s="287"/>
      <c r="S247" s="280"/>
      <c r="T247" s="280"/>
      <c r="U247" s="280"/>
      <c r="V247" s="280"/>
      <c r="W247" s="280"/>
      <c r="X247" s="280"/>
      <c r="Y247" s="280"/>
      <c r="Z247" s="284"/>
      <c r="AA247" s="284"/>
      <c r="AB247" s="284"/>
      <c r="AC247" s="284"/>
      <c r="AD247" s="284"/>
      <c r="AE247" s="284"/>
      <c r="AF247" s="447"/>
      <c r="AG247" s="447"/>
      <c r="AH247" s="447"/>
      <c r="AI247" s="382"/>
      <c r="AJ247" s="382"/>
      <c r="AK247" s="382"/>
      <c r="AL247" s="382"/>
      <c r="AM247" s="382"/>
      <c r="AN247" s="382"/>
      <c r="AO247" s="382"/>
      <c r="AP247" s="382"/>
      <c r="AQ247" s="382"/>
      <c r="AR247" s="382"/>
      <c r="AS247" s="382"/>
      <c r="AT247" s="382"/>
      <c r="AU247" s="382"/>
      <c r="AV247" s="382"/>
      <c r="AW247" s="382"/>
      <c r="AX247" s="382"/>
      <c r="AY247" s="382"/>
      <c r="AZ247" s="382"/>
      <c r="BA247" s="382"/>
      <c r="BB247" s="382"/>
      <c r="BC247" s="382"/>
      <c r="BD247" s="382"/>
      <c r="BE247" s="382"/>
      <c r="BF247" s="382"/>
      <c r="BG247" s="382"/>
      <c r="BH247" s="382"/>
      <c r="BI247" s="382"/>
      <c r="BJ247" s="382"/>
      <c r="BK247" s="382"/>
      <c r="BL247" s="382"/>
      <c r="BM247" s="382"/>
      <c r="BN247" s="382"/>
      <c r="BO247" s="382"/>
    </row>
    <row r="248" spans="1:67" s="88" customFormat="1" ht="10.55" customHeight="1" x14ac:dyDescent="0.2">
      <c r="A248" s="1013" t="s">
        <v>333</v>
      </c>
      <c r="B248" s="2807"/>
      <c r="C248" s="2808"/>
      <c r="D248" s="2809"/>
      <c r="E248" s="2561"/>
      <c r="F248" s="2562"/>
      <c r="G248" s="1785">
        <v>20</v>
      </c>
      <c r="H248" s="524"/>
      <c r="I248" s="1409">
        <f t="shared" si="56"/>
        <v>6.4147128734474465E-2</v>
      </c>
      <c r="J248" s="1421">
        <f t="shared" si="57"/>
        <v>0</v>
      </c>
      <c r="K248" s="678">
        <v>8</v>
      </c>
      <c r="L248" s="1002"/>
      <c r="M248" s="1428">
        <f t="shared" si="58"/>
        <v>0</v>
      </c>
      <c r="N248" s="1111"/>
      <c r="O248" s="674">
        <f t="shared" si="59"/>
        <v>20</v>
      </c>
      <c r="P248" s="682"/>
      <c r="Q248" s="286"/>
      <c r="R248" s="287"/>
      <c r="S248" s="280"/>
      <c r="T248" s="280"/>
      <c r="U248" s="280"/>
      <c r="V248" s="280"/>
      <c r="W248" s="280"/>
      <c r="X248" s="280"/>
      <c r="Y248" s="280"/>
      <c r="Z248" s="284"/>
      <c r="AA248" s="284"/>
      <c r="AB248" s="284"/>
      <c r="AC248" s="284"/>
      <c r="AD248" s="284"/>
      <c r="AE248" s="284"/>
      <c r="AF248" s="447"/>
      <c r="AG248" s="447"/>
      <c r="AH248" s="447"/>
      <c r="AI248" s="382"/>
      <c r="AJ248" s="382"/>
      <c r="AK248" s="382"/>
      <c r="AL248" s="382"/>
      <c r="AM248" s="382"/>
      <c r="AN248" s="382"/>
      <c r="AO248" s="382"/>
      <c r="AP248" s="382"/>
      <c r="AQ248" s="382"/>
      <c r="AR248" s="382"/>
      <c r="AS248" s="382"/>
      <c r="AT248" s="382"/>
      <c r="AU248" s="382"/>
      <c r="AV248" s="382"/>
      <c r="AW248" s="382"/>
      <c r="AX248" s="382"/>
      <c r="AY248" s="382"/>
      <c r="AZ248" s="382"/>
      <c r="BA248" s="382"/>
      <c r="BB248" s="382"/>
      <c r="BC248" s="382"/>
      <c r="BD248" s="382"/>
      <c r="BE248" s="382"/>
      <c r="BF248" s="382"/>
      <c r="BG248" s="382"/>
      <c r="BH248" s="382"/>
      <c r="BI248" s="382"/>
      <c r="BJ248" s="382"/>
      <c r="BK248" s="382"/>
      <c r="BL248" s="382"/>
      <c r="BM248" s="382"/>
      <c r="BN248" s="382"/>
      <c r="BO248" s="382"/>
    </row>
    <row r="249" spans="1:67" s="88" customFormat="1" ht="10.55" customHeight="1" x14ac:dyDescent="0.2">
      <c r="A249" s="1013" t="s">
        <v>334</v>
      </c>
      <c r="B249" s="2807"/>
      <c r="C249" s="2808"/>
      <c r="D249" s="2809"/>
      <c r="E249" s="2561"/>
      <c r="F249" s="2562"/>
      <c r="G249" s="1785">
        <v>30</v>
      </c>
      <c r="H249" s="524"/>
      <c r="I249" s="1409">
        <f t="shared" si="56"/>
        <v>4.7777640736176463E-2</v>
      </c>
      <c r="J249" s="1421">
        <f t="shared" si="57"/>
        <v>0</v>
      </c>
      <c r="K249" s="678"/>
      <c r="L249" s="1002"/>
      <c r="M249" s="1428">
        <f t="shared" si="58"/>
        <v>0</v>
      </c>
      <c r="N249" s="1111"/>
      <c r="O249" s="674">
        <f t="shared" si="59"/>
        <v>30</v>
      </c>
      <c r="P249" s="682"/>
      <c r="Q249" s="286"/>
      <c r="R249" s="287"/>
      <c r="S249" s="280"/>
      <c r="T249" s="280"/>
      <c r="U249" s="280"/>
      <c r="V249" s="280"/>
      <c r="W249" s="280"/>
      <c r="X249" s="280"/>
      <c r="Y249" s="280"/>
      <c r="Z249" s="284"/>
      <c r="AA249" s="284"/>
      <c r="AB249" s="284"/>
      <c r="AC249" s="284"/>
      <c r="AD249" s="284"/>
      <c r="AE249" s="284"/>
      <c r="AF249" s="447"/>
      <c r="AG249" s="447"/>
      <c r="AH249" s="447"/>
      <c r="AI249" s="382"/>
      <c r="AJ249" s="382"/>
      <c r="AK249" s="382"/>
      <c r="AL249" s="382"/>
      <c r="AM249" s="382"/>
      <c r="AN249" s="382"/>
      <c r="AO249" s="382"/>
      <c r="AP249" s="382"/>
      <c r="AQ249" s="382"/>
      <c r="AR249" s="382"/>
      <c r="AS249" s="382"/>
      <c r="AT249" s="382"/>
      <c r="AU249" s="382"/>
      <c r="AV249" s="382"/>
      <c r="AW249" s="382"/>
      <c r="AX249" s="382"/>
      <c r="AY249" s="382"/>
      <c r="AZ249" s="382"/>
      <c r="BA249" s="382"/>
      <c r="BB249" s="382"/>
      <c r="BC249" s="382"/>
      <c r="BD249" s="382"/>
      <c r="BE249" s="382"/>
      <c r="BF249" s="382"/>
      <c r="BG249" s="382"/>
      <c r="BH249" s="382"/>
      <c r="BI249" s="382"/>
      <c r="BJ249" s="382"/>
      <c r="BK249" s="382"/>
      <c r="BL249" s="382"/>
      <c r="BM249" s="382"/>
      <c r="BN249" s="382"/>
      <c r="BO249" s="382"/>
    </row>
    <row r="250" spans="1:67" s="88" customFormat="1" ht="10.55" customHeight="1" x14ac:dyDescent="0.2">
      <c r="A250" s="675"/>
      <c r="B250" s="2807"/>
      <c r="C250" s="2808"/>
      <c r="D250" s="2809"/>
      <c r="E250" s="2561"/>
      <c r="F250" s="2562"/>
      <c r="G250" s="1015"/>
      <c r="H250" s="524"/>
      <c r="I250" s="1409">
        <f t="shared" si="56"/>
        <v>0</v>
      </c>
      <c r="J250" s="1421">
        <f t="shared" si="57"/>
        <v>0</v>
      </c>
      <c r="K250" s="679"/>
      <c r="L250" s="1002"/>
      <c r="M250" s="1428">
        <f t="shared" si="58"/>
        <v>0</v>
      </c>
      <c r="N250" s="1111"/>
      <c r="O250" s="674">
        <f t="shared" si="59"/>
        <v>0</v>
      </c>
      <c r="P250" s="682"/>
      <c r="Q250" s="286"/>
      <c r="R250" s="287"/>
      <c r="S250" s="280"/>
      <c r="T250" s="280"/>
      <c r="U250" s="280"/>
      <c r="V250" s="280"/>
      <c r="W250" s="280"/>
      <c r="X250" s="280"/>
      <c r="Y250" s="280"/>
      <c r="Z250" s="284"/>
      <c r="AA250" s="284"/>
      <c r="AB250" s="284"/>
      <c r="AC250" s="284"/>
      <c r="AD250" s="284"/>
      <c r="AE250" s="284"/>
      <c r="AF250" s="447"/>
      <c r="AG250" s="447"/>
      <c r="AH250" s="447"/>
      <c r="AI250" s="382"/>
      <c r="AJ250" s="382"/>
      <c r="AK250" s="382"/>
      <c r="AL250" s="382"/>
      <c r="AM250" s="382"/>
      <c r="AN250" s="382"/>
      <c r="AO250" s="382"/>
      <c r="AP250" s="382"/>
      <c r="AQ250" s="382"/>
      <c r="AR250" s="382"/>
      <c r="AS250" s="382"/>
      <c r="AT250" s="382"/>
      <c r="AU250" s="382"/>
      <c r="AV250" s="382"/>
      <c r="AW250" s="382"/>
      <c r="AX250" s="382"/>
      <c r="AY250" s="382"/>
      <c r="AZ250" s="382"/>
      <c r="BA250" s="382"/>
      <c r="BB250" s="382"/>
      <c r="BC250" s="382"/>
      <c r="BD250" s="382"/>
      <c r="BE250" s="382"/>
      <c r="BF250" s="382"/>
      <c r="BG250" s="382"/>
      <c r="BH250" s="382"/>
      <c r="BI250" s="382"/>
      <c r="BJ250" s="382"/>
      <c r="BK250" s="382"/>
      <c r="BL250" s="382"/>
      <c r="BM250" s="382"/>
      <c r="BN250" s="382"/>
      <c r="BO250" s="382"/>
    </row>
    <row r="251" spans="1:67" s="88" customFormat="1" ht="10.55" customHeight="1" x14ac:dyDescent="0.2">
      <c r="A251" s="675"/>
      <c r="B251" s="2807"/>
      <c r="C251" s="2808"/>
      <c r="D251" s="2809"/>
      <c r="E251" s="2561"/>
      <c r="F251" s="2562"/>
      <c r="G251" s="1015"/>
      <c r="H251" s="524"/>
      <c r="I251" s="1409">
        <f t="shared" si="56"/>
        <v>0</v>
      </c>
      <c r="J251" s="1421">
        <f t="shared" si="57"/>
        <v>0</v>
      </c>
      <c r="K251" s="679"/>
      <c r="L251" s="1002"/>
      <c r="M251" s="1428">
        <f t="shared" si="58"/>
        <v>0</v>
      </c>
      <c r="N251" s="1111"/>
      <c r="O251" s="674">
        <f t="shared" si="59"/>
        <v>0</v>
      </c>
      <c r="P251" s="682"/>
      <c r="Q251" s="286"/>
      <c r="R251" s="287"/>
      <c r="S251" s="280"/>
      <c r="T251" s="280"/>
      <c r="U251" s="280"/>
      <c r="V251" s="280"/>
      <c r="W251" s="280"/>
      <c r="X251" s="280"/>
      <c r="Y251" s="280"/>
      <c r="Z251" s="284"/>
      <c r="AA251" s="284"/>
      <c r="AB251" s="284"/>
      <c r="AC251" s="284"/>
      <c r="AD251" s="284"/>
      <c r="AE251" s="284"/>
      <c r="AF251" s="447"/>
      <c r="AG251" s="447"/>
      <c r="AH251" s="447"/>
      <c r="AI251" s="382"/>
      <c r="AJ251" s="382"/>
      <c r="AK251" s="382"/>
      <c r="AL251" s="382"/>
      <c r="AM251" s="382"/>
      <c r="AN251" s="382"/>
      <c r="AO251" s="382"/>
      <c r="AP251" s="382"/>
      <c r="AQ251" s="382"/>
      <c r="AR251" s="382"/>
      <c r="AS251" s="382"/>
      <c r="AT251" s="382"/>
      <c r="AU251" s="382"/>
      <c r="AV251" s="382"/>
      <c r="AW251" s="382"/>
      <c r="AX251" s="382"/>
      <c r="AY251" s="382"/>
      <c r="AZ251" s="382"/>
      <c r="BA251" s="382"/>
      <c r="BB251" s="382"/>
      <c r="BC251" s="382"/>
      <c r="BD251" s="382"/>
      <c r="BE251" s="382"/>
      <c r="BF251" s="382"/>
      <c r="BG251" s="382"/>
      <c r="BH251" s="382"/>
      <c r="BI251" s="382"/>
      <c r="BJ251" s="382"/>
      <c r="BK251" s="382"/>
      <c r="BL251" s="382"/>
      <c r="BM251" s="382"/>
      <c r="BN251" s="382"/>
      <c r="BO251" s="382"/>
    </row>
    <row r="252" spans="1:67" s="88" customFormat="1" ht="10.55" customHeight="1" x14ac:dyDescent="0.2">
      <c r="A252" s="675"/>
      <c r="B252" s="2807"/>
      <c r="C252" s="2808"/>
      <c r="D252" s="2809"/>
      <c r="E252" s="2561"/>
      <c r="F252" s="2562"/>
      <c r="G252" s="1015"/>
      <c r="H252" s="524"/>
      <c r="I252" s="1409">
        <f t="shared" si="56"/>
        <v>0</v>
      </c>
      <c r="J252" s="1421">
        <f t="shared" si="57"/>
        <v>0</v>
      </c>
      <c r="K252" s="679"/>
      <c r="L252" s="1002"/>
      <c r="M252" s="1428">
        <f t="shared" si="58"/>
        <v>0</v>
      </c>
      <c r="N252" s="1111"/>
      <c r="O252" s="674">
        <f t="shared" si="59"/>
        <v>0</v>
      </c>
      <c r="P252" s="682"/>
      <c r="Q252" s="286"/>
      <c r="R252" s="287"/>
      <c r="S252" s="280"/>
      <c r="T252" s="280"/>
      <c r="U252" s="280"/>
      <c r="V252" s="280"/>
      <c r="W252" s="280"/>
      <c r="X252" s="280"/>
      <c r="Y252" s="280"/>
      <c r="Z252" s="284"/>
      <c r="AA252" s="284"/>
      <c r="AB252" s="284"/>
      <c r="AC252" s="284"/>
      <c r="AD252" s="284"/>
      <c r="AE252" s="284"/>
      <c r="AF252" s="447"/>
      <c r="AG252" s="447"/>
      <c r="AH252" s="447"/>
      <c r="AI252" s="382"/>
      <c r="AJ252" s="382"/>
      <c r="AK252" s="382"/>
      <c r="AL252" s="382"/>
      <c r="AM252" s="382"/>
      <c r="AN252" s="382"/>
      <c r="AO252" s="382"/>
      <c r="AP252" s="382"/>
      <c r="AQ252" s="382"/>
      <c r="AR252" s="382"/>
      <c r="AS252" s="382"/>
      <c r="AT252" s="382"/>
      <c r="AU252" s="382"/>
      <c r="AV252" s="382"/>
      <c r="AW252" s="382"/>
      <c r="AX252" s="382"/>
      <c r="AY252" s="382"/>
      <c r="AZ252" s="382"/>
      <c r="BA252" s="382"/>
      <c r="BB252" s="382"/>
      <c r="BC252" s="382"/>
      <c r="BD252" s="382"/>
      <c r="BE252" s="382"/>
      <c r="BF252" s="382"/>
      <c r="BG252" s="382"/>
      <c r="BH252" s="382"/>
      <c r="BI252" s="382"/>
      <c r="BJ252" s="382"/>
      <c r="BK252" s="382"/>
      <c r="BL252" s="382"/>
      <c r="BM252" s="382"/>
      <c r="BN252" s="382"/>
      <c r="BO252" s="382"/>
    </row>
    <row r="253" spans="1:67" s="88" customFormat="1" ht="10.55" customHeight="1" x14ac:dyDescent="0.2">
      <c r="A253" s="675"/>
      <c r="B253" s="2807"/>
      <c r="C253" s="2808"/>
      <c r="D253" s="2809"/>
      <c r="E253" s="2561"/>
      <c r="F253" s="2562"/>
      <c r="G253" s="1015"/>
      <c r="H253" s="524"/>
      <c r="I253" s="1409">
        <f t="shared" si="56"/>
        <v>0</v>
      </c>
      <c r="J253" s="1421">
        <f t="shared" si="57"/>
        <v>0</v>
      </c>
      <c r="K253" s="679"/>
      <c r="L253" s="1002"/>
      <c r="M253" s="1428">
        <f t="shared" si="58"/>
        <v>0</v>
      </c>
      <c r="N253" s="1111"/>
      <c r="O253" s="674">
        <f t="shared" si="59"/>
        <v>0</v>
      </c>
      <c r="P253" s="682"/>
      <c r="Q253" s="286"/>
      <c r="R253" s="287"/>
      <c r="S253" s="280"/>
      <c r="T253" s="280"/>
      <c r="U253" s="280"/>
      <c r="V253" s="280"/>
      <c r="W253" s="280"/>
      <c r="X253" s="280"/>
      <c r="Y253" s="280"/>
      <c r="Z253" s="284"/>
      <c r="AA253" s="284"/>
      <c r="AB253" s="284"/>
      <c r="AC253" s="284"/>
      <c r="AD253" s="284"/>
      <c r="AE253" s="284"/>
      <c r="AF253" s="447"/>
      <c r="AG253" s="447"/>
      <c r="AH253" s="447"/>
      <c r="AI253" s="382"/>
      <c r="AJ253" s="382"/>
      <c r="AK253" s="382"/>
      <c r="AL253" s="382"/>
      <c r="AM253" s="382"/>
      <c r="AN253" s="382"/>
      <c r="AO253" s="382"/>
      <c r="AP253" s="382"/>
      <c r="AQ253" s="382"/>
      <c r="AR253" s="382"/>
      <c r="AS253" s="382"/>
      <c r="AT253" s="382"/>
      <c r="AU253" s="382"/>
      <c r="AV253" s="382"/>
      <c r="AW253" s="382"/>
      <c r="AX253" s="382"/>
      <c r="AY253" s="382"/>
      <c r="AZ253" s="382"/>
      <c r="BA253" s="382"/>
      <c r="BB253" s="382"/>
      <c r="BC253" s="382"/>
      <c r="BD253" s="382"/>
      <c r="BE253" s="382"/>
      <c r="BF253" s="382"/>
      <c r="BG253" s="382"/>
      <c r="BH253" s="382"/>
      <c r="BI253" s="382"/>
      <c r="BJ253" s="382"/>
      <c r="BK253" s="382"/>
      <c r="BL253" s="382"/>
      <c r="BM253" s="382"/>
      <c r="BN253" s="382"/>
      <c r="BO253" s="382"/>
    </row>
    <row r="254" spans="1:67" s="88" customFormat="1" ht="10.55" customHeight="1" x14ac:dyDescent="0.2">
      <c r="A254" s="675"/>
      <c r="B254" s="2807"/>
      <c r="C254" s="2808"/>
      <c r="D254" s="2809"/>
      <c r="E254" s="2561"/>
      <c r="F254" s="2562"/>
      <c r="G254" s="1015"/>
      <c r="H254" s="524"/>
      <c r="I254" s="1409">
        <f t="shared" si="56"/>
        <v>0</v>
      </c>
      <c r="J254" s="1421">
        <f t="shared" si="57"/>
        <v>0</v>
      </c>
      <c r="K254" s="679"/>
      <c r="L254" s="1002"/>
      <c r="M254" s="1428">
        <f t="shared" si="58"/>
        <v>0</v>
      </c>
      <c r="N254" s="1111"/>
      <c r="O254" s="674">
        <f t="shared" si="59"/>
        <v>0</v>
      </c>
      <c r="P254" s="682"/>
      <c r="Q254" s="286"/>
      <c r="R254" s="287"/>
      <c r="S254" s="280"/>
      <c r="T254" s="280"/>
      <c r="U254" s="280"/>
      <c r="V254" s="280"/>
      <c r="W254" s="280"/>
      <c r="X254" s="280"/>
      <c r="Y254" s="280"/>
      <c r="Z254" s="284"/>
      <c r="AA254" s="284"/>
      <c r="AB254" s="284"/>
      <c r="AC254" s="284"/>
      <c r="AD254" s="284"/>
      <c r="AE254" s="284"/>
      <c r="AF254" s="447"/>
      <c r="AG254" s="447"/>
      <c r="AH254" s="447"/>
      <c r="AI254" s="382"/>
      <c r="AJ254" s="382"/>
      <c r="AK254" s="382"/>
      <c r="AL254" s="382"/>
      <c r="AM254" s="382"/>
      <c r="AN254" s="382"/>
      <c r="AO254" s="382"/>
      <c r="AP254" s="382"/>
      <c r="AQ254" s="382"/>
      <c r="AR254" s="382"/>
      <c r="AS254" s="382"/>
      <c r="AT254" s="382"/>
      <c r="AU254" s="382"/>
      <c r="AV254" s="382"/>
      <c r="AW254" s="382"/>
      <c r="AX254" s="382"/>
      <c r="AY254" s="382"/>
      <c r="AZ254" s="382"/>
      <c r="BA254" s="382"/>
      <c r="BB254" s="382"/>
      <c r="BC254" s="382"/>
      <c r="BD254" s="382"/>
      <c r="BE254" s="382"/>
      <c r="BF254" s="382"/>
      <c r="BG254" s="382"/>
      <c r="BH254" s="382"/>
      <c r="BI254" s="382"/>
      <c r="BJ254" s="382"/>
      <c r="BK254" s="382"/>
      <c r="BL254" s="382"/>
      <c r="BM254" s="382"/>
      <c r="BN254" s="382"/>
      <c r="BO254" s="382"/>
    </row>
    <row r="255" spans="1:67" s="88" customFormat="1" ht="10.55" customHeight="1" x14ac:dyDescent="0.2">
      <c r="A255" s="1017"/>
      <c r="B255" s="2804"/>
      <c r="C255" s="2805"/>
      <c r="D255" s="2806"/>
      <c r="E255" s="2793"/>
      <c r="F255" s="2794"/>
      <c r="G255" s="1018"/>
      <c r="H255" s="1019"/>
      <c r="I255" s="1436">
        <f t="shared" si="56"/>
        <v>0</v>
      </c>
      <c r="J255" s="1422"/>
      <c r="K255" s="680"/>
      <c r="L255" s="1020"/>
      <c r="M255" s="1429">
        <f t="shared" si="58"/>
        <v>0</v>
      </c>
      <c r="N255" s="1111"/>
      <c r="O255" s="674">
        <f t="shared" si="59"/>
        <v>0</v>
      </c>
      <c r="P255" s="682"/>
      <c r="Q255" s="286"/>
      <c r="R255" s="287"/>
      <c r="S255" s="280"/>
      <c r="T255" s="280"/>
      <c r="U255" s="280"/>
      <c r="V255" s="280"/>
      <c r="W255" s="280"/>
      <c r="X255" s="280"/>
      <c r="Y255" s="280"/>
      <c r="Z255" s="284"/>
      <c r="AA255" s="284"/>
      <c r="AB255" s="284"/>
      <c r="AC255" s="284"/>
      <c r="AD255" s="284"/>
      <c r="AE255" s="284"/>
      <c r="AF255" s="447"/>
      <c r="AG255" s="447"/>
      <c r="AH255" s="447"/>
      <c r="AI255" s="382"/>
      <c r="AJ255" s="382"/>
      <c r="AK255" s="382"/>
      <c r="AL255" s="382"/>
      <c r="AM255" s="382"/>
      <c r="AN255" s="382"/>
      <c r="AO255" s="382"/>
      <c r="AP255" s="382"/>
      <c r="AQ255" s="382"/>
      <c r="AR255" s="382"/>
      <c r="AS255" s="382"/>
      <c r="AT255" s="382"/>
      <c r="AU255" s="382"/>
      <c r="AV255" s="382"/>
      <c r="AW255" s="382"/>
      <c r="AX255" s="382"/>
      <c r="AY255" s="382"/>
      <c r="AZ255" s="382"/>
      <c r="BA255" s="382"/>
      <c r="BB255" s="382"/>
      <c r="BC255" s="382"/>
      <c r="BD255" s="382"/>
      <c r="BE255" s="382"/>
      <c r="BF255" s="382"/>
      <c r="BG255" s="382"/>
      <c r="BH255" s="382"/>
      <c r="BI255" s="382"/>
      <c r="BJ255" s="382"/>
      <c r="BK255" s="382"/>
      <c r="BL255" s="382"/>
      <c r="BM255" s="382"/>
      <c r="BN255" s="382"/>
      <c r="BO255" s="382"/>
    </row>
    <row r="256" spans="1:67" s="88" customFormat="1" ht="10.55" customHeight="1" x14ac:dyDescent="0.2">
      <c r="A256" s="1122" t="s">
        <v>401</v>
      </c>
      <c r="B256" s="2783"/>
      <c r="C256" s="2784"/>
      <c r="D256" s="2785"/>
      <c r="E256" s="2810">
        <f>SUM(E257:E269)</f>
        <v>0</v>
      </c>
      <c r="F256" s="2811"/>
      <c r="G256" s="2747"/>
      <c r="H256" s="2748"/>
      <c r="I256" s="1435">
        <f>IF(E256=0,0,J256/E256)</f>
        <v>0</v>
      </c>
      <c r="J256" s="1423">
        <f>SUM(J257:J269)</f>
        <v>0</v>
      </c>
      <c r="K256" s="2749">
        <f>IF(E256=0,0,M256/E256*100)</f>
        <v>0</v>
      </c>
      <c r="L256" s="2750"/>
      <c r="M256" s="1430">
        <f>SUM(M257:M269)</f>
        <v>0</v>
      </c>
      <c r="N256" s="1111"/>
      <c r="O256" s="387">
        <f>IF(H256="",G256,H256)</f>
        <v>0</v>
      </c>
      <c r="P256" s="682"/>
      <c r="Q256" s="286"/>
      <c r="R256" s="287"/>
      <c r="S256" s="280"/>
      <c r="T256" s="280"/>
      <c r="U256" s="280"/>
      <c r="V256" s="280"/>
      <c r="W256" s="280"/>
      <c r="X256" s="280"/>
      <c r="Y256" s="280"/>
      <c r="Z256" s="284"/>
      <c r="AA256" s="284"/>
      <c r="AB256" s="284"/>
      <c r="AC256" s="284"/>
      <c r="AD256" s="284"/>
      <c r="AE256" s="284"/>
      <c r="AF256" s="447"/>
      <c r="AG256" s="447"/>
      <c r="AH256" s="447"/>
      <c r="AI256" s="382"/>
      <c r="AJ256" s="382"/>
      <c r="AK256" s="382"/>
      <c r="AL256" s="382"/>
      <c r="AM256" s="382"/>
      <c r="AN256" s="382"/>
      <c r="AO256" s="382"/>
      <c r="AP256" s="382"/>
      <c r="AQ256" s="382"/>
      <c r="AR256" s="382"/>
      <c r="AS256" s="382"/>
      <c r="AT256" s="382"/>
      <c r="AU256" s="382"/>
      <c r="AV256" s="382"/>
      <c r="AW256" s="382"/>
      <c r="AX256" s="382"/>
      <c r="AY256" s="382"/>
      <c r="AZ256" s="382"/>
      <c r="BA256" s="382"/>
      <c r="BB256" s="382"/>
      <c r="BC256" s="382"/>
      <c r="BD256" s="382"/>
      <c r="BE256" s="382"/>
      <c r="BF256" s="382"/>
      <c r="BG256" s="382"/>
      <c r="BH256" s="382"/>
      <c r="BI256" s="382"/>
      <c r="BJ256" s="382"/>
      <c r="BK256" s="382"/>
      <c r="BL256" s="382"/>
      <c r="BM256" s="382"/>
      <c r="BN256" s="382"/>
      <c r="BO256" s="382"/>
    </row>
    <row r="257" spans="1:67" s="88" customFormat="1" ht="10.55" customHeight="1" x14ac:dyDescent="0.2">
      <c r="A257" s="1013" t="s">
        <v>402</v>
      </c>
      <c r="B257" s="2790"/>
      <c r="C257" s="2791"/>
      <c r="D257" s="2792"/>
      <c r="E257" s="2734"/>
      <c r="F257" s="2735"/>
      <c r="G257" s="1785">
        <v>15</v>
      </c>
      <c r="H257" s="524"/>
      <c r="I257" s="1409">
        <f t="shared" ref="I257:I270" si="60">IF($O257&gt;0,-PMT(($I$9),$O257,1),0)</f>
        <v>8.0766456051533542E-2</v>
      </c>
      <c r="J257" s="1421">
        <f t="shared" ref="J257:J269" si="61">ROUND(E257*I257,0)</f>
        <v>0</v>
      </c>
      <c r="K257" s="678">
        <v>1.5</v>
      </c>
      <c r="L257" s="1002"/>
      <c r="M257" s="1428">
        <f t="shared" ref="M257:M270" si="62">ROUND(E257/100*IF(ISBLANK(L257),K257,L257),0)</f>
        <v>0</v>
      </c>
      <c r="N257" s="1111"/>
      <c r="O257" s="674">
        <f t="shared" ref="O257:O270" si="63">IF(ISBLANK(H257),G257,H257)</f>
        <v>15</v>
      </c>
      <c r="P257" s="682"/>
      <c r="Q257" s="286"/>
      <c r="R257" s="287"/>
      <c r="S257" s="280"/>
      <c r="T257" s="280"/>
      <c r="U257" s="280"/>
      <c r="V257" s="280"/>
      <c r="W257" s="280"/>
      <c r="X257" s="280"/>
      <c r="Y257" s="280"/>
      <c r="Z257" s="284"/>
      <c r="AA257" s="284"/>
      <c r="AB257" s="284"/>
      <c r="AC257" s="284"/>
      <c r="AD257" s="284"/>
      <c r="AE257" s="284"/>
      <c r="AF257" s="447"/>
      <c r="AG257" s="447"/>
      <c r="AH257" s="447"/>
      <c r="AI257" s="382"/>
      <c r="AJ257" s="382"/>
      <c r="AK257" s="382"/>
      <c r="AL257" s="382"/>
      <c r="AM257" s="382"/>
      <c r="AN257" s="382"/>
      <c r="AO257" s="382"/>
      <c r="AP257" s="382"/>
      <c r="AQ257" s="382"/>
      <c r="AR257" s="382"/>
      <c r="AS257" s="382"/>
      <c r="AT257" s="382"/>
      <c r="AU257" s="382"/>
      <c r="AV257" s="382"/>
      <c r="AW257" s="382"/>
      <c r="AX257" s="382"/>
      <c r="AY257" s="382"/>
      <c r="AZ257" s="382"/>
      <c r="BA257" s="382"/>
      <c r="BB257" s="382"/>
      <c r="BC257" s="382"/>
      <c r="BD257" s="382"/>
      <c r="BE257" s="382"/>
      <c r="BF257" s="382"/>
      <c r="BG257" s="382"/>
      <c r="BH257" s="382"/>
      <c r="BI257" s="382"/>
      <c r="BJ257" s="382"/>
      <c r="BK257" s="382"/>
      <c r="BL257" s="382"/>
      <c r="BM257" s="382"/>
      <c r="BN257" s="382"/>
      <c r="BO257" s="382"/>
    </row>
    <row r="258" spans="1:67" s="88" customFormat="1" ht="10.55" customHeight="1" x14ac:dyDescent="0.2">
      <c r="A258" s="1013" t="s">
        <v>403</v>
      </c>
      <c r="B258" s="2807"/>
      <c r="C258" s="2808"/>
      <c r="D258" s="2809"/>
      <c r="E258" s="2561"/>
      <c r="F258" s="2562"/>
      <c r="G258" s="1785">
        <v>15</v>
      </c>
      <c r="H258" s="524"/>
      <c r="I258" s="1409">
        <f t="shared" si="60"/>
        <v>8.0766456051533542E-2</v>
      </c>
      <c r="J258" s="1421">
        <f t="shared" si="61"/>
        <v>0</v>
      </c>
      <c r="K258" s="678">
        <v>1</v>
      </c>
      <c r="L258" s="1002"/>
      <c r="M258" s="1428">
        <f t="shared" si="62"/>
        <v>0</v>
      </c>
      <c r="N258" s="1111"/>
      <c r="O258" s="674">
        <f t="shared" si="63"/>
        <v>15</v>
      </c>
      <c r="P258" s="682"/>
      <c r="Q258" s="286"/>
      <c r="R258" s="287"/>
      <c r="S258" s="280"/>
      <c r="T258" s="280"/>
      <c r="U258" s="280"/>
      <c r="V258" s="280"/>
      <c r="W258" s="280"/>
      <c r="X258" s="280"/>
      <c r="Y258" s="280"/>
      <c r="Z258" s="284"/>
      <c r="AA258" s="284"/>
      <c r="AB258" s="284"/>
      <c r="AC258" s="284"/>
      <c r="AD258" s="284"/>
      <c r="AE258" s="284"/>
      <c r="AF258" s="447"/>
      <c r="AG258" s="447"/>
      <c r="AH258" s="447"/>
      <c r="AI258" s="382"/>
      <c r="AJ258" s="382"/>
      <c r="AK258" s="382"/>
      <c r="AL258" s="382"/>
      <c r="AM258" s="382"/>
      <c r="AN258" s="382"/>
      <c r="AO258" s="382"/>
      <c r="AP258" s="382"/>
      <c r="AQ258" s="382"/>
      <c r="AR258" s="382"/>
      <c r="AS258" s="382"/>
      <c r="AT258" s="382"/>
      <c r="AU258" s="382"/>
      <c r="AV258" s="382"/>
      <c r="AW258" s="382"/>
      <c r="AX258" s="382"/>
      <c r="AY258" s="382"/>
      <c r="AZ258" s="382"/>
      <c r="BA258" s="382"/>
      <c r="BB258" s="382"/>
      <c r="BC258" s="382"/>
      <c r="BD258" s="382"/>
      <c r="BE258" s="382"/>
      <c r="BF258" s="382"/>
      <c r="BG258" s="382"/>
      <c r="BH258" s="382"/>
      <c r="BI258" s="382"/>
      <c r="BJ258" s="382"/>
      <c r="BK258" s="382"/>
      <c r="BL258" s="382"/>
      <c r="BM258" s="382"/>
      <c r="BN258" s="382"/>
      <c r="BO258" s="382"/>
    </row>
    <row r="259" spans="1:67" s="88" customFormat="1" ht="10.55" customHeight="1" x14ac:dyDescent="0.2">
      <c r="A259" s="1013" t="s">
        <v>404</v>
      </c>
      <c r="B259" s="2807"/>
      <c r="C259" s="2808"/>
      <c r="D259" s="2809"/>
      <c r="E259" s="2561"/>
      <c r="F259" s="2562"/>
      <c r="G259" s="1785">
        <v>15</v>
      </c>
      <c r="H259" s="524"/>
      <c r="I259" s="1409">
        <f t="shared" si="60"/>
        <v>8.0766456051533542E-2</v>
      </c>
      <c r="J259" s="1421">
        <f t="shared" si="61"/>
        <v>0</v>
      </c>
      <c r="K259" s="678">
        <v>1.5</v>
      </c>
      <c r="L259" s="1002"/>
      <c r="M259" s="1428">
        <f t="shared" si="62"/>
        <v>0</v>
      </c>
      <c r="N259" s="1111"/>
      <c r="O259" s="674">
        <f t="shared" si="63"/>
        <v>15</v>
      </c>
      <c r="P259" s="682"/>
      <c r="Q259" s="286"/>
      <c r="R259" s="287"/>
      <c r="S259" s="280"/>
      <c r="T259" s="280"/>
      <c r="U259" s="280"/>
      <c r="V259" s="280"/>
      <c r="W259" s="280"/>
      <c r="X259" s="280"/>
      <c r="Y259" s="280"/>
      <c r="Z259" s="284"/>
      <c r="AA259" s="284"/>
      <c r="AB259" s="284"/>
      <c r="AC259" s="284"/>
      <c r="AD259" s="284"/>
      <c r="AE259" s="284"/>
      <c r="AF259" s="447"/>
      <c r="AG259" s="447"/>
      <c r="AH259" s="447"/>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L259" s="382"/>
      <c r="BM259" s="382"/>
      <c r="BN259" s="382"/>
      <c r="BO259" s="382"/>
    </row>
    <row r="260" spans="1:67" s="88" customFormat="1" ht="10.55" customHeight="1" x14ac:dyDescent="0.2">
      <c r="A260" s="1013" t="s">
        <v>405</v>
      </c>
      <c r="B260" s="2807"/>
      <c r="C260" s="2808"/>
      <c r="D260" s="2809"/>
      <c r="E260" s="2561"/>
      <c r="F260" s="2562"/>
      <c r="G260" s="1785">
        <v>15</v>
      </c>
      <c r="H260" s="524"/>
      <c r="I260" s="1409">
        <f t="shared" si="60"/>
        <v>8.0766456051533542E-2</v>
      </c>
      <c r="J260" s="1421">
        <f t="shared" si="61"/>
        <v>0</v>
      </c>
      <c r="K260" s="678">
        <v>0</v>
      </c>
      <c r="L260" s="1002"/>
      <c r="M260" s="1428">
        <f t="shared" si="62"/>
        <v>0</v>
      </c>
      <c r="N260" s="1111"/>
      <c r="O260" s="674">
        <f t="shared" si="63"/>
        <v>15</v>
      </c>
      <c r="P260" s="682"/>
      <c r="Q260" s="286"/>
      <c r="R260" s="287"/>
      <c r="S260" s="280"/>
      <c r="T260" s="280"/>
      <c r="U260" s="280"/>
      <c r="V260" s="280"/>
      <c r="W260" s="280"/>
      <c r="X260" s="280"/>
      <c r="Y260" s="280"/>
      <c r="Z260" s="284"/>
      <c r="AA260" s="284"/>
      <c r="AB260" s="284"/>
      <c r="AC260" s="284"/>
      <c r="AD260" s="284"/>
      <c r="AE260" s="284"/>
      <c r="AF260" s="447"/>
      <c r="AG260" s="447"/>
      <c r="AH260" s="447"/>
      <c r="AI260" s="382"/>
      <c r="AJ260" s="382"/>
      <c r="AK260" s="382"/>
      <c r="AL260" s="382"/>
      <c r="AM260" s="382"/>
      <c r="AN260" s="382"/>
      <c r="AO260" s="382"/>
      <c r="AP260" s="382"/>
      <c r="AQ260" s="382"/>
      <c r="AR260" s="382"/>
      <c r="AS260" s="382"/>
      <c r="AT260" s="382"/>
      <c r="AU260" s="382"/>
      <c r="AV260" s="382"/>
      <c r="AW260" s="382"/>
      <c r="AX260" s="382"/>
      <c r="AY260" s="382"/>
      <c r="AZ260" s="382"/>
      <c r="BA260" s="382"/>
      <c r="BB260" s="382"/>
      <c r="BC260" s="382"/>
      <c r="BD260" s="382"/>
      <c r="BE260" s="382"/>
      <c r="BF260" s="382"/>
      <c r="BG260" s="382"/>
      <c r="BH260" s="382"/>
      <c r="BI260" s="382"/>
      <c r="BJ260" s="382"/>
      <c r="BK260" s="382"/>
      <c r="BL260" s="382"/>
      <c r="BM260" s="382"/>
      <c r="BN260" s="382"/>
      <c r="BO260" s="382"/>
    </row>
    <row r="261" spans="1:67" s="88" customFormat="1" ht="10.55" customHeight="1" x14ac:dyDescent="0.2">
      <c r="A261" s="675"/>
      <c r="B261" s="2807"/>
      <c r="C261" s="2808"/>
      <c r="D261" s="2809"/>
      <c r="E261" s="2561"/>
      <c r="F261" s="2562"/>
      <c r="G261" s="1015"/>
      <c r="H261" s="524"/>
      <c r="I261" s="1409">
        <f t="shared" si="60"/>
        <v>0</v>
      </c>
      <c r="J261" s="1421">
        <f t="shared" si="61"/>
        <v>0</v>
      </c>
      <c r="K261" s="679"/>
      <c r="L261" s="1002"/>
      <c r="M261" s="1428">
        <f t="shared" si="62"/>
        <v>0</v>
      </c>
      <c r="N261" s="1111"/>
      <c r="O261" s="674">
        <f t="shared" si="63"/>
        <v>0</v>
      </c>
      <c r="P261" s="682"/>
      <c r="Q261" s="286"/>
      <c r="R261" s="287"/>
      <c r="S261" s="280"/>
      <c r="T261" s="280"/>
      <c r="U261" s="280"/>
      <c r="V261" s="280"/>
      <c r="W261" s="280"/>
      <c r="X261" s="280"/>
      <c r="Y261" s="280"/>
      <c r="Z261" s="284"/>
      <c r="AA261" s="284"/>
      <c r="AB261" s="284"/>
      <c r="AC261" s="284"/>
      <c r="AD261" s="284"/>
      <c r="AE261" s="284"/>
      <c r="AF261" s="447"/>
      <c r="AG261" s="447"/>
      <c r="AH261" s="447"/>
      <c r="AI261" s="382"/>
      <c r="AJ261" s="382"/>
      <c r="AK261" s="382"/>
      <c r="AL261" s="382"/>
      <c r="AM261" s="382"/>
      <c r="AN261" s="382"/>
      <c r="AO261" s="382"/>
      <c r="AP261" s="382"/>
      <c r="AQ261" s="382"/>
      <c r="AR261" s="382"/>
      <c r="AS261" s="382"/>
      <c r="AT261" s="382"/>
      <c r="AU261" s="382"/>
      <c r="AV261" s="382"/>
      <c r="AW261" s="382"/>
      <c r="AX261" s="382"/>
      <c r="AY261" s="382"/>
      <c r="AZ261" s="382"/>
      <c r="BA261" s="382"/>
      <c r="BB261" s="382"/>
      <c r="BC261" s="382"/>
      <c r="BD261" s="382"/>
      <c r="BE261" s="382"/>
      <c r="BF261" s="382"/>
      <c r="BG261" s="382"/>
      <c r="BH261" s="382"/>
      <c r="BI261" s="382"/>
      <c r="BJ261" s="382"/>
      <c r="BK261" s="382"/>
      <c r="BL261" s="382"/>
      <c r="BM261" s="382"/>
      <c r="BN261" s="382"/>
      <c r="BO261" s="382"/>
    </row>
    <row r="262" spans="1:67" s="88" customFormat="1" ht="10.55" customHeight="1" x14ac:dyDescent="0.2">
      <c r="A262" s="675"/>
      <c r="B262" s="2807"/>
      <c r="C262" s="2808"/>
      <c r="D262" s="2809"/>
      <c r="E262" s="2561"/>
      <c r="F262" s="2562"/>
      <c r="G262" s="1015"/>
      <c r="H262" s="524"/>
      <c r="I262" s="1409">
        <f t="shared" si="60"/>
        <v>0</v>
      </c>
      <c r="J262" s="1421">
        <f t="shared" si="61"/>
        <v>0</v>
      </c>
      <c r="K262" s="679"/>
      <c r="L262" s="1002"/>
      <c r="M262" s="1428">
        <f t="shared" si="62"/>
        <v>0</v>
      </c>
      <c r="N262" s="1111"/>
      <c r="O262" s="674">
        <f t="shared" si="63"/>
        <v>0</v>
      </c>
      <c r="P262" s="682"/>
      <c r="Q262" s="286"/>
      <c r="R262" s="287"/>
      <c r="S262" s="280"/>
      <c r="T262" s="280"/>
      <c r="U262" s="280"/>
      <c r="V262" s="280"/>
      <c r="W262" s="280"/>
      <c r="X262" s="280"/>
      <c r="Y262" s="280"/>
      <c r="Z262" s="284"/>
      <c r="AA262" s="284"/>
      <c r="AB262" s="284"/>
      <c r="AC262" s="284"/>
      <c r="AD262" s="284"/>
      <c r="AE262" s="284"/>
      <c r="AF262" s="447"/>
      <c r="AG262" s="447"/>
      <c r="AH262" s="447"/>
      <c r="AI262" s="382"/>
      <c r="AJ262" s="382"/>
      <c r="AK262" s="382"/>
      <c r="AL262" s="382"/>
      <c r="AM262" s="382"/>
      <c r="AN262" s="382"/>
      <c r="AO262" s="382"/>
      <c r="AP262" s="382"/>
      <c r="AQ262" s="382"/>
      <c r="AR262" s="382"/>
      <c r="AS262" s="382"/>
      <c r="AT262" s="382"/>
      <c r="AU262" s="382"/>
      <c r="AV262" s="382"/>
      <c r="AW262" s="382"/>
      <c r="AX262" s="382"/>
      <c r="AY262" s="382"/>
      <c r="AZ262" s="382"/>
      <c r="BA262" s="382"/>
      <c r="BB262" s="382"/>
      <c r="BC262" s="382"/>
      <c r="BD262" s="382"/>
      <c r="BE262" s="382"/>
      <c r="BF262" s="382"/>
      <c r="BG262" s="382"/>
      <c r="BH262" s="382"/>
      <c r="BI262" s="382"/>
      <c r="BJ262" s="382"/>
      <c r="BK262" s="382"/>
      <c r="BL262" s="382"/>
      <c r="BM262" s="382"/>
      <c r="BN262" s="382"/>
      <c r="BO262" s="382"/>
    </row>
    <row r="263" spans="1:67" s="88" customFormat="1" ht="10.55" customHeight="1" x14ac:dyDescent="0.2">
      <c r="A263" s="675"/>
      <c r="B263" s="2807"/>
      <c r="C263" s="2808"/>
      <c r="D263" s="2809"/>
      <c r="E263" s="2561"/>
      <c r="F263" s="2562"/>
      <c r="G263" s="1015"/>
      <c r="H263" s="524"/>
      <c r="I263" s="1409">
        <f t="shared" si="60"/>
        <v>0</v>
      </c>
      <c r="J263" s="1421">
        <f t="shared" si="61"/>
        <v>0</v>
      </c>
      <c r="K263" s="679"/>
      <c r="L263" s="1002"/>
      <c r="M263" s="1428">
        <f t="shared" si="62"/>
        <v>0</v>
      </c>
      <c r="N263" s="1111"/>
      <c r="O263" s="674">
        <f t="shared" si="63"/>
        <v>0</v>
      </c>
      <c r="P263" s="682"/>
      <c r="Q263" s="286"/>
      <c r="R263" s="287"/>
      <c r="S263" s="280"/>
      <c r="T263" s="280"/>
      <c r="U263" s="280"/>
      <c r="V263" s="280"/>
      <c r="W263" s="280"/>
      <c r="X263" s="280"/>
      <c r="Y263" s="280"/>
      <c r="Z263" s="284"/>
      <c r="AA263" s="284"/>
      <c r="AB263" s="284"/>
      <c r="AC263" s="284"/>
      <c r="AD263" s="284"/>
      <c r="AE263" s="284"/>
      <c r="AF263" s="447"/>
      <c r="AG263" s="447"/>
      <c r="AH263" s="447"/>
      <c r="AI263" s="382"/>
      <c r="AJ263" s="382"/>
      <c r="AK263" s="382"/>
      <c r="AL263" s="382"/>
      <c r="AM263" s="382"/>
      <c r="AN263" s="382"/>
      <c r="AO263" s="382"/>
      <c r="AP263" s="382"/>
      <c r="AQ263" s="382"/>
      <c r="AR263" s="382"/>
      <c r="AS263" s="382"/>
      <c r="AT263" s="382"/>
      <c r="AU263" s="382"/>
      <c r="AV263" s="382"/>
      <c r="AW263" s="382"/>
      <c r="AX263" s="382"/>
      <c r="AY263" s="382"/>
      <c r="AZ263" s="382"/>
      <c r="BA263" s="382"/>
      <c r="BB263" s="382"/>
      <c r="BC263" s="382"/>
      <c r="BD263" s="382"/>
      <c r="BE263" s="382"/>
      <c r="BF263" s="382"/>
      <c r="BG263" s="382"/>
      <c r="BH263" s="382"/>
      <c r="BI263" s="382"/>
      <c r="BJ263" s="382"/>
      <c r="BK263" s="382"/>
      <c r="BL263" s="382"/>
      <c r="BM263" s="382"/>
      <c r="BN263" s="382"/>
      <c r="BO263" s="382"/>
    </row>
    <row r="264" spans="1:67" s="88" customFormat="1" ht="10.55" customHeight="1" x14ac:dyDescent="0.2">
      <c r="A264" s="675"/>
      <c r="B264" s="2807"/>
      <c r="C264" s="2808"/>
      <c r="D264" s="2809"/>
      <c r="E264" s="2561"/>
      <c r="F264" s="2562"/>
      <c r="G264" s="1015"/>
      <c r="H264" s="524"/>
      <c r="I264" s="1409">
        <f t="shared" si="60"/>
        <v>0</v>
      </c>
      <c r="J264" s="1421">
        <f t="shared" si="61"/>
        <v>0</v>
      </c>
      <c r="K264" s="679"/>
      <c r="L264" s="1002"/>
      <c r="M264" s="1428">
        <f t="shared" si="62"/>
        <v>0</v>
      </c>
      <c r="N264" s="1111"/>
      <c r="O264" s="674">
        <f t="shared" si="63"/>
        <v>0</v>
      </c>
      <c r="P264" s="682"/>
      <c r="Q264" s="286"/>
      <c r="R264" s="287"/>
      <c r="S264" s="280"/>
      <c r="T264" s="280"/>
      <c r="U264" s="280"/>
      <c r="V264" s="280"/>
      <c r="W264" s="280"/>
      <c r="X264" s="280"/>
      <c r="Y264" s="280"/>
      <c r="Z264" s="284"/>
      <c r="AA264" s="284"/>
      <c r="AB264" s="284"/>
      <c r="AC264" s="284"/>
      <c r="AD264" s="284"/>
      <c r="AE264" s="284"/>
      <c r="AF264" s="447"/>
      <c r="AG264" s="447"/>
      <c r="AH264" s="447"/>
      <c r="AI264" s="382"/>
      <c r="AJ264" s="382"/>
      <c r="AK264" s="382"/>
      <c r="AL264" s="382"/>
      <c r="AM264" s="382"/>
      <c r="AN264" s="382"/>
      <c r="AO264" s="382"/>
      <c r="AP264" s="382"/>
      <c r="AQ264" s="382"/>
      <c r="AR264" s="382"/>
      <c r="AS264" s="382"/>
      <c r="AT264" s="382"/>
      <c r="AU264" s="382"/>
      <c r="AV264" s="382"/>
      <c r="AW264" s="382"/>
      <c r="AX264" s="382"/>
      <c r="AY264" s="382"/>
      <c r="AZ264" s="382"/>
      <c r="BA264" s="382"/>
      <c r="BB264" s="382"/>
      <c r="BC264" s="382"/>
      <c r="BD264" s="382"/>
      <c r="BE264" s="382"/>
      <c r="BF264" s="382"/>
      <c r="BG264" s="382"/>
      <c r="BH264" s="382"/>
      <c r="BI264" s="382"/>
      <c r="BJ264" s="382"/>
      <c r="BK264" s="382"/>
      <c r="BL264" s="382"/>
      <c r="BM264" s="382"/>
      <c r="BN264" s="382"/>
      <c r="BO264" s="382"/>
    </row>
    <row r="265" spans="1:67" s="88" customFormat="1" ht="10.55" customHeight="1" x14ac:dyDescent="0.2">
      <c r="A265" s="675"/>
      <c r="B265" s="2807"/>
      <c r="C265" s="2808"/>
      <c r="D265" s="2809"/>
      <c r="E265" s="2561"/>
      <c r="F265" s="2562"/>
      <c r="G265" s="1015"/>
      <c r="H265" s="524"/>
      <c r="I265" s="1409">
        <f t="shared" si="60"/>
        <v>0</v>
      </c>
      <c r="J265" s="1421">
        <f t="shared" si="61"/>
        <v>0</v>
      </c>
      <c r="K265" s="679"/>
      <c r="L265" s="1002"/>
      <c r="M265" s="1428">
        <f t="shared" si="62"/>
        <v>0</v>
      </c>
      <c r="N265" s="1111"/>
      <c r="O265" s="674">
        <f t="shared" si="63"/>
        <v>0</v>
      </c>
      <c r="P265" s="682"/>
      <c r="Q265" s="286"/>
      <c r="R265" s="287"/>
      <c r="S265" s="280"/>
      <c r="T265" s="280"/>
      <c r="U265" s="280"/>
      <c r="V265" s="280"/>
      <c r="W265" s="280"/>
      <c r="X265" s="280"/>
      <c r="Y265" s="280"/>
      <c r="Z265" s="284"/>
      <c r="AA265" s="284"/>
      <c r="AB265" s="284"/>
      <c r="AC265" s="284"/>
      <c r="AD265" s="284"/>
      <c r="AE265" s="284"/>
      <c r="AF265" s="447"/>
      <c r="AG265" s="447"/>
      <c r="AH265" s="447"/>
      <c r="AI265" s="382"/>
      <c r="AJ265" s="382"/>
      <c r="AK265" s="382"/>
      <c r="AL265" s="382"/>
      <c r="AM265" s="382"/>
      <c r="AN265" s="382"/>
      <c r="AO265" s="382"/>
      <c r="AP265" s="382"/>
      <c r="AQ265" s="382"/>
      <c r="AR265" s="382"/>
      <c r="AS265" s="382"/>
      <c r="AT265" s="382"/>
      <c r="AU265" s="382"/>
      <c r="AV265" s="382"/>
      <c r="AW265" s="382"/>
      <c r="AX265" s="382"/>
      <c r="AY265" s="382"/>
      <c r="AZ265" s="382"/>
      <c r="BA265" s="382"/>
      <c r="BB265" s="382"/>
      <c r="BC265" s="382"/>
      <c r="BD265" s="382"/>
      <c r="BE265" s="382"/>
      <c r="BF265" s="382"/>
      <c r="BG265" s="382"/>
      <c r="BH265" s="382"/>
      <c r="BI265" s="382"/>
      <c r="BJ265" s="382"/>
      <c r="BK265" s="382"/>
      <c r="BL265" s="382"/>
      <c r="BM265" s="382"/>
      <c r="BN265" s="382"/>
      <c r="BO265" s="382"/>
    </row>
    <row r="266" spans="1:67" s="88" customFormat="1" ht="10.55" customHeight="1" x14ac:dyDescent="0.2">
      <c r="A266" s="675"/>
      <c r="B266" s="2807"/>
      <c r="C266" s="2808"/>
      <c r="D266" s="2809"/>
      <c r="E266" s="2561"/>
      <c r="F266" s="2562"/>
      <c r="G266" s="1015"/>
      <c r="H266" s="524"/>
      <c r="I266" s="1409">
        <f t="shared" si="60"/>
        <v>0</v>
      </c>
      <c r="J266" s="1421">
        <f t="shared" si="61"/>
        <v>0</v>
      </c>
      <c r="K266" s="679"/>
      <c r="L266" s="1002"/>
      <c r="M266" s="1428">
        <f t="shared" si="62"/>
        <v>0</v>
      </c>
      <c r="N266" s="1111"/>
      <c r="O266" s="674">
        <f t="shared" si="63"/>
        <v>0</v>
      </c>
      <c r="P266" s="682"/>
      <c r="Q266" s="286"/>
      <c r="R266" s="287"/>
      <c r="S266" s="280"/>
      <c r="T266" s="280"/>
      <c r="U266" s="280"/>
      <c r="V266" s="280"/>
      <c r="W266" s="280"/>
      <c r="X266" s="280"/>
      <c r="Y266" s="280"/>
      <c r="Z266" s="284"/>
      <c r="AA266" s="284"/>
      <c r="AB266" s="284"/>
      <c r="AC266" s="284"/>
      <c r="AD266" s="284"/>
      <c r="AE266" s="284"/>
      <c r="AF266" s="447"/>
      <c r="AG266" s="447"/>
      <c r="AH266" s="447"/>
      <c r="AI266" s="382"/>
      <c r="AJ266" s="382"/>
      <c r="AK266" s="382"/>
      <c r="AL266" s="382"/>
      <c r="AM266" s="382"/>
      <c r="AN266" s="382"/>
      <c r="AO266" s="382"/>
      <c r="AP266" s="382"/>
      <c r="AQ266" s="382"/>
      <c r="AR266" s="382"/>
      <c r="AS266" s="382"/>
      <c r="AT266" s="382"/>
      <c r="AU266" s="382"/>
      <c r="AV266" s="382"/>
      <c r="AW266" s="382"/>
      <c r="AX266" s="382"/>
      <c r="AY266" s="382"/>
      <c r="AZ266" s="382"/>
      <c r="BA266" s="382"/>
      <c r="BB266" s="382"/>
      <c r="BC266" s="382"/>
      <c r="BD266" s="382"/>
      <c r="BE266" s="382"/>
      <c r="BF266" s="382"/>
      <c r="BG266" s="382"/>
      <c r="BH266" s="382"/>
      <c r="BI266" s="382"/>
      <c r="BJ266" s="382"/>
      <c r="BK266" s="382"/>
      <c r="BL266" s="382"/>
      <c r="BM266" s="382"/>
      <c r="BN266" s="382"/>
      <c r="BO266" s="382"/>
    </row>
    <row r="267" spans="1:67" s="88" customFormat="1" ht="10.55" customHeight="1" x14ac:dyDescent="0.2">
      <c r="A267" s="675"/>
      <c r="B267" s="2807"/>
      <c r="C267" s="2808"/>
      <c r="D267" s="2809"/>
      <c r="E267" s="2561"/>
      <c r="F267" s="2562"/>
      <c r="G267" s="1015"/>
      <c r="H267" s="524"/>
      <c r="I267" s="1409">
        <f t="shared" si="60"/>
        <v>0</v>
      </c>
      <c r="J267" s="1421">
        <f t="shared" si="61"/>
        <v>0</v>
      </c>
      <c r="K267" s="679"/>
      <c r="L267" s="1002"/>
      <c r="M267" s="1428">
        <f t="shared" si="62"/>
        <v>0</v>
      </c>
      <c r="N267" s="1111"/>
      <c r="O267" s="674">
        <f t="shared" si="63"/>
        <v>0</v>
      </c>
      <c r="P267" s="682"/>
      <c r="Q267" s="286"/>
      <c r="R267" s="287"/>
      <c r="S267" s="280"/>
      <c r="T267" s="280"/>
      <c r="U267" s="280"/>
      <c r="V267" s="280"/>
      <c r="W267" s="280"/>
      <c r="X267" s="280"/>
      <c r="Y267" s="280"/>
      <c r="Z267" s="284"/>
      <c r="AA267" s="284"/>
      <c r="AB267" s="284"/>
      <c r="AC267" s="284"/>
      <c r="AD267" s="284"/>
      <c r="AE267" s="284"/>
      <c r="AF267" s="447"/>
      <c r="AG267" s="447"/>
      <c r="AH267" s="447"/>
      <c r="AI267" s="382"/>
      <c r="AJ267" s="382"/>
      <c r="AK267" s="382"/>
      <c r="AL267" s="382"/>
      <c r="AM267" s="382"/>
      <c r="AN267" s="382"/>
      <c r="AO267" s="382"/>
      <c r="AP267" s="382"/>
      <c r="AQ267" s="382"/>
      <c r="AR267" s="382"/>
      <c r="AS267" s="382"/>
      <c r="AT267" s="382"/>
      <c r="AU267" s="382"/>
      <c r="AV267" s="382"/>
      <c r="AW267" s="382"/>
      <c r="AX267" s="382"/>
      <c r="AY267" s="382"/>
      <c r="AZ267" s="382"/>
      <c r="BA267" s="382"/>
      <c r="BB267" s="382"/>
      <c r="BC267" s="382"/>
      <c r="BD267" s="382"/>
      <c r="BE267" s="382"/>
      <c r="BF267" s="382"/>
      <c r="BG267" s="382"/>
      <c r="BH267" s="382"/>
      <c r="BI267" s="382"/>
      <c r="BJ267" s="382"/>
      <c r="BK267" s="382"/>
      <c r="BL267" s="382"/>
      <c r="BM267" s="382"/>
      <c r="BN267" s="382"/>
      <c r="BO267" s="382"/>
    </row>
    <row r="268" spans="1:67" s="88" customFormat="1" ht="10.55" customHeight="1" x14ac:dyDescent="0.2">
      <c r="A268" s="675"/>
      <c r="B268" s="2807"/>
      <c r="C268" s="2808"/>
      <c r="D268" s="2809"/>
      <c r="E268" s="2561"/>
      <c r="F268" s="2562"/>
      <c r="G268" s="1015"/>
      <c r="H268" s="524"/>
      <c r="I268" s="1409">
        <f t="shared" si="60"/>
        <v>0</v>
      </c>
      <c r="J268" s="1421">
        <f t="shared" si="61"/>
        <v>0</v>
      </c>
      <c r="K268" s="679"/>
      <c r="L268" s="1002"/>
      <c r="M268" s="1428">
        <f t="shared" si="62"/>
        <v>0</v>
      </c>
      <c r="N268" s="1111"/>
      <c r="O268" s="674">
        <f t="shared" si="63"/>
        <v>0</v>
      </c>
      <c r="P268" s="682"/>
      <c r="Q268" s="286"/>
      <c r="R268" s="287"/>
      <c r="S268" s="280"/>
      <c r="T268" s="280"/>
      <c r="U268" s="280"/>
      <c r="V268" s="280"/>
      <c r="W268" s="280"/>
      <c r="X268" s="280"/>
      <c r="Y268" s="280"/>
      <c r="Z268" s="284"/>
      <c r="AA268" s="284"/>
      <c r="AB268" s="284"/>
      <c r="AC268" s="284"/>
      <c r="AD268" s="284"/>
      <c r="AE268" s="284"/>
      <c r="AF268" s="447"/>
      <c r="AG268" s="447"/>
      <c r="AH268" s="447"/>
      <c r="AI268" s="382"/>
      <c r="AJ268" s="382"/>
      <c r="AK268" s="382"/>
      <c r="AL268" s="382"/>
      <c r="AM268" s="382"/>
      <c r="AN268" s="382"/>
      <c r="AO268" s="382"/>
      <c r="AP268" s="382"/>
      <c r="AQ268" s="382"/>
      <c r="AR268" s="382"/>
      <c r="AS268" s="382"/>
      <c r="AT268" s="382"/>
      <c r="AU268" s="382"/>
      <c r="AV268" s="382"/>
      <c r="AW268" s="382"/>
      <c r="AX268" s="382"/>
      <c r="AY268" s="382"/>
      <c r="AZ268" s="382"/>
      <c r="BA268" s="382"/>
      <c r="BB268" s="382"/>
      <c r="BC268" s="382"/>
      <c r="BD268" s="382"/>
      <c r="BE268" s="382"/>
      <c r="BF268" s="382"/>
      <c r="BG268" s="382"/>
      <c r="BH268" s="382"/>
      <c r="BI268" s="382"/>
      <c r="BJ268" s="382"/>
      <c r="BK268" s="382"/>
      <c r="BL268" s="382"/>
      <c r="BM268" s="382"/>
      <c r="BN268" s="382"/>
      <c r="BO268" s="382"/>
    </row>
    <row r="269" spans="1:67" s="88" customFormat="1" ht="10.55" customHeight="1" x14ac:dyDescent="0.2">
      <c r="A269" s="675"/>
      <c r="B269" s="2807"/>
      <c r="C269" s="2808"/>
      <c r="D269" s="2809"/>
      <c r="E269" s="2561"/>
      <c r="F269" s="2562"/>
      <c r="G269" s="1015"/>
      <c r="H269" s="524"/>
      <c r="I269" s="1409">
        <f t="shared" si="60"/>
        <v>0</v>
      </c>
      <c r="J269" s="1421">
        <f t="shared" si="61"/>
        <v>0</v>
      </c>
      <c r="K269" s="679"/>
      <c r="L269" s="1002"/>
      <c r="M269" s="1428">
        <f t="shared" si="62"/>
        <v>0</v>
      </c>
      <c r="N269" s="1111"/>
      <c r="O269" s="674">
        <f t="shared" si="63"/>
        <v>0</v>
      </c>
      <c r="P269" s="682"/>
      <c r="Q269" s="286"/>
      <c r="R269" s="287"/>
      <c r="S269" s="280"/>
      <c r="T269" s="280"/>
      <c r="U269" s="280"/>
      <c r="V269" s="280"/>
      <c r="W269" s="280"/>
      <c r="X269" s="280"/>
      <c r="Y269" s="280"/>
      <c r="Z269" s="284"/>
      <c r="AA269" s="284"/>
      <c r="AB269" s="284"/>
      <c r="AC269" s="284"/>
      <c r="AD269" s="284"/>
      <c r="AE269" s="284"/>
      <c r="AF269" s="447"/>
      <c r="AG269" s="447"/>
      <c r="AH269" s="447"/>
      <c r="AI269" s="382"/>
      <c r="AJ269" s="382"/>
      <c r="AK269" s="382"/>
      <c r="AL269" s="382"/>
      <c r="AM269" s="382"/>
      <c r="AN269" s="382"/>
      <c r="AO269" s="382"/>
      <c r="AP269" s="382"/>
      <c r="AQ269" s="382"/>
      <c r="AR269" s="382"/>
      <c r="AS269" s="382"/>
      <c r="AT269" s="382"/>
      <c r="AU269" s="382"/>
      <c r="AV269" s="382"/>
      <c r="AW269" s="382"/>
      <c r="AX269" s="382"/>
      <c r="AY269" s="382"/>
      <c r="AZ269" s="382"/>
      <c r="BA269" s="382"/>
      <c r="BB269" s="382"/>
      <c r="BC269" s="382"/>
      <c r="BD269" s="382"/>
      <c r="BE269" s="382"/>
      <c r="BF269" s="382"/>
      <c r="BG269" s="382"/>
      <c r="BH269" s="382"/>
      <c r="BI269" s="382"/>
      <c r="BJ269" s="382"/>
      <c r="BK269" s="382"/>
      <c r="BL269" s="382"/>
      <c r="BM269" s="382"/>
      <c r="BN269" s="382"/>
      <c r="BO269" s="382"/>
    </row>
    <row r="270" spans="1:67" s="88" customFormat="1" ht="10.55" customHeight="1" x14ac:dyDescent="0.2">
      <c r="A270" s="1017"/>
      <c r="B270" s="2804"/>
      <c r="C270" s="2805"/>
      <c r="D270" s="2806"/>
      <c r="E270" s="2793"/>
      <c r="F270" s="2794"/>
      <c r="G270" s="1018"/>
      <c r="H270" s="1019"/>
      <c r="I270" s="1436">
        <f t="shared" si="60"/>
        <v>0</v>
      </c>
      <c r="J270" s="1422"/>
      <c r="K270" s="680"/>
      <c r="L270" s="1020"/>
      <c r="M270" s="1429">
        <f t="shared" si="62"/>
        <v>0</v>
      </c>
      <c r="N270" s="1111"/>
      <c r="O270" s="674">
        <f t="shared" si="63"/>
        <v>0</v>
      </c>
      <c r="P270" s="682"/>
      <c r="Q270" s="286"/>
      <c r="R270" s="287"/>
      <c r="S270" s="280"/>
      <c r="T270" s="280"/>
      <c r="U270" s="280"/>
      <c r="V270" s="280"/>
      <c r="W270" s="280"/>
      <c r="X270" s="280"/>
      <c r="Y270" s="280"/>
      <c r="Z270" s="284"/>
      <c r="AA270" s="284"/>
      <c r="AB270" s="284"/>
      <c r="AC270" s="284"/>
      <c r="AD270" s="284"/>
      <c r="AE270" s="284"/>
      <c r="AF270" s="447"/>
      <c r="AG270" s="447"/>
      <c r="AH270" s="447"/>
      <c r="AI270" s="382"/>
      <c r="AJ270" s="382"/>
      <c r="AK270" s="382"/>
      <c r="AL270" s="382"/>
      <c r="AM270" s="382"/>
      <c r="AN270" s="382"/>
      <c r="AO270" s="382"/>
      <c r="AP270" s="382"/>
      <c r="AQ270" s="382"/>
      <c r="AR270" s="382"/>
      <c r="AS270" s="382"/>
      <c r="AT270" s="382"/>
      <c r="AU270" s="382"/>
      <c r="AV270" s="382"/>
      <c r="AW270" s="382"/>
      <c r="AX270" s="382"/>
      <c r="AY270" s="382"/>
      <c r="AZ270" s="382"/>
      <c r="BA270" s="382"/>
      <c r="BB270" s="382"/>
      <c r="BC270" s="382"/>
      <c r="BD270" s="382"/>
      <c r="BE270" s="382"/>
      <c r="BF270" s="382"/>
      <c r="BG270" s="382"/>
      <c r="BH270" s="382"/>
      <c r="BI270" s="382"/>
      <c r="BJ270" s="382"/>
      <c r="BK270" s="382"/>
      <c r="BL270" s="382"/>
      <c r="BM270" s="382"/>
      <c r="BN270" s="382"/>
      <c r="BO270" s="382"/>
    </row>
    <row r="271" spans="1:67" s="88" customFormat="1" ht="10.55" customHeight="1" x14ac:dyDescent="0.2">
      <c r="A271" s="1122" t="s">
        <v>406</v>
      </c>
      <c r="B271" s="2783"/>
      <c r="C271" s="2784"/>
      <c r="D271" s="2785"/>
      <c r="E271" s="2810">
        <f>SUM(E272:E284)</f>
        <v>0</v>
      </c>
      <c r="F271" s="2811"/>
      <c r="G271" s="2747"/>
      <c r="H271" s="2748"/>
      <c r="I271" s="1435">
        <f>IF(E271=0,0,J271/E271)</f>
        <v>0</v>
      </c>
      <c r="J271" s="1423">
        <f>SUM(J272:J284)</f>
        <v>0</v>
      </c>
      <c r="K271" s="2749">
        <f>IF(E271=0,0,M271/E271*100)</f>
        <v>0</v>
      </c>
      <c r="L271" s="2750"/>
      <c r="M271" s="1430">
        <f>SUM(M272:M284)</f>
        <v>0</v>
      </c>
      <c r="N271" s="1111"/>
      <c r="O271" s="387">
        <f>IF(H271="",G271,H271)</f>
        <v>0</v>
      </c>
      <c r="P271" s="682"/>
      <c r="Q271" s="286"/>
      <c r="R271" s="287"/>
      <c r="S271" s="280"/>
      <c r="T271" s="280"/>
      <c r="U271" s="280"/>
      <c r="V271" s="280"/>
      <c r="W271" s="280"/>
      <c r="X271" s="280"/>
      <c r="Y271" s="280"/>
      <c r="Z271" s="284"/>
      <c r="AA271" s="284"/>
      <c r="AB271" s="284"/>
      <c r="AC271" s="284"/>
      <c r="AD271" s="284"/>
      <c r="AE271" s="284"/>
      <c r="AF271" s="447"/>
      <c r="AG271" s="447"/>
      <c r="AH271" s="447"/>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2"/>
      <c r="BL271" s="382"/>
      <c r="BM271" s="382"/>
      <c r="BN271" s="382"/>
      <c r="BO271" s="382"/>
    </row>
    <row r="272" spans="1:67" s="88" customFormat="1" ht="10.55" customHeight="1" x14ac:dyDescent="0.2">
      <c r="A272" s="1013" t="s">
        <v>407</v>
      </c>
      <c r="B272" s="2790"/>
      <c r="C272" s="2791"/>
      <c r="D272" s="2792"/>
      <c r="E272" s="2734"/>
      <c r="F272" s="2735"/>
      <c r="G272" s="1785">
        <v>15</v>
      </c>
      <c r="H272" s="524"/>
      <c r="I272" s="1409">
        <f t="shared" ref="I272:I285" si="64">IF($O272&gt;0,-PMT(($I$9),$O272,1),0)</f>
        <v>8.0766456051533542E-2</v>
      </c>
      <c r="J272" s="1421">
        <f t="shared" ref="J272:J284" si="65">ROUND(E272*I272,0)</f>
        <v>0</v>
      </c>
      <c r="K272" s="678">
        <v>0</v>
      </c>
      <c r="L272" s="1002"/>
      <c r="M272" s="1428">
        <f t="shared" ref="M272:M285" si="66">ROUND(E272/100*IF(ISBLANK(L272),K272,L272),0)</f>
        <v>0</v>
      </c>
      <c r="N272" s="1111"/>
      <c r="O272" s="674">
        <f t="shared" ref="O272:O285" si="67">IF(ISBLANK(H272),G272,H272)</f>
        <v>15</v>
      </c>
      <c r="P272" s="682"/>
      <c r="Q272" s="286"/>
      <c r="R272" s="287"/>
      <c r="S272" s="280"/>
      <c r="T272" s="280"/>
      <c r="U272" s="280"/>
      <c r="V272" s="280"/>
      <c r="W272" s="280"/>
      <c r="X272" s="280"/>
      <c r="Y272" s="280"/>
      <c r="Z272" s="284"/>
      <c r="AA272" s="284"/>
      <c r="AB272" s="284"/>
      <c r="AC272" s="284"/>
      <c r="AD272" s="284"/>
      <c r="AE272" s="284"/>
      <c r="AF272" s="447"/>
      <c r="AG272" s="447"/>
      <c r="AH272" s="447"/>
      <c r="AI272" s="382"/>
      <c r="AJ272" s="382"/>
      <c r="AK272" s="382"/>
      <c r="AL272" s="382"/>
      <c r="AM272" s="382"/>
      <c r="AN272" s="382"/>
      <c r="AO272" s="382"/>
      <c r="AP272" s="382"/>
      <c r="AQ272" s="382"/>
      <c r="AR272" s="382"/>
      <c r="AS272" s="382"/>
      <c r="AT272" s="382"/>
      <c r="AU272" s="382"/>
      <c r="AV272" s="382"/>
      <c r="AW272" s="382"/>
      <c r="AX272" s="382"/>
      <c r="AY272" s="382"/>
      <c r="AZ272" s="382"/>
      <c r="BA272" s="382"/>
      <c r="BB272" s="382"/>
      <c r="BC272" s="382"/>
      <c r="BD272" s="382"/>
      <c r="BE272" s="382"/>
      <c r="BF272" s="382"/>
      <c r="BG272" s="382"/>
      <c r="BH272" s="382"/>
      <c r="BI272" s="382"/>
      <c r="BJ272" s="382"/>
      <c r="BK272" s="382"/>
      <c r="BL272" s="382"/>
      <c r="BM272" s="382"/>
      <c r="BN272" s="382"/>
      <c r="BO272" s="382"/>
    </row>
    <row r="273" spans="1:67" s="88" customFormat="1" ht="10.55" customHeight="1" x14ac:dyDescent="0.2">
      <c r="A273" s="1013" t="s">
        <v>408</v>
      </c>
      <c r="B273" s="2807"/>
      <c r="C273" s="2808"/>
      <c r="D273" s="2809"/>
      <c r="E273" s="2561"/>
      <c r="F273" s="2562"/>
      <c r="G273" s="1785">
        <v>15</v>
      </c>
      <c r="H273" s="524"/>
      <c r="I273" s="1409">
        <f t="shared" si="64"/>
        <v>8.0766456051533542E-2</v>
      </c>
      <c r="J273" s="1421">
        <f t="shared" si="65"/>
        <v>0</v>
      </c>
      <c r="K273" s="678">
        <v>0</v>
      </c>
      <c r="L273" s="1002"/>
      <c r="M273" s="1428">
        <f t="shared" si="66"/>
        <v>0</v>
      </c>
      <c r="N273" s="1111"/>
      <c r="O273" s="674">
        <f t="shared" si="67"/>
        <v>15</v>
      </c>
      <c r="P273" s="682"/>
      <c r="Q273" s="286"/>
      <c r="R273" s="287"/>
      <c r="S273" s="280"/>
      <c r="T273" s="280"/>
      <c r="U273" s="280"/>
      <c r="V273" s="280"/>
      <c r="W273" s="280"/>
      <c r="X273" s="280"/>
      <c r="Y273" s="280"/>
      <c r="Z273" s="284"/>
      <c r="AA273" s="284"/>
      <c r="AB273" s="284"/>
      <c r="AC273" s="284"/>
      <c r="AD273" s="284"/>
      <c r="AE273" s="284"/>
      <c r="AF273" s="447"/>
      <c r="AG273" s="447"/>
      <c r="AH273" s="447"/>
      <c r="AI273" s="382"/>
      <c r="AJ273" s="382"/>
      <c r="AK273" s="382"/>
      <c r="AL273" s="382"/>
      <c r="AM273" s="382"/>
      <c r="AN273" s="382"/>
      <c r="AO273" s="382"/>
      <c r="AP273" s="382"/>
      <c r="AQ273" s="382"/>
      <c r="AR273" s="382"/>
      <c r="AS273" s="382"/>
      <c r="AT273" s="382"/>
      <c r="AU273" s="382"/>
      <c r="AV273" s="382"/>
      <c r="AW273" s="382"/>
      <c r="AX273" s="382"/>
      <c r="AY273" s="382"/>
      <c r="AZ273" s="382"/>
      <c r="BA273" s="382"/>
      <c r="BB273" s="382"/>
      <c r="BC273" s="382"/>
      <c r="BD273" s="382"/>
      <c r="BE273" s="382"/>
      <c r="BF273" s="382"/>
      <c r="BG273" s="382"/>
      <c r="BH273" s="382"/>
      <c r="BI273" s="382"/>
      <c r="BJ273" s="382"/>
      <c r="BK273" s="382"/>
      <c r="BL273" s="382"/>
      <c r="BM273" s="382"/>
      <c r="BN273" s="382"/>
      <c r="BO273" s="382"/>
    </row>
    <row r="274" spans="1:67" s="88" customFormat="1" ht="10.55" customHeight="1" x14ac:dyDescent="0.2">
      <c r="A274" s="1013" t="s">
        <v>409</v>
      </c>
      <c r="B274" s="2807"/>
      <c r="C274" s="2808"/>
      <c r="D274" s="2809"/>
      <c r="E274" s="2561"/>
      <c r="F274" s="2562"/>
      <c r="G274" s="1785">
        <v>20</v>
      </c>
      <c r="H274" s="524"/>
      <c r="I274" s="1409">
        <f t="shared" si="64"/>
        <v>6.4147128734474465E-2</v>
      </c>
      <c r="J274" s="1421">
        <f t="shared" si="65"/>
        <v>0</v>
      </c>
      <c r="K274" s="678">
        <v>1</v>
      </c>
      <c r="L274" s="1002"/>
      <c r="M274" s="1428">
        <f t="shared" si="66"/>
        <v>0</v>
      </c>
      <c r="N274" s="1111"/>
      <c r="O274" s="674">
        <f t="shared" si="67"/>
        <v>20</v>
      </c>
      <c r="P274" s="682"/>
      <c r="Q274" s="286"/>
      <c r="R274" s="287"/>
      <c r="S274" s="280"/>
      <c r="T274" s="280"/>
      <c r="U274" s="280"/>
      <c r="V274" s="280"/>
      <c r="W274" s="280"/>
      <c r="X274" s="280"/>
      <c r="Y274" s="280"/>
      <c r="Z274" s="284"/>
      <c r="AA274" s="284"/>
      <c r="AB274" s="284"/>
      <c r="AC274" s="284"/>
      <c r="AD274" s="284"/>
      <c r="AE274" s="284"/>
      <c r="AF274" s="447"/>
      <c r="AG274" s="447"/>
      <c r="AH274" s="447"/>
      <c r="AI274" s="382"/>
      <c r="AJ274" s="382"/>
      <c r="AK274" s="382"/>
      <c r="AL274" s="382"/>
      <c r="AM274" s="382"/>
      <c r="AN274" s="382"/>
      <c r="AO274" s="382"/>
      <c r="AP274" s="382"/>
      <c r="AQ274" s="382"/>
      <c r="AR274" s="382"/>
      <c r="AS274" s="382"/>
      <c r="AT274" s="382"/>
      <c r="AU274" s="382"/>
      <c r="AV274" s="382"/>
      <c r="AW274" s="382"/>
      <c r="AX274" s="382"/>
      <c r="AY274" s="382"/>
      <c r="AZ274" s="382"/>
      <c r="BA274" s="382"/>
      <c r="BB274" s="382"/>
      <c r="BC274" s="382"/>
      <c r="BD274" s="382"/>
      <c r="BE274" s="382"/>
      <c r="BF274" s="382"/>
      <c r="BG274" s="382"/>
      <c r="BH274" s="382"/>
      <c r="BI274" s="382"/>
      <c r="BJ274" s="382"/>
      <c r="BK274" s="382"/>
      <c r="BL274" s="382"/>
      <c r="BM274" s="382"/>
      <c r="BN274" s="382"/>
      <c r="BO274" s="382"/>
    </row>
    <row r="275" spans="1:67" s="88" customFormat="1" ht="10.55" customHeight="1" x14ac:dyDescent="0.2">
      <c r="A275" s="1013" t="s">
        <v>410</v>
      </c>
      <c r="B275" s="2807"/>
      <c r="C275" s="2808"/>
      <c r="D275" s="2809"/>
      <c r="E275" s="2561"/>
      <c r="F275" s="2562"/>
      <c r="G275" s="1785">
        <v>30</v>
      </c>
      <c r="H275" s="524"/>
      <c r="I275" s="1409">
        <f t="shared" si="64"/>
        <v>4.7777640736176463E-2</v>
      </c>
      <c r="J275" s="1421">
        <f t="shared" si="65"/>
        <v>0</v>
      </c>
      <c r="K275" s="678">
        <v>0.5</v>
      </c>
      <c r="L275" s="1002"/>
      <c r="M275" s="1428">
        <f t="shared" si="66"/>
        <v>0</v>
      </c>
      <c r="N275" s="1111"/>
      <c r="O275" s="674">
        <f t="shared" si="67"/>
        <v>30</v>
      </c>
      <c r="P275" s="682"/>
      <c r="Q275" s="286"/>
      <c r="R275" s="287"/>
      <c r="S275" s="280"/>
      <c r="T275" s="280"/>
      <c r="U275" s="280"/>
      <c r="V275" s="280"/>
      <c r="W275" s="280"/>
      <c r="X275" s="280"/>
      <c r="Y275" s="280"/>
      <c r="Z275" s="284"/>
      <c r="AA275" s="284"/>
      <c r="AB275" s="284"/>
      <c r="AC275" s="284"/>
      <c r="AD275" s="284"/>
      <c r="AE275" s="284"/>
      <c r="AF275" s="447"/>
      <c r="AG275" s="447"/>
      <c r="AH275" s="447"/>
      <c r="AI275" s="382"/>
      <c r="AJ275" s="382"/>
      <c r="AK275" s="382"/>
      <c r="AL275" s="382"/>
      <c r="AM275" s="382"/>
      <c r="AN275" s="382"/>
      <c r="AO275" s="382"/>
      <c r="AP275" s="382"/>
      <c r="AQ275" s="382"/>
      <c r="AR275" s="382"/>
      <c r="AS275" s="382"/>
      <c r="AT275" s="382"/>
      <c r="AU275" s="382"/>
      <c r="AV275" s="382"/>
      <c r="AW275" s="382"/>
      <c r="AX275" s="382"/>
      <c r="AY275" s="382"/>
      <c r="AZ275" s="382"/>
      <c r="BA275" s="382"/>
      <c r="BB275" s="382"/>
      <c r="BC275" s="382"/>
      <c r="BD275" s="382"/>
      <c r="BE275" s="382"/>
      <c r="BF275" s="382"/>
      <c r="BG275" s="382"/>
      <c r="BH275" s="382"/>
      <c r="BI275" s="382"/>
      <c r="BJ275" s="382"/>
      <c r="BK275" s="382"/>
      <c r="BL275" s="382"/>
      <c r="BM275" s="382"/>
      <c r="BN275" s="382"/>
      <c r="BO275" s="382"/>
    </row>
    <row r="276" spans="1:67" s="88" customFormat="1" ht="10.55" customHeight="1" x14ac:dyDescent="0.2">
      <c r="A276" s="1013" t="s">
        <v>283</v>
      </c>
      <c r="B276" s="2807"/>
      <c r="C276" s="2808"/>
      <c r="D276" s="2809"/>
      <c r="E276" s="2561"/>
      <c r="F276" s="2562"/>
      <c r="G276" s="1785">
        <v>15</v>
      </c>
      <c r="H276" s="524"/>
      <c r="I276" s="1409">
        <f t="shared" si="64"/>
        <v>8.0766456051533542E-2</v>
      </c>
      <c r="J276" s="1421">
        <f t="shared" si="65"/>
        <v>0</v>
      </c>
      <c r="K276" s="678">
        <v>2</v>
      </c>
      <c r="L276" s="1002"/>
      <c r="M276" s="1428">
        <f t="shared" si="66"/>
        <v>0</v>
      </c>
      <c r="N276" s="1111"/>
      <c r="O276" s="674">
        <f t="shared" si="67"/>
        <v>15</v>
      </c>
      <c r="P276" s="682"/>
      <c r="Q276" s="286"/>
      <c r="R276" s="287"/>
      <c r="S276" s="280"/>
      <c r="T276" s="280"/>
      <c r="U276" s="280"/>
      <c r="V276" s="280"/>
      <c r="W276" s="280"/>
      <c r="X276" s="280"/>
      <c r="Y276" s="280"/>
      <c r="Z276" s="284"/>
      <c r="AA276" s="284"/>
      <c r="AB276" s="284"/>
      <c r="AC276" s="284"/>
      <c r="AD276" s="284"/>
      <c r="AE276" s="284"/>
      <c r="AF276" s="447"/>
      <c r="AG276" s="447"/>
      <c r="AH276" s="447"/>
      <c r="AI276" s="382"/>
      <c r="AJ276" s="382"/>
      <c r="AK276" s="382"/>
      <c r="AL276" s="382"/>
      <c r="AM276" s="382"/>
      <c r="AN276" s="382"/>
      <c r="AO276" s="382"/>
      <c r="AP276" s="382"/>
      <c r="AQ276" s="382"/>
      <c r="AR276" s="382"/>
      <c r="AS276" s="382"/>
      <c r="AT276" s="382"/>
      <c r="AU276" s="382"/>
      <c r="AV276" s="382"/>
      <c r="AW276" s="382"/>
      <c r="AX276" s="382"/>
      <c r="AY276" s="382"/>
      <c r="AZ276" s="382"/>
      <c r="BA276" s="382"/>
      <c r="BB276" s="382"/>
      <c r="BC276" s="382"/>
      <c r="BD276" s="382"/>
      <c r="BE276" s="382"/>
      <c r="BF276" s="382"/>
      <c r="BG276" s="382"/>
      <c r="BH276" s="382"/>
      <c r="BI276" s="382"/>
      <c r="BJ276" s="382"/>
      <c r="BK276" s="382"/>
      <c r="BL276" s="382"/>
      <c r="BM276" s="382"/>
      <c r="BN276" s="382"/>
      <c r="BO276" s="382"/>
    </row>
    <row r="277" spans="1:67" s="88" customFormat="1" ht="10.55" customHeight="1" x14ac:dyDescent="0.2">
      <c r="A277" s="1013" t="s">
        <v>411</v>
      </c>
      <c r="B277" s="2807"/>
      <c r="C277" s="2808"/>
      <c r="D277" s="2809"/>
      <c r="E277" s="2561"/>
      <c r="F277" s="2562"/>
      <c r="G277" s="1785">
        <v>20</v>
      </c>
      <c r="H277" s="524"/>
      <c r="I277" s="1409">
        <f t="shared" si="64"/>
        <v>6.4147128734474465E-2</v>
      </c>
      <c r="J277" s="1421">
        <f t="shared" si="65"/>
        <v>0</v>
      </c>
      <c r="K277" s="678">
        <v>1</v>
      </c>
      <c r="L277" s="1002"/>
      <c r="M277" s="1428">
        <f t="shared" si="66"/>
        <v>0</v>
      </c>
      <c r="N277" s="1111"/>
      <c r="O277" s="674">
        <f t="shared" si="67"/>
        <v>20</v>
      </c>
      <c r="P277" s="682"/>
      <c r="Q277" s="286"/>
      <c r="R277" s="287"/>
      <c r="S277" s="280"/>
      <c r="T277" s="280"/>
      <c r="U277" s="280"/>
      <c r="V277" s="280"/>
      <c r="W277" s="280"/>
      <c r="X277" s="280"/>
      <c r="Y277" s="280"/>
      <c r="Z277" s="284"/>
      <c r="AA277" s="284"/>
      <c r="AB277" s="284"/>
      <c r="AC277" s="284"/>
      <c r="AD277" s="284"/>
      <c r="AE277" s="284"/>
      <c r="AF277" s="447"/>
      <c r="AG277" s="447"/>
      <c r="AH277" s="447"/>
      <c r="AI277" s="382"/>
      <c r="AJ277" s="382"/>
      <c r="AK277" s="382"/>
      <c r="AL277" s="382"/>
      <c r="AM277" s="382"/>
      <c r="AN277" s="382"/>
      <c r="AO277" s="382"/>
      <c r="AP277" s="382"/>
      <c r="AQ277" s="382"/>
      <c r="AR277" s="382"/>
      <c r="AS277" s="382"/>
      <c r="AT277" s="382"/>
      <c r="AU277" s="382"/>
      <c r="AV277" s="382"/>
      <c r="AW277" s="382"/>
      <c r="AX277" s="382"/>
      <c r="AY277" s="382"/>
      <c r="AZ277" s="382"/>
      <c r="BA277" s="382"/>
      <c r="BB277" s="382"/>
      <c r="BC277" s="382"/>
      <c r="BD277" s="382"/>
      <c r="BE277" s="382"/>
      <c r="BF277" s="382"/>
      <c r="BG277" s="382"/>
      <c r="BH277" s="382"/>
      <c r="BI277" s="382"/>
      <c r="BJ277" s="382"/>
      <c r="BK277" s="382"/>
      <c r="BL277" s="382"/>
      <c r="BM277" s="382"/>
      <c r="BN277" s="382"/>
      <c r="BO277" s="382"/>
    </row>
    <row r="278" spans="1:67" s="88" customFormat="1" ht="10.55" customHeight="1" x14ac:dyDescent="0.2">
      <c r="A278" s="1013" t="s">
        <v>412</v>
      </c>
      <c r="B278" s="2807"/>
      <c r="C278" s="2808"/>
      <c r="D278" s="2809"/>
      <c r="E278" s="2561"/>
      <c r="F278" s="2562"/>
      <c r="G278" s="1785">
        <v>20</v>
      </c>
      <c r="H278" s="524"/>
      <c r="I278" s="1409">
        <f t="shared" si="64"/>
        <v>6.4147128734474465E-2</v>
      </c>
      <c r="J278" s="1421">
        <f t="shared" si="65"/>
        <v>0</v>
      </c>
      <c r="K278" s="678">
        <v>1</v>
      </c>
      <c r="L278" s="1002"/>
      <c r="M278" s="1428">
        <f t="shared" si="66"/>
        <v>0</v>
      </c>
      <c r="N278" s="1111"/>
      <c r="O278" s="674">
        <f t="shared" si="67"/>
        <v>20</v>
      </c>
      <c r="P278" s="682"/>
      <c r="Q278" s="286"/>
      <c r="R278" s="287"/>
      <c r="S278" s="280"/>
      <c r="T278" s="280"/>
      <c r="U278" s="280"/>
      <c r="V278" s="280"/>
      <c r="W278" s="280"/>
      <c r="X278" s="280"/>
      <c r="Y278" s="280"/>
      <c r="Z278" s="284"/>
      <c r="AA278" s="284"/>
      <c r="AB278" s="284"/>
      <c r="AC278" s="284"/>
      <c r="AD278" s="284"/>
      <c r="AE278" s="284"/>
      <c r="AF278" s="447"/>
      <c r="AG278" s="447"/>
      <c r="AH278" s="447"/>
      <c r="AI278" s="382"/>
      <c r="AJ278" s="382"/>
      <c r="AK278" s="382"/>
      <c r="AL278" s="382"/>
      <c r="AM278" s="382"/>
      <c r="AN278" s="382"/>
      <c r="AO278" s="382"/>
      <c r="AP278" s="382"/>
      <c r="AQ278" s="382"/>
      <c r="AR278" s="382"/>
      <c r="AS278" s="382"/>
      <c r="AT278" s="382"/>
      <c r="AU278" s="382"/>
      <c r="AV278" s="382"/>
      <c r="AW278" s="382"/>
      <c r="AX278" s="382"/>
      <c r="AY278" s="382"/>
      <c r="AZ278" s="382"/>
      <c r="BA278" s="382"/>
      <c r="BB278" s="382"/>
      <c r="BC278" s="382"/>
      <c r="BD278" s="382"/>
      <c r="BE278" s="382"/>
      <c r="BF278" s="382"/>
      <c r="BG278" s="382"/>
      <c r="BH278" s="382"/>
      <c r="BI278" s="382"/>
      <c r="BJ278" s="382"/>
      <c r="BK278" s="382"/>
      <c r="BL278" s="382"/>
      <c r="BM278" s="382"/>
      <c r="BN278" s="382"/>
      <c r="BO278" s="382"/>
    </row>
    <row r="279" spans="1:67" s="88" customFormat="1" ht="10.55" customHeight="1" x14ac:dyDescent="0.2">
      <c r="A279" s="1013" t="s">
        <v>413</v>
      </c>
      <c r="B279" s="2807"/>
      <c r="C279" s="2808"/>
      <c r="D279" s="2809"/>
      <c r="E279" s="2561"/>
      <c r="F279" s="2562"/>
      <c r="G279" s="1785">
        <v>15</v>
      </c>
      <c r="H279" s="524"/>
      <c r="I279" s="1409">
        <f t="shared" si="64"/>
        <v>8.0766456051533542E-2</v>
      </c>
      <c r="J279" s="1421">
        <f t="shared" si="65"/>
        <v>0</v>
      </c>
      <c r="K279" s="678">
        <v>2.5</v>
      </c>
      <c r="L279" s="1002"/>
      <c r="M279" s="1428">
        <f t="shared" si="66"/>
        <v>0</v>
      </c>
      <c r="N279" s="1111"/>
      <c r="O279" s="674">
        <f t="shared" si="67"/>
        <v>15</v>
      </c>
      <c r="P279" s="682"/>
      <c r="Q279" s="286"/>
      <c r="R279" s="287"/>
      <c r="S279" s="280"/>
      <c r="T279" s="280"/>
      <c r="U279" s="280"/>
      <c r="V279" s="280"/>
      <c r="W279" s="280"/>
      <c r="X279" s="280"/>
      <c r="Y279" s="280"/>
      <c r="Z279" s="284"/>
      <c r="AA279" s="284"/>
      <c r="AB279" s="284"/>
      <c r="AC279" s="284"/>
      <c r="AD279" s="284"/>
      <c r="AE279" s="284"/>
      <c r="AF279" s="447"/>
      <c r="AG279" s="447"/>
      <c r="AH279" s="447"/>
      <c r="AI279" s="382"/>
      <c r="AJ279" s="382"/>
      <c r="AK279" s="382"/>
      <c r="AL279" s="382"/>
      <c r="AM279" s="382"/>
      <c r="AN279" s="382"/>
      <c r="AO279" s="382"/>
      <c r="AP279" s="382"/>
      <c r="AQ279" s="382"/>
      <c r="AR279" s="382"/>
      <c r="AS279" s="382"/>
      <c r="AT279" s="382"/>
      <c r="AU279" s="382"/>
      <c r="AV279" s="382"/>
      <c r="AW279" s="382"/>
      <c r="AX279" s="382"/>
      <c r="AY279" s="382"/>
      <c r="AZ279" s="382"/>
      <c r="BA279" s="382"/>
      <c r="BB279" s="382"/>
      <c r="BC279" s="382"/>
      <c r="BD279" s="382"/>
      <c r="BE279" s="382"/>
      <c r="BF279" s="382"/>
      <c r="BG279" s="382"/>
      <c r="BH279" s="382"/>
      <c r="BI279" s="382"/>
      <c r="BJ279" s="382"/>
      <c r="BK279" s="382"/>
      <c r="BL279" s="382"/>
      <c r="BM279" s="382"/>
      <c r="BN279" s="382"/>
      <c r="BO279" s="382"/>
    </row>
    <row r="280" spans="1:67" s="88" customFormat="1" ht="10.55" customHeight="1" x14ac:dyDescent="0.2">
      <c r="A280" s="1013" t="s">
        <v>414</v>
      </c>
      <c r="B280" s="2807"/>
      <c r="C280" s="2808"/>
      <c r="D280" s="2809"/>
      <c r="E280" s="2561"/>
      <c r="F280" s="2562"/>
      <c r="G280" s="1785">
        <v>15</v>
      </c>
      <c r="H280" s="524"/>
      <c r="I280" s="1409">
        <f t="shared" si="64"/>
        <v>8.0766456051533542E-2</v>
      </c>
      <c r="J280" s="1421">
        <f t="shared" si="65"/>
        <v>0</v>
      </c>
      <c r="K280" s="678">
        <v>2.5</v>
      </c>
      <c r="L280" s="1002"/>
      <c r="M280" s="1428">
        <f t="shared" si="66"/>
        <v>0</v>
      </c>
      <c r="N280" s="1111"/>
      <c r="O280" s="674">
        <f t="shared" si="67"/>
        <v>15</v>
      </c>
      <c r="P280" s="682"/>
      <c r="Q280" s="286"/>
      <c r="R280" s="287"/>
      <c r="S280" s="280"/>
      <c r="T280" s="280"/>
      <c r="U280" s="280"/>
      <c r="V280" s="280"/>
      <c r="W280" s="280"/>
      <c r="X280" s="280"/>
      <c r="Y280" s="280"/>
      <c r="Z280" s="284"/>
      <c r="AA280" s="284"/>
      <c r="AB280" s="284"/>
      <c r="AC280" s="284"/>
      <c r="AD280" s="284"/>
      <c r="AE280" s="284"/>
      <c r="AF280" s="447"/>
      <c r="AG280" s="447"/>
      <c r="AH280" s="447"/>
      <c r="AI280" s="382"/>
      <c r="AJ280" s="382"/>
      <c r="AK280" s="382"/>
      <c r="AL280" s="382"/>
      <c r="AM280" s="382"/>
      <c r="AN280" s="382"/>
      <c r="AO280" s="382"/>
      <c r="AP280" s="382"/>
      <c r="AQ280" s="382"/>
      <c r="AR280" s="382"/>
      <c r="AS280" s="382"/>
      <c r="AT280" s="382"/>
      <c r="AU280" s="382"/>
      <c r="AV280" s="382"/>
      <c r="AW280" s="382"/>
      <c r="AX280" s="382"/>
      <c r="AY280" s="382"/>
      <c r="AZ280" s="382"/>
      <c r="BA280" s="382"/>
      <c r="BB280" s="382"/>
      <c r="BC280" s="382"/>
      <c r="BD280" s="382"/>
      <c r="BE280" s="382"/>
      <c r="BF280" s="382"/>
      <c r="BG280" s="382"/>
      <c r="BH280" s="382"/>
      <c r="BI280" s="382"/>
      <c r="BJ280" s="382"/>
      <c r="BK280" s="382"/>
      <c r="BL280" s="382"/>
      <c r="BM280" s="382"/>
      <c r="BN280" s="382"/>
      <c r="BO280" s="382"/>
    </row>
    <row r="281" spans="1:67" s="88" customFormat="1" ht="10.55" customHeight="1" x14ac:dyDescent="0.2">
      <c r="A281" s="675"/>
      <c r="B281" s="2807"/>
      <c r="C281" s="2808"/>
      <c r="D281" s="2809"/>
      <c r="E281" s="2561"/>
      <c r="F281" s="2562"/>
      <c r="G281" s="1015"/>
      <c r="H281" s="524"/>
      <c r="I281" s="1409">
        <f t="shared" si="64"/>
        <v>0</v>
      </c>
      <c r="J281" s="1421">
        <f t="shared" si="65"/>
        <v>0</v>
      </c>
      <c r="K281" s="679"/>
      <c r="L281" s="1002"/>
      <c r="M281" s="1428">
        <f t="shared" si="66"/>
        <v>0</v>
      </c>
      <c r="N281" s="1111"/>
      <c r="O281" s="674">
        <f t="shared" si="67"/>
        <v>0</v>
      </c>
      <c r="P281" s="682"/>
      <c r="Q281" s="286"/>
      <c r="R281" s="287"/>
      <c r="S281" s="280"/>
      <c r="T281" s="280"/>
      <c r="U281" s="280"/>
      <c r="V281" s="280"/>
      <c r="W281" s="280"/>
      <c r="X281" s="280"/>
      <c r="Y281" s="280"/>
      <c r="Z281" s="284"/>
      <c r="AA281" s="284"/>
      <c r="AB281" s="284"/>
      <c r="AC281" s="284"/>
      <c r="AD281" s="284"/>
      <c r="AE281" s="284"/>
      <c r="AF281" s="447"/>
      <c r="AG281" s="447"/>
      <c r="AH281" s="447"/>
      <c r="AI281" s="382"/>
      <c r="AJ281" s="382"/>
      <c r="AK281" s="382"/>
      <c r="AL281" s="382"/>
      <c r="AM281" s="382"/>
      <c r="AN281" s="382"/>
      <c r="AO281" s="382"/>
      <c r="AP281" s="382"/>
      <c r="AQ281" s="382"/>
      <c r="AR281" s="382"/>
      <c r="AS281" s="382"/>
      <c r="AT281" s="382"/>
      <c r="AU281" s="382"/>
      <c r="AV281" s="382"/>
      <c r="AW281" s="382"/>
      <c r="AX281" s="382"/>
      <c r="AY281" s="382"/>
      <c r="AZ281" s="382"/>
      <c r="BA281" s="382"/>
      <c r="BB281" s="382"/>
      <c r="BC281" s="382"/>
      <c r="BD281" s="382"/>
      <c r="BE281" s="382"/>
      <c r="BF281" s="382"/>
      <c r="BG281" s="382"/>
      <c r="BH281" s="382"/>
      <c r="BI281" s="382"/>
      <c r="BJ281" s="382"/>
      <c r="BK281" s="382"/>
      <c r="BL281" s="382"/>
      <c r="BM281" s="382"/>
      <c r="BN281" s="382"/>
      <c r="BO281" s="382"/>
    </row>
    <row r="282" spans="1:67" s="88" customFormat="1" ht="10.55" customHeight="1" x14ac:dyDescent="0.2">
      <c r="A282" s="675"/>
      <c r="B282" s="2807"/>
      <c r="C282" s="2808"/>
      <c r="D282" s="2809"/>
      <c r="E282" s="2561"/>
      <c r="F282" s="2562"/>
      <c r="G282" s="1015"/>
      <c r="H282" s="524"/>
      <c r="I282" s="1409">
        <f t="shared" si="64"/>
        <v>0</v>
      </c>
      <c r="J282" s="1421">
        <f t="shared" si="65"/>
        <v>0</v>
      </c>
      <c r="K282" s="679"/>
      <c r="L282" s="1002"/>
      <c r="M282" s="1428">
        <f t="shared" si="66"/>
        <v>0</v>
      </c>
      <c r="N282" s="1111"/>
      <c r="O282" s="674">
        <f t="shared" si="67"/>
        <v>0</v>
      </c>
      <c r="P282" s="682"/>
      <c r="Q282" s="286"/>
      <c r="R282" s="287"/>
      <c r="S282" s="280"/>
      <c r="T282" s="280"/>
      <c r="U282" s="280"/>
      <c r="V282" s="280"/>
      <c r="W282" s="280"/>
      <c r="X282" s="280"/>
      <c r="Y282" s="280"/>
      <c r="Z282" s="284"/>
      <c r="AA282" s="284"/>
      <c r="AB282" s="284"/>
      <c r="AC282" s="284"/>
      <c r="AD282" s="284"/>
      <c r="AE282" s="284"/>
      <c r="AF282" s="447"/>
      <c r="AG282" s="447"/>
      <c r="AH282" s="447"/>
      <c r="AI282" s="382"/>
      <c r="AJ282" s="382"/>
      <c r="AK282" s="382"/>
      <c r="AL282" s="382"/>
      <c r="AM282" s="382"/>
      <c r="AN282" s="382"/>
      <c r="AO282" s="382"/>
      <c r="AP282" s="382"/>
      <c r="AQ282" s="382"/>
      <c r="AR282" s="382"/>
      <c r="AS282" s="382"/>
      <c r="AT282" s="382"/>
      <c r="AU282" s="382"/>
      <c r="AV282" s="382"/>
      <c r="AW282" s="382"/>
      <c r="AX282" s="382"/>
      <c r="AY282" s="382"/>
      <c r="AZ282" s="382"/>
      <c r="BA282" s="382"/>
      <c r="BB282" s="382"/>
      <c r="BC282" s="382"/>
      <c r="BD282" s="382"/>
      <c r="BE282" s="382"/>
      <c r="BF282" s="382"/>
      <c r="BG282" s="382"/>
      <c r="BH282" s="382"/>
      <c r="BI282" s="382"/>
      <c r="BJ282" s="382"/>
      <c r="BK282" s="382"/>
      <c r="BL282" s="382"/>
      <c r="BM282" s="382"/>
      <c r="BN282" s="382"/>
      <c r="BO282" s="382"/>
    </row>
    <row r="283" spans="1:67" s="88" customFormat="1" ht="10.55" customHeight="1" x14ac:dyDescent="0.2">
      <c r="A283" s="675"/>
      <c r="B283" s="2807"/>
      <c r="C283" s="2808"/>
      <c r="D283" s="2809"/>
      <c r="E283" s="2561"/>
      <c r="F283" s="2562"/>
      <c r="G283" s="1015"/>
      <c r="H283" s="524"/>
      <c r="I283" s="1409">
        <f t="shared" si="64"/>
        <v>0</v>
      </c>
      <c r="J283" s="1421">
        <f t="shared" si="65"/>
        <v>0</v>
      </c>
      <c r="K283" s="679"/>
      <c r="L283" s="1002"/>
      <c r="M283" s="1428">
        <f t="shared" si="66"/>
        <v>0</v>
      </c>
      <c r="N283" s="1111"/>
      <c r="O283" s="674">
        <f t="shared" si="67"/>
        <v>0</v>
      </c>
      <c r="P283" s="682"/>
      <c r="Q283" s="286"/>
      <c r="R283" s="287"/>
      <c r="S283" s="280"/>
      <c r="T283" s="280"/>
      <c r="U283" s="280"/>
      <c r="V283" s="280"/>
      <c r="W283" s="280"/>
      <c r="X283" s="280"/>
      <c r="Y283" s="280"/>
      <c r="Z283" s="284"/>
      <c r="AA283" s="284"/>
      <c r="AB283" s="284"/>
      <c r="AC283" s="284"/>
      <c r="AD283" s="284"/>
      <c r="AE283" s="284"/>
      <c r="AF283" s="447"/>
      <c r="AG283" s="447"/>
      <c r="AH283" s="447"/>
      <c r="AI283" s="382"/>
      <c r="AJ283" s="382"/>
      <c r="AK283" s="382"/>
      <c r="AL283" s="382"/>
      <c r="AM283" s="382"/>
      <c r="AN283" s="382"/>
      <c r="AO283" s="382"/>
      <c r="AP283" s="382"/>
      <c r="AQ283" s="382"/>
      <c r="AR283" s="382"/>
      <c r="AS283" s="382"/>
      <c r="AT283" s="382"/>
      <c r="AU283" s="382"/>
      <c r="AV283" s="382"/>
      <c r="AW283" s="382"/>
      <c r="AX283" s="382"/>
      <c r="AY283" s="382"/>
      <c r="AZ283" s="382"/>
      <c r="BA283" s="382"/>
      <c r="BB283" s="382"/>
      <c r="BC283" s="382"/>
      <c r="BD283" s="382"/>
      <c r="BE283" s="382"/>
      <c r="BF283" s="382"/>
      <c r="BG283" s="382"/>
      <c r="BH283" s="382"/>
      <c r="BI283" s="382"/>
      <c r="BJ283" s="382"/>
      <c r="BK283" s="382"/>
      <c r="BL283" s="382"/>
      <c r="BM283" s="382"/>
      <c r="BN283" s="382"/>
      <c r="BO283" s="382"/>
    </row>
    <row r="284" spans="1:67" s="88" customFormat="1" ht="10.55" customHeight="1" x14ac:dyDescent="0.2">
      <c r="A284" s="675"/>
      <c r="B284" s="2807"/>
      <c r="C284" s="2808"/>
      <c r="D284" s="2809"/>
      <c r="E284" s="2561"/>
      <c r="F284" s="2562"/>
      <c r="G284" s="1015"/>
      <c r="H284" s="524"/>
      <c r="I284" s="1409">
        <f t="shared" si="64"/>
        <v>0</v>
      </c>
      <c r="J284" s="1421">
        <f t="shared" si="65"/>
        <v>0</v>
      </c>
      <c r="K284" s="679"/>
      <c r="L284" s="1002"/>
      <c r="M284" s="1428">
        <f t="shared" si="66"/>
        <v>0</v>
      </c>
      <c r="N284" s="1111"/>
      <c r="O284" s="674">
        <f t="shared" si="67"/>
        <v>0</v>
      </c>
      <c r="P284" s="682"/>
      <c r="Q284" s="286"/>
      <c r="R284" s="287"/>
      <c r="S284" s="280"/>
      <c r="T284" s="280"/>
      <c r="U284" s="280"/>
      <c r="V284" s="280"/>
      <c r="W284" s="280"/>
      <c r="X284" s="280"/>
      <c r="Y284" s="280"/>
      <c r="Z284" s="284"/>
      <c r="AA284" s="284"/>
      <c r="AB284" s="284"/>
      <c r="AC284" s="284"/>
      <c r="AD284" s="284"/>
      <c r="AE284" s="284"/>
      <c r="AF284" s="447"/>
      <c r="AG284" s="447"/>
      <c r="AH284" s="447"/>
      <c r="AI284" s="382"/>
      <c r="AJ284" s="382"/>
      <c r="AK284" s="382"/>
      <c r="AL284" s="382"/>
      <c r="AM284" s="382"/>
      <c r="AN284" s="382"/>
      <c r="AO284" s="382"/>
      <c r="AP284" s="382"/>
      <c r="AQ284" s="382"/>
      <c r="AR284" s="382"/>
      <c r="AS284" s="382"/>
      <c r="AT284" s="382"/>
      <c r="AU284" s="382"/>
      <c r="AV284" s="382"/>
      <c r="AW284" s="382"/>
      <c r="AX284" s="382"/>
      <c r="AY284" s="382"/>
      <c r="AZ284" s="382"/>
      <c r="BA284" s="382"/>
      <c r="BB284" s="382"/>
      <c r="BC284" s="382"/>
      <c r="BD284" s="382"/>
      <c r="BE284" s="382"/>
      <c r="BF284" s="382"/>
      <c r="BG284" s="382"/>
      <c r="BH284" s="382"/>
      <c r="BI284" s="382"/>
      <c r="BJ284" s="382"/>
      <c r="BK284" s="382"/>
      <c r="BL284" s="382"/>
      <c r="BM284" s="382"/>
      <c r="BN284" s="382"/>
      <c r="BO284" s="382"/>
    </row>
    <row r="285" spans="1:67" s="88" customFormat="1" ht="10.55" customHeight="1" x14ac:dyDescent="0.2">
      <c r="A285" s="1085"/>
      <c r="B285" s="2804"/>
      <c r="C285" s="2805"/>
      <c r="D285" s="2806"/>
      <c r="E285" s="2793"/>
      <c r="F285" s="2794"/>
      <c r="G285" s="1086"/>
      <c r="H285" s="1087"/>
      <c r="I285" s="1437">
        <f t="shared" si="64"/>
        <v>0</v>
      </c>
      <c r="J285" s="1413"/>
      <c r="K285" s="1088"/>
      <c r="L285" s="1089"/>
      <c r="M285" s="1431">
        <f t="shared" si="66"/>
        <v>0</v>
      </c>
      <c r="N285" s="1111"/>
      <c r="O285" s="674">
        <f t="shared" si="67"/>
        <v>0</v>
      </c>
      <c r="P285" s="682"/>
      <c r="Q285" s="286"/>
      <c r="R285" s="287"/>
      <c r="S285" s="280"/>
      <c r="T285" s="280"/>
      <c r="U285" s="280"/>
      <c r="V285" s="280"/>
      <c r="W285" s="280"/>
      <c r="X285" s="280"/>
      <c r="Y285" s="280"/>
      <c r="Z285" s="284"/>
      <c r="AA285" s="284"/>
      <c r="AB285" s="284"/>
      <c r="AC285" s="284"/>
      <c r="AD285" s="284"/>
      <c r="AE285" s="284"/>
      <c r="AF285" s="447"/>
      <c r="AG285" s="447"/>
      <c r="AH285" s="447"/>
      <c r="AI285" s="382"/>
      <c r="AJ285" s="382"/>
      <c r="AK285" s="382"/>
      <c r="AL285" s="382"/>
      <c r="AM285" s="382"/>
      <c r="AN285" s="382"/>
      <c r="AO285" s="382"/>
      <c r="AP285" s="382"/>
      <c r="AQ285" s="382"/>
      <c r="AR285" s="382"/>
      <c r="AS285" s="382"/>
      <c r="AT285" s="382"/>
      <c r="AU285" s="382"/>
      <c r="AV285" s="382"/>
      <c r="AW285" s="382"/>
      <c r="AX285" s="382"/>
      <c r="AY285" s="382"/>
      <c r="AZ285" s="382"/>
      <c r="BA285" s="382"/>
      <c r="BB285" s="382"/>
      <c r="BC285" s="382"/>
      <c r="BD285" s="382"/>
      <c r="BE285" s="382"/>
      <c r="BF285" s="382"/>
      <c r="BG285" s="382"/>
      <c r="BH285" s="382"/>
      <c r="BI285" s="382"/>
      <c r="BJ285" s="382"/>
      <c r="BK285" s="382"/>
      <c r="BL285" s="382"/>
      <c r="BM285" s="382"/>
      <c r="BN285" s="382"/>
      <c r="BO285" s="382"/>
    </row>
    <row r="286" spans="1:67" s="88" customFormat="1" ht="10.55" customHeight="1" x14ac:dyDescent="0.2">
      <c r="A286" s="1122" t="s">
        <v>415</v>
      </c>
      <c r="B286" s="2783"/>
      <c r="C286" s="2784"/>
      <c r="D286" s="2785"/>
      <c r="E286" s="2810">
        <f>SUM(E287:E299)</f>
        <v>0</v>
      </c>
      <c r="F286" s="2811"/>
      <c r="G286" s="2747"/>
      <c r="H286" s="2748"/>
      <c r="I286" s="1435">
        <f>IF(E286=0,0,J286/E286)</f>
        <v>0</v>
      </c>
      <c r="J286" s="1423">
        <f>SUM(J287:J299)</f>
        <v>0</v>
      </c>
      <c r="K286" s="2749">
        <f>IF(E286=0,0,M286/E286*100)</f>
        <v>0</v>
      </c>
      <c r="L286" s="2750"/>
      <c r="M286" s="1430">
        <f>SUM(M287:M299)</f>
        <v>0</v>
      </c>
      <c r="N286" s="1111"/>
      <c r="O286" s="387">
        <f>IF(H286="",G286,H286)</f>
        <v>0</v>
      </c>
      <c r="P286" s="682"/>
      <c r="Q286" s="286"/>
      <c r="R286" s="287"/>
      <c r="S286" s="280"/>
      <c r="T286" s="280"/>
      <c r="U286" s="280"/>
      <c r="V286" s="280"/>
      <c r="W286" s="280"/>
      <c r="X286" s="280"/>
      <c r="Y286" s="280"/>
      <c r="Z286" s="284"/>
      <c r="AA286" s="284"/>
      <c r="AB286" s="284"/>
      <c r="AC286" s="284"/>
      <c r="AD286" s="284"/>
      <c r="AE286" s="284"/>
      <c r="AF286" s="447"/>
      <c r="AG286" s="447"/>
      <c r="AH286" s="447"/>
      <c r="AI286" s="382"/>
      <c r="AJ286" s="382"/>
      <c r="AK286" s="382"/>
      <c r="AL286" s="382"/>
      <c r="AM286" s="382"/>
      <c r="AN286" s="382"/>
      <c r="AO286" s="382"/>
      <c r="AP286" s="382"/>
      <c r="AQ286" s="382"/>
      <c r="AR286" s="382"/>
      <c r="AS286" s="382"/>
      <c r="AT286" s="382"/>
      <c r="AU286" s="382"/>
      <c r="AV286" s="382"/>
      <c r="AW286" s="382"/>
      <c r="AX286" s="382"/>
      <c r="AY286" s="382"/>
      <c r="AZ286" s="382"/>
      <c r="BA286" s="382"/>
      <c r="BB286" s="382"/>
      <c r="BC286" s="382"/>
      <c r="BD286" s="382"/>
      <c r="BE286" s="382"/>
      <c r="BF286" s="382"/>
      <c r="BG286" s="382"/>
      <c r="BH286" s="382"/>
      <c r="BI286" s="382"/>
      <c r="BJ286" s="382"/>
      <c r="BK286" s="382"/>
      <c r="BL286" s="382"/>
      <c r="BM286" s="382"/>
      <c r="BN286" s="382"/>
      <c r="BO286" s="382"/>
    </row>
    <row r="287" spans="1:67" s="88" customFormat="1" ht="10.55" customHeight="1" x14ac:dyDescent="0.2">
      <c r="A287" s="1013" t="s">
        <v>416</v>
      </c>
      <c r="B287" s="2790"/>
      <c r="C287" s="2791"/>
      <c r="D287" s="2792"/>
      <c r="E287" s="2734"/>
      <c r="F287" s="2735"/>
      <c r="G287" s="1785">
        <v>20</v>
      </c>
      <c r="H287" s="524"/>
      <c r="I287" s="1409">
        <f t="shared" ref="I287:I300" si="68">IF($O287&gt;0,-PMT(($I$9),$O287,1),0)</f>
        <v>6.4147128734474465E-2</v>
      </c>
      <c r="J287" s="1421">
        <f t="shared" ref="J287:J299" si="69">ROUND(E287*I287,0)</f>
        <v>0</v>
      </c>
      <c r="K287" s="687"/>
      <c r="L287" s="1003"/>
      <c r="M287" s="1428">
        <f t="shared" ref="M287:M300" si="70">ROUND(E287/100*IF(ISBLANK(L287),K287,L287),0)</f>
        <v>0</v>
      </c>
      <c r="N287" s="1111"/>
      <c r="O287" s="674">
        <f t="shared" ref="O287:O300" si="71">IF(ISBLANK(H287),G287,H287)</f>
        <v>20</v>
      </c>
      <c r="P287" s="682"/>
      <c r="Q287" s="286"/>
      <c r="R287" s="287"/>
      <c r="S287" s="280"/>
      <c r="T287" s="280"/>
      <c r="U287" s="280"/>
      <c r="V287" s="280"/>
      <c r="W287" s="280"/>
      <c r="X287" s="280"/>
      <c r="Y287" s="280"/>
      <c r="Z287" s="284"/>
      <c r="AA287" s="284"/>
      <c r="AB287" s="284"/>
      <c r="AC287" s="284"/>
      <c r="AD287" s="284"/>
      <c r="AE287" s="284"/>
      <c r="AF287" s="447"/>
      <c r="AG287" s="447"/>
      <c r="AH287" s="447"/>
      <c r="AI287" s="382"/>
      <c r="AJ287" s="382"/>
      <c r="AK287" s="382"/>
      <c r="AL287" s="382"/>
      <c r="AM287" s="382"/>
      <c r="AN287" s="382"/>
      <c r="AO287" s="382"/>
      <c r="AP287" s="382"/>
      <c r="AQ287" s="382"/>
      <c r="AR287" s="382"/>
      <c r="AS287" s="382"/>
      <c r="AT287" s="382"/>
      <c r="AU287" s="382"/>
      <c r="AV287" s="382"/>
      <c r="AW287" s="382"/>
      <c r="AX287" s="382"/>
      <c r="AY287" s="382"/>
      <c r="AZ287" s="382"/>
      <c r="BA287" s="382"/>
      <c r="BB287" s="382"/>
      <c r="BC287" s="382"/>
      <c r="BD287" s="382"/>
      <c r="BE287" s="382"/>
      <c r="BF287" s="382"/>
      <c r="BG287" s="382"/>
      <c r="BH287" s="382"/>
      <c r="BI287" s="382"/>
      <c r="BJ287" s="382"/>
      <c r="BK287" s="382"/>
      <c r="BL287" s="382"/>
      <c r="BM287" s="382"/>
      <c r="BN287" s="382"/>
      <c r="BO287" s="382"/>
    </row>
    <row r="288" spans="1:67" s="88" customFormat="1" ht="10.55" customHeight="1" x14ac:dyDescent="0.2">
      <c r="A288" s="1013" t="s">
        <v>417</v>
      </c>
      <c r="B288" s="2807"/>
      <c r="C288" s="2808"/>
      <c r="D288" s="2809"/>
      <c r="E288" s="2561"/>
      <c r="F288" s="2562"/>
      <c r="G288" s="1785">
        <v>20</v>
      </c>
      <c r="H288" s="524"/>
      <c r="I288" s="1409">
        <f t="shared" si="68"/>
        <v>6.4147128734474465E-2</v>
      </c>
      <c r="J288" s="1421">
        <f t="shared" si="69"/>
        <v>0</v>
      </c>
      <c r="K288" s="678"/>
      <c r="L288" s="1002"/>
      <c r="M288" s="1428">
        <f t="shared" si="70"/>
        <v>0</v>
      </c>
      <c r="N288" s="1111"/>
      <c r="O288" s="674">
        <f t="shared" si="71"/>
        <v>20</v>
      </c>
      <c r="P288" s="682"/>
      <c r="Q288" s="286"/>
      <c r="R288" s="287"/>
      <c r="S288" s="280"/>
      <c r="T288" s="280"/>
      <c r="U288" s="280"/>
      <c r="V288" s="280"/>
      <c r="W288" s="280"/>
      <c r="X288" s="280"/>
      <c r="Y288" s="280"/>
      <c r="Z288" s="284"/>
      <c r="AA288" s="284"/>
      <c r="AB288" s="284"/>
      <c r="AC288" s="284"/>
      <c r="AD288" s="284"/>
      <c r="AE288" s="284"/>
      <c r="AF288" s="447"/>
      <c r="AG288" s="447"/>
      <c r="AH288" s="447"/>
      <c r="AI288" s="382"/>
      <c r="AJ288" s="382"/>
      <c r="AK288" s="382"/>
      <c r="AL288" s="382"/>
      <c r="AM288" s="382"/>
      <c r="AN288" s="382"/>
      <c r="AO288" s="382"/>
      <c r="AP288" s="382"/>
      <c r="AQ288" s="382"/>
      <c r="AR288" s="382"/>
      <c r="AS288" s="382"/>
      <c r="AT288" s="382"/>
      <c r="AU288" s="382"/>
      <c r="AV288" s="382"/>
      <c r="AW288" s="382"/>
      <c r="AX288" s="382"/>
      <c r="AY288" s="382"/>
      <c r="AZ288" s="382"/>
      <c r="BA288" s="382"/>
      <c r="BB288" s="382"/>
      <c r="BC288" s="382"/>
      <c r="BD288" s="382"/>
      <c r="BE288" s="382"/>
      <c r="BF288" s="382"/>
      <c r="BG288" s="382"/>
      <c r="BH288" s="382"/>
      <c r="BI288" s="382"/>
      <c r="BJ288" s="382"/>
      <c r="BK288" s="382"/>
      <c r="BL288" s="382"/>
      <c r="BM288" s="382"/>
      <c r="BN288" s="382"/>
      <c r="BO288" s="382"/>
    </row>
    <row r="289" spans="1:67" s="88" customFormat="1" ht="10.55" customHeight="1" x14ac:dyDescent="0.2">
      <c r="A289" s="1013" t="s">
        <v>418</v>
      </c>
      <c r="B289" s="2807"/>
      <c r="C289" s="2808"/>
      <c r="D289" s="2809"/>
      <c r="E289" s="2561"/>
      <c r="F289" s="2562"/>
      <c r="G289" s="1785">
        <v>20</v>
      </c>
      <c r="H289" s="524"/>
      <c r="I289" s="1409">
        <f t="shared" si="68"/>
        <v>6.4147128734474465E-2</v>
      </c>
      <c r="J289" s="1421">
        <f t="shared" si="69"/>
        <v>0</v>
      </c>
      <c r="K289" s="678">
        <v>0.5</v>
      </c>
      <c r="L289" s="1002"/>
      <c r="M289" s="1428">
        <f t="shared" si="70"/>
        <v>0</v>
      </c>
      <c r="N289" s="1111"/>
      <c r="O289" s="674">
        <f t="shared" si="71"/>
        <v>20</v>
      </c>
      <c r="P289" s="682"/>
      <c r="Q289" s="286"/>
      <c r="R289" s="287"/>
      <c r="S289" s="280"/>
      <c r="T289" s="280"/>
      <c r="U289" s="280"/>
      <c r="V289" s="280"/>
      <c r="W289" s="280"/>
      <c r="X289" s="280"/>
      <c r="Y289" s="280"/>
      <c r="Z289" s="284"/>
      <c r="AA289" s="284"/>
      <c r="AB289" s="284"/>
      <c r="AC289" s="284"/>
      <c r="AD289" s="284"/>
      <c r="AE289" s="284"/>
      <c r="AF289" s="447"/>
      <c r="AG289" s="447"/>
      <c r="AH289" s="447"/>
      <c r="AI289" s="382"/>
      <c r="AJ289" s="382"/>
      <c r="AK289" s="382"/>
      <c r="AL289" s="382"/>
      <c r="AM289" s="382"/>
      <c r="AN289" s="382"/>
      <c r="AO289" s="382"/>
      <c r="AP289" s="382"/>
      <c r="AQ289" s="382"/>
      <c r="AR289" s="382"/>
      <c r="AS289" s="382"/>
      <c r="AT289" s="382"/>
      <c r="AU289" s="382"/>
      <c r="AV289" s="382"/>
      <c r="AW289" s="382"/>
      <c r="AX289" s="382"/>
      <c r="AY289" s="382"/>
      <c r="AZ289" s="382"/>
      <c r="BA289" s="382"/>
      <c r="BB289" s="382"/>
      <c r="BC289" s="382"/>
      <c r="BD289" s="382"/>
      <c r="BE289" s="382"/>
      <c r="BF289" s="382"/>
      <c r="BG289" s="382"/>
      <c r="BH289" s="382"/>
      <c r="BI289" s="382"/>
      <c r="BJ289" s="382"/>
      <c r="BK289" s="382"/>
      <c r="BL289" s="382"/>
      <c r="BM289" s="382"/>
      <c r="BN289" s="382"/>
      <c r="BO289" s="382"/>
    </row>
    <row r="290" spans="1:67" s="88" customFormat="1" ht="10.55" customHeight="1" x14ac:dyDescent="0.2">
      <c r="A290" s="1013" t="s">
        <v>419</v>
      </c>
      <c r="B290" s="2807"/>
      <c r="C290" s="2808"/>
      <c r="D290" s="2809"/>
      <c r="E290" s="2561"/>
      <c r="F290" s="2562"/>
      <c r="G290" s="1785">
        <v>20</v>
      </c>
      <c r="H290" s="524"/>
      <c r="I290" s="1409">
        <f t="shared" si="68"/>
        <v>6.4147128734474465E-2</v>
      </c>
      <c r="J290" s="1421">
        <f t="shared" si="69"/>
        <v>0</v>
      </c>
      <c r="K290" s="678"/>
      <c r="L290" s="1002"/>
      <c r="M290" s="1428">
        <f t="shared" si="70"/>
        <v>0</v>
      </c>
      <c r="N290" s="1111"/>
      <c r="O290" s="674">
        <f t="shared" si="71"/>
        <v>20</v>
      </c>
      <c r="P290" s="682"/>
      <c r="Q290" s="286"/>
      <c r="R290" s="287"/>
      <c r="S290" s="280"/>
      <c r="T290" s="280"/>
      <c r="U290" s="280"/>
      <c r="V290" s="280"/>
      <c r="W290" s="280"/>
      <c r="X290" s="280"/>
      <c r="Y290" s="280"/>
      <c r="Z290" s="284"/>
      <c r="AA290" s="284"/>
      <c r="AB290" s="284"/>
      <c r="AC290" s="284"/>
      <c r="AD290" s="284"/>
      <c r="AE290" s="284"/>
      <c r="AF290" s="447"/>
      <c r="AG290" s="447"/>
      <c r="AH290" s="447"/>
      <c r="AI290" s="382"/>
      <c r="AJ290" s="382"/>
      <c r="AK290" s="382"/>
      <c r="AL290" s="382"/>
      <c r="AM290" s="382"/>
      <c r="AN290" s="382"/>
      <c r="AO290" s="382"/>
      <c r="AP290" s="382"/>
      <c r="AQ290" s="382"/>
      <c r="AR290" s="382"/>
      <c r="AS290" s="382"/>
      <c r="AT290" s="382"/>
      <c r="AU290" s="382"/>
      <c r="AV290" s="382"/>
      <c r="AW290" s="382"/>
      <c r="AX290" s="382"/>
      <c r="AY290" s="382"/>
      <c r="AZ290" s="382"/>
      <c r="BA290" s="382"/>
      <c r="BB290" s="382"/>
      <c r="BC290" s="382"/>
      <c r="BD290" s="382"/>
      <c r="BE290" s="382"/>
      <c r="BF290" s="382"/>
      <c r="BG290" s="382"/>
      <c r="BH290" s="382"/>
      <c r="BI290" s="382"/>
      <c r="BJ290" s="382"/>
      <c r="BK290" s="382"/>
      <c r="BL290" s="382"/>
      <c r="BM290" s="382"/>
      <c r="BN290" s="382"/>
      <c r="BO290" s="382"/>
    </row>
    <row r="291" spans="1:67" s="88" customFormat="1" ht="10.55" customHeight="1" x14ac:dyDescent="0.2">
      <c r="A291" s="1013" t="s">
        <v>420</v>
      </c>
      <c r="B291" s="2807"/>
      <c r="C291" s="2808"/>
      <c r="D291" s="2809"/>
      <c r="E291" s="2561"/>
      <c r="F291" s="2562"/>
      <c r="G291" s="1785">
        <v>20</v>
      </c>
      <c r="H291" s="524"/>
      <c r="I291" s="1409">
        <f t="shared" si="68"/>
        <v>6.4147128734474465E-2</v>
      </c>
      <c r="J291" s="1421">
        <f t="shared" si="69"/>
        <v>0</v>
      </c>
      <c r="K291" s="678"/>
      <c r="L291" s="1002"/>
      <c r="M291" s="1428">
        <f t="shared" si="70"/>
        <v>0</v>
      </c>
      <c r="N291" s="1111"/>
      <c r="O291" s="674">
        <f t="shared" si="71"/>
        <v>20</v>
      </c>
      <c r="P291" s="682"/>
      <c r="Q291" s="286"/>
      <c r="R291" s="287"/>
      <c r="S291" s="280"/>
      <c r="T291" s="280"/>
      <c r="U291" s="280"/>
      <c r="V291" s="280"/>
      <c r="W291" s="280"/>
      <c r="X291" s="280"/>
      <c r="Y291" s="280"/>
      <c r="Z291" s="284"/>
      <c r="AA291" s="284"/>
      <c r="AB291" s="284"/>
      <c r="AC291" s="284"/>
      <c r="AD291" s="284"/>
      <c r="AE291" s="284"/>
      <c r="AF291" s="447"/>
      <c r="AG291" s="447"/>
      <c r="AH291" s="447"/>
      <c r="AI291" s="382"/>
      <c r="AJ291" s="382"/>
      <c r="AK291" s="382"/>
      <c r="AL291" s="382"/>
      <c r="AM291" s="382"/>
      <c r="AN291" s="382"/>
      <c r="AO291" s="382"/>
      <c r="AP291" s="382"/>
      <c r="AQ291" s="382"/>
      <c r="AR291" s="382"/>
      <c r="AS291" s="382"/>
      <c r="AT291" s="382"/>
      <c r="AU291" s="382"/>
      <c r="AV291" s="382"/>
      <c r="AW291" s="382"/>
      <c r="AX291" s="382"/>
      <c r="AY291" s="382"/>
      <c r="AZ291" s="382"/>
      <c r="BA291" s="382"/>
      <c r="BB291" s="382"/>
      <c r="BC291" s="382"/>
      <c r="BD291" s="382"/>
      <c r="BE291" s="382"/>
      <c r="BF291" s="382"/>
      <c r="BG291" s="382"/>
      <c r="BH291" s="382"/>
      <c r="BI291" s="382"/>
      <c r="BJ291" s="382"/>
      <c r="BK291" s="382"/>
      <c r="BL291" s="382"/>
      <c r="BM291" s="382"/>
      <c r="BN291" s="382"/>
      <c r="BO291" s="382"/>
    </row>
    <row r="292" spans="1:67" s="88" customFormat="1" ht="10.55" customHeight="1" x14ac:dyDescent="0.2">
      <c r="A292" s="1013" t="s">
        <v>421</v>
      </c>
      <c r="B292" s="2807"/>
      <c r="C292" s="2808"/>
      <c r="D292" s="2809"/>
      <c r="E292" s="2561"/>
      <c r="F292" s="2562"/>
      <c r="G292" s="1785">
        <v>20</v>
      </c>
      <c r="H292" s="524"/>
      <c r="I292" s="1409">
        <f t="shared" si="68"/>
        <v>6.4147128734474465E-2</v>
      </c>
      <c r="J292" s="1421">
        <f t="shared" si="69"/>
        <v>0</v>
      </c>
      <c r="K292" s="678">
        <v>2</v>
      </c>
      <c r="L292" s="1002"/>
      <c r="M292" s="1428">
        <f t="shared" si="70"/>
        <v>0</v>
      </c>
      <c r="N292" s="1111"/>
      <c r="O292" s="674">
        <f t="shared" si="71"/>
        <v>20</v>
      </c>
      <c r="P292" s="682"/>
      <c r="Q292" s="286"/>
      <c r="R292" s="287"/>
      <c r="S292" s="280"/>
      <c r="T292" s="280"/>
      <c r="U292" s="280"/>
      <c r="V292" s="280"/>
      <c r="W292" s="280"/>
      <c r="X292" s="280"/>
      <c r="Y292" s="280"/>
      <c r="Z292" s="284"/>
      <c r="AA292" s="284"/>
      <c r="AB292" s="284"/>
      <c r="AC292" s="284"/>
      <c r="AD292" s="284"/>
      <c r="AE292" s="284"/>
      <c r="AF292" s="447"/>
      <c r="AG292" s="447"/>
      <c r="AH292" s="447"/>
      <c r="AI292" s="382"/>
      <c r="AJ292" s="382"/>
      <c r="AK292" s="382"/>
      <c r="AL292" s="382"/>
      <c r="AM292" s="382"/>
      <c r="AN292" s="382"/>
      <c r="AO292" s="382"/>
      <c r="AP292" s="382"/>
      <c r="AQ292" s="382"/>
      <c r="AR292" s="382"/>
      <c r="AS292" s="382"/>
      <c r="AT292" s="382"/>
      <c r="AU292" s="382"/>
      <c r="AV292" s="382"/>
      <c r="AW292" s="382"/>
      <c r="AX292" s="382"/>
      <c r="AY292" s="382"/>
      <c r="AZ292" s="382"/>
      <c r="BA292" s="382"/>
      <c r="BB292" s="382"/>
      <c r="BC292" s="382"/>
      <c r="BD292" s="382"/>
      <c r="BE292" s="382"/>
      <c r="BF292" s="382"/>
      <c r="BG292" s="382"/>
      <c r="BH292" s="382"/>
      <c r="BI292" s="382"/>
      <c r="BJ292" s="382"/>
      <c r="BK292" s="382"/>
      <c r="BL292" s="382"/>
      <c r="BM292" s="382"/>
      <c r="BN292" s="382"/>
      <c r="BO292" s="382"/>
    </row>
    <row r="293" spans="1:67" s="88" customFormat="1" ht="10.55" customHeight="1" x14ac:dyDescent="0.2">
      <c r="A293" s="1013" t="s">
        <v>422</v>
      </c>
      <c r="B293" s="2807"/>
      <c r="C293" s="2808"/>
      <c r="D293" s="2809"/>
      <c r="E293" s="2561"/>
      <c r="F293" s="2562"/>
      <c r="G293" s="1785">
        <v>20</v>
      </c>
      <c r="H293" s="524"/>
      <c r="I293" s="1409">
        <f t="shared" si="68"/>
        <v>6.4147128734474465E-2</v>
      </c>
      <c r="J293" s="1421">
        <f t="shared" si="69"/>
        <v>0</v>
      </c>
      <c r="K293" s="678"/>
      <c r="L293" s="1002"/>
      <c r="M293" s="1428">
        <f t="shared" si="70"/>
        <v>0</v>
      </c>
      <c r="N293" s="1111"/>
      <c r="O293" s="674">
        <f t="shared" si="71"/>
        <v>20</v>
      </c>
      <c r="P293" s="682"/>
      <c r="Q293" s="286"/>
      <c r="R293" s="287"/>
      <c r="S293" s="280"/>
      <c r="T293" s="280"/>
      <c r="U293" s="280"/>
      <c r="V293" s="280"/>
      <c r="W293" s="280"/>
      <c r="X293" s="280"/>
      <c r="Y293" s="280"/>
      <c r="Z293" s="284"/>
      <c r="AA293" s="284"/>
      <c r="AB293" s="284"/>
      <c r="AC293" s="284"/>
      <c r="AD293" s="284"/>
      <c r="AE293" s="284"/>
      <c r="AF293" s="447"/>
      <c r="AG293" s="447"/>
      <c r="AH293" s="447"/>
      <c r="AI293" s="382"/>
      <c r="AJ293" s="382"/>
      <c r="AK293" s="382"/>
      <c r="AL293" s="382"/>
      <c r="AM293" s="382"/>
      <c r="AN293" s="382"/>
      <c r="AO293" s="382"/>
      <c r="AP293" s="382"/>
      <c r="AQ293" s="382"/>
      <c r="AR293" s="382"/>
      <c r="AS293" s="382"/>
      <c r="AT293" s="382"/>
      <c r="AU293" s="382"/>
      <c r="AV293" s="382"/>
      <c r="AW293" s="382"/>
      <c r="AX293" s="382"/>
      <c r="AY293" s="382"/>
      <c r="AZ293" s="382"/>
      <c r="BA293" s="382"/>
      <c r="BB293" s="382"/>
      <c r="BC293" s="382"/>
      <c r="BD293" s="382"/>
      <c r="BE293" s="382"/>
      <c r="BF293" s="382"/>
      <c r="BG293" s="382"/>
      <c r="BH293" s="382"/>
      <c r="BI293" s="382"/>
      <c r="BJ293" s="382"/>
      <c r="BK293" s="382"/>
      <c r="BL293" s="382"/>
      <c r="BM293" s="382"/>
      <c r="BN293" s="382"/>
      <c r="BO293" s="382"/>
    </row>
    <row r="294" spans="1:67" s="88" customFormat="1" ht="10.55" customHeight="1" x14ac:dyDescent="0.2">
      <c r="A294" s="1013" t="s">
        <v>423</v>
      </c>
      <c r="B294" s="2807"/>
      <c r="C294" s="2808"/>
      <c r="D294" s="2809"/>
      <c r="E294" s="2561"/>
      <c r="F294" s="2562"/>
      <c r="G294" s="1785">
        <v>20</v>
      </c>
      <c r="H294" s="524"/>
      <c r="I294" s="1409">
        <f t="shared" si="68"/>
        <v>6.4147128734474465E-2</v>
      </c>
      <c r="J294" s="1421">
        <f t="shared" si="69"/>
        <v>0</v>
      </c>
      <c r="K294" s="678"/>
      <c r="L294" s="1002"/>
      <c r="M294" s="1428">
        <f t="shared" si="70"/>
        <v>0</v>
      </c>
      <c r="N294" s="1111"/>
      <c r="O294" s="674">
        <f t="shared" si="71"/>
        <v>20</v>
      </c>
      <c r="P294" s="682"/>
      <c r="Q294" s="286"/>
      <c r="R294" s="287"/>
      <c r="S294" s="280"/>
      <c r="T294" s="280"/>
      <c r="U294" s="280"/>
      <c r="V294" s="280"/>
      <c r="W294" s="280"/>
      <c r="X294" s="280"/>
      <c r="Y294" s="280"/>
      <c r="Z294" s="284"/>
      <c r="AA294" s="284"/>
      <c r="AB294" s="284"/>
      <c r="AC294" s="284"/>
      <c r="AD294" s="284"/>
      <c r="AE294" s="284"/>
      <c r="AF294" s="447"/>
      <c r="AG294" s="447"/>
      <c r="AH294" s="447"/>
      <c r="AI294" s="382"/>
      <c r="AJ294" s="382"/>
      <c r="AK294" s="382"/>
      <c r="AL294" s="382"/>
      <c r="AM294" s="382"/>
      <c r="AN294" s="382"/>
      <c r="AO294" s="382"/>
      <c r="AP294" s="382"/>
      <c r="AQ294" s="382"/>
      <c r="AR294" s="382"/>
      <c r="AS294" s="382"/>
      <c r="AT294" s="382"/>
      <c r="AU294" s="382"/>
      <c r="AV294" s="382"/>
      <c r="AW294" s="382"/>
      <c r="AX294" s="382"/>
      <c r="AY294" s="382"/>
      <c r="AZ294" s="382"/>
      <c r="BA294" s="382"/>
      <c r="BB294" s="382"/>
      <c r="BC294" s="382"/>
      <c r="BD294" s="382"/>
      <c r="BE294" s="382"/>
      <c r="BF294" s="382"/>
      <c r="BG294" s="382"/>
      <c r="BH294" s="382"/>
      <c r="BI294" s="382"/>
      <c r="BJ294" s="382"/>
      <c r="BK294" s="382"/>
      <c r="BL294" s="382"/>
      <c r="BM294" s="382"/>
      <c r="BN294" s="382"/>
      <c r="BO294" s="382"/>
    </row>
    <row r="295" spans="1:67" s="88" customFormat="1" ht="10.55" customHeight="1" x14ac:dyDescent="0.2">
      <c r="A295" s="675"/>
      <c r="B295" s="2807"/>
      <c r="C295" s="2808"/>
      <c r="D295" s="2809"/>
      <c r="E295" s="2561"/>
      <c r="F295" s="2562"/>
      <c r="G295" s="1015"/>
      <c r="H295" s="524"/>
      <c r="I295" s="1409">
        <f t="shared" si="68"/>
        <v>0</v>
      </c>
      <c r="J295" s="1421">
        <f t="shared" si="69"/>
        <v>0</v>
      </c>
      <c r="K295" s="679"/>
      <c r="L295" s="1002"/>
      <c r="M295" s="1428">
        <f t="shared" si="70"/>
        <v>0</v>
      </c>
      <c r="N295" s="1111"/>
      <c r="O295" s="674">
        <f t="shared" si="71"/>
        <v>0</v>
      </c>
      <c r="P295" s="682"/>
      <c r="Q295" s="286"/>
      <c r="R295" s="287"/>
      <c r="S295" s="280"/>
      <c r="T295" s="280"/>
      <c r="U295" s="280"/>
      <c r="V295" s="280"/>
      <c r="W295" s="280"/>
      <c r="X295" s="280"/>
      <c r="Y295" s="280"/>
      <c r="Z295" s="284"/>
      <c r="AA295" s="284"/>
      <c r="AB295" s="284"/>
      <c r="AC295" s="284"/>
      <c r="AD295" s="284"/>
      <c r="AE295" s="284"/>
      <c r="AF295" s="447"/>
      <c r="AG295" s="447"/>
      <c r="AH295" s="447"/>
      <c r="AI295" s="382"/>
      <c r="AJ295" s="382"/>
      <c r="AK295" s="382"/>
      <c r="AL295" s="382"/>
      <c r="AM295" s="382"/>
      <c r="AN295" s="382"/>
      <c r="AO295" s="382"/>
      <c r="AP295" s="382"/>
      <c r="AQ295" s="382"/>
      <c r="AR295" s="382"/>
      <c r="AS295" s="382"/>
      <c r="AT295" s="382"/>
      <c r="AU295" s="382"/>
      <c r="AV295" s="382"/>
      <c r="AW295" s="382"/>
      <c r="AX295" s="382"/>
      <c r="AY295" s="382"/>
      <c r="AZ295" s="382"/>
      <c r="BA295" s="382"/>
      <c r="BB295" s="382"/>
      <c r="BC295" s="382"/>
      <c r="BD295" s="382"/>
      <c r="BE295" s="382"/>
      <c r="BF295" s="382"/>
      <c r="BG295" s="382"/>
      <c r="BH295" s="382"/>
      <c r="BI295" s="382"/>
      <c r="BJ295" s="382"/>
      <c r="BK295" s="382"/>
      <c r="BL295" s="382"/>
      <c r="BM295" s="382"/>
      <c r="BN295" s="382"/>
      <c r="BO295" s="382"/>
    </row>
    <row r="296" spans="1:67" s="88" customFormat="1" ht="10.55" customHeight="1" x14ac:dyDescent="0.2">
      <c r="A296" s="675"/>
      <c r="B296" s="2807"/>
      <c r="C296" s="2808"/>
      <c r="D296" s="2809"/>
      <c r="E296" s="2561"/>
      <c r="F296" s="2562"/>
      <c r="G296" s="1015"/>
      <c r="H296" s="524"/>
      <c r="I296" s="1409">
        <f t="shared" si="68"/>
        <v>0</v>
      </c>
      <c r="J296" s="1421">
        <f t="shared" si="69"/>
        <v>0</v>
      </c>
      <c r="K296" s="679"/>
      <c r="L296" s="1002"/>
      <c r="M296" s="1428">
        <f t="shared" si="70"/>
        <v>0</v>
      </c>
      <c r="N296" s="1111"/>
      <c r="O296" s="674">
        <f t="shared" si="71"/>
        <v>0</v>
      </c>
      <c r="P296" s="682"/>
      <c r="Q296" s="286"/>
      <c r="R296" s="287"/>
      <c r="S296" s="280"/>
      <c r="T296" s="280"/>
      <c r="U296" s="280"/>
      <c r="V296" s="280"/>
      <c r="W296" s="280"/>
      <c r="X296" s="280"/>
      <c r="Y296" s="280"/>
      <c r="Z296" s="284"/>
      <c r="AA296" s="284"/>
      <c r="AB296" s="284"/>
      <c r="AC296" s="284"/>
      <c r="AD296" s="284"/>
      <c r="AE296" s="284"/>
      <c r="AF296" s="447"/>
      <c r="AG296" s="447"/>
      <c r="AH296" s="447"/>
      <c r="AI296" s="382"/>
      <c r="AJ296" s="382"/>
      <c r="AK296" s="382"/>
      <c r="AL296" s="382"/>
      <c r="AM296" s="382"/>
      <c r="AN296" s="382"/>
      <c r="AO296" s="382"/>
      <c r="AP296" s="382"/>
      <c r="AQ296" s="382"/>
      <c r="AR296" s="382"/>
      <c r="AS296" s="382"/>
      <c r="AT296" s="382"/>
      <c r="AU296" s="382"/>
      <c r="AV296" s="382"/>
      <c r="AW296" s="382"/>
      <c r="AX296" s="382"/>
      <c r="AY296" s="382"/>
      <c r="AZ296" s="382"/>
      <c r="BA296" s="382"/>
      <c r="BB296" s="382"/>
      <c r="BC296" s="382"/>
      <c r="BD296" s="382"/>
      <c r="BE296" s="382"/>
      <c r="BF296" s="382"/>
      <c r="BG296" s="382"/>
      <c r="BH296" s="382"/>
      <c r="BI296" s="382"/>
      <c r="BJ296" s="382"/>
      <c r="BK296" s="382"/>
      <c r="BL296" s="382"/>
      <c r="BM296" s="382"/>
      <c r="BN296" s="382"/>
      <c r="BO296" s="382"/>
    </row>
    <row r="297" spans="1:67" s="88" customFormat="1" ht="10.55" customHeight="1" x14ac:dyDescent="0.2">
      <c r="A297" s="675"/>
      <c r="B297" s="2807"/>
      <c r="C297" s="2808"/>
      <c r="D297" s="2809"/>
      <c r="E297" s="2561"/>
      <c r="F297" s="2562"/>
      <c r="G297" s="1015"/>
      <c r="H297" s="524"/>
      <c r="I297" s="1409">
        <f t="shared" si="68"/>
        <v>0</v>
      </c>
      <c r="J297" s="1421">
        <f t="shared" si="69"/>
        <v>0</v>
      </c>
      <c r="K297" s="679"/>
      <c r="L297" s="1002"/>
      <c r="M297" s="1428">
        <f t="shared" si="70"/>
        <v>0</v>
      </c>
      <c r="N297" s="1111"/>
      <c r="O297" s="674">
        <f t="shared" si="71"/>
        <v>0</v>
      </c>
      <c r="P297" s="682"/>
      <c r="Q297" s="286"/>
      <c r="R297" s="287"/>
      <c r="S297" s="280"/>
      <c r="T297" s="280"/>
      <c r="U297" s="280"/>
      <c r="V297" s="280"/>
      <c r="W297" s="280"/>
      <c r="X297" s="280"/>
      <c r="Y297" s="280"/>
      <c r="Z297" s="284"/>
      <c r="AA297" s="284"/>
      <c r="AB297" s="284"/>
      <c r="AC297" s="284"/>
      <c r="AD297" s="284"/>
      <c r="AE297" s="284"/>
      <c r="AF297" s="447"/>
      <c r="AG297" s="447"/>
      <c r="AH297" s="447"/>
      <c r="AI297" s="382"/>
      <c r="AJ297" s="382"/>
      <c r="AK297" s="382"/>
      <c r="AL297" s="382"/>
      <c r="AM297" s="382"/>
      <c r="AN297" s="382"/>
      <c r="AO297" s="382"/>
      <c r="AP297" s="382"/>
      <c r="AQ297" s="382"/>
      <c r="AR297" s="382"/>
      <c r="AS297" s="382"/>
      <c r="AT297" s="382"/>
      <c r="AU297" s="382"/>
      <c r="AV297" s="382"/>
      <c r="AW297" s="382"/>
      <c r="AX297" s="382"/>
      <c r="AY297" s="382"/>
      <c r="AZ297" s="382"/>
      <c r="BA297" s="382"/>
      <c r="BB297" s="382"/>
      <c r="BC297" s="382"/>
      <c r="BD297" s="382"/>
      <c r="BE297" s="382"/>
      <c r="BF297" s="382"/>
      <c r="BG297" s="382"/>
      <c r="BH297" s="382"/>
      <c r="BI297" s="382"/>
      <c r="BJ297" s="382"/>
      <c r="BK297" s="382"/>
      <c r="BL297" s="382"/>
      <c r="BM297" s="382"/>
      <c r="BN297" s="382"/>
      <c r="BO297" s="382"/>
    </row>
    <row r="298" spans="1:67" s="88" customFormat="1" ht="10.55" customHeight="1" x14ac:dyDescent="0.2">
      <c r="A298" s="675"/>
      <c r="B298" s="2807"/>
      <c r="C298" s="2808"/>
      <c r="D298" s="2809"/>
      <c r="E298" s="2561"/>
      <c r="F298" s="2562"/>
      <c r="G298" s="1015"/>
      <c r="H298" s="524"/>
      <c r="I298" s="1409">
        <f t="shared" si="68"/>
        <v>0</v>
      </c>
      <c r="J298" s="1421">
        <f t="shared" si="69"/>
        <v>0</v>
      </c>
      <c r="K298" s="679"/>
      <c r="L298" s="1002"/>
      <c r="M298" s="1428">
        <f t="shared" si="70"/>
        <v>0</v>
      </c>
      <c r="N298" s="1111"/>
      <c r="O298" s="674">
        <f t="shared" si="71"/>
        <v>0</v>
      </c>
      <c r="P298" s="682"/>
      <c r="Q298" s="286"/>
      <c r="R298" s="287"/>
      <c r="S298" s="280"/>
      <c r="T298" s="280"/>
      <c r="U298" s="280"/>
      <c r="V298" s="280"/>
      <c r="W298" s="280"/>
      <c r="X298" s="280"/>
      <c r="Y298" s="280"/>
      <c r="Z298" s="284"/>
      <c r="AA298" s="284"/>
      <c r="AB298" s="284"/>
      <c r="AC298" s="284"/>
      <c r="AD298" s="284"/>
      <c r="AE298" s="284"/>
      <c r="AF298" s="447"/>
      <c r="AG298" s="447"/>
      <c r="AH298" s="447"/>
      <c r="AI298" s="382"/>
      <c r="AJ298" s="382"/>
      <c r="AK298" s="382"/>
      <c r="AL298" s="382"/>
      <c r="AM298" s="382"/>
      <c r="AN298" s="382"/>
      <c r="AO298" s="382"/>
      <c r="AP298" s="382"/>
      <c r="AQ298" s="382"/>
      <c r="AR298" s="382"/>
      <c r="AS298" s="382"/>
      <c r="AT298" s="382"/>
      <c r="AU298" s="382"/>
      <c r="AV298" s="382"/>
      <c r="AW298" s="382"/>
      <c r="AX298" s="382"/>
      <c r="AY298" s="382"/>
      <c r="AZ298" s="382"/>
      <c r="BA298" s="382"/>
      <c r="BB298" s="382"/>
      <c r="BC298" s="382"/>
      <c r="BD298" s="382"/>
      <c r="BE298" s="382"/>
      <c r="BF298" s="382"/>
      <c r="BG298" s="382"/>
      <c r="BH298" s="382"/>
      <c r="BI298" s="382"/>
      <c r="BJ298" s="382"/>
      <c r="BK298" s="382"/>
      <c r="BL298" s="382"/>
      <c r="BM298" s="382"/>
      <c r="BN298" s="382"/>
      <c r="BO298" s="382"/>
    </row>
    <row r="299" spans="1:67" s="88" customFormat="1" ht="10.55" customHeight="1" x14ac:dyDescent="0.2">
      <c r="A299" s="675"/>
      <c r="B299" s="2807"/>
      <c r="C299" s="2808"/>
      <c r="D299" s="2809"/>
      <c r="E299" s="2561"/>
      <c r="F299" s="2562"/>
      <c r="G299" s="1015"/>
      <c r="H299" s="524"/>
      <c r="I299" s="1409">
        <f t="shared" si="68"/>
        <v>0</v>
      </c>
      <c r="J299" s="1421">
        <f t="shared" si="69"/>
        <v>0</v>
      </c>
      <c r="K299" s="679"/>
      <c r="L299" s="1002"/>
      <c r="M299" s="1428">
        <f t="shared" si="70"/>
        <v>0</v>
      </c>
      <c r="N299" s="1111"/>
      <c r="O299" s="674">
        <f t="shared" si="71"/>
        <v>0</v>
      </c>
      <c r="P299" s="682"/>
      <c r="Q299" s="286"/>
      <c r="R299" s="287"/>
      <c r="S299" s="280"/>
      <c r="T299" s="280"/>
      <c r="U299" s="280"/>
      <c r="V299" s="280"/>
      <c r="W299" s="280"/>
      <c r="X299" s="280"/>
      <c r="Y299" s="280"/>
      <c r="Z299" s="284"/>
      <c r="AA299" s="284"/>
      <c r="AB299" s="284"/>
      <c r="AC299" s="284"/>
      <c r="AD299" s="284"/>
      <c r="AE299" s="284"/>
      <c r="AF299" s="447"/>
      <c r="AG299" s="447"/>
      <c r="AH299" s="447"/>
      <c r="AI299" s="382"/>
      <c r="AJ299" s="382"/>
      <c r="AK299" s="382"/>
      <c r="AL299" s="382"/>
      <c r="AM299" s="382"/>
      <c r="AN299" s="382"/>
      <c r="AO299" s="382"/>
      <c r="AP299" s="382"/>
      <c r="AQ299" s="382"/>
      <c r="AR299" s="382"/>
      <c r="AS299" s="382"/>
      <c r="AT299" s="382"/>
      <c r="AU299" s="382"/>
      <c r="AV299" s="382"/>
      <c r="AW299" s="382"/>
      <c r="AX299" s="382"/>
      <c r="AY299" s="382"/>
      <c r="AZ299" s="382"/>
      <c r="BA299" s="382"/>
      <c r="BB299" s="382"/>
      <c r="BC299" s="382"/>
      <c r="BD299" s="382"/>
      <c r="BE299" s="382"/>
      <c r="BF299" s="382"/>
      <c r="BG299" s="382"/>
      <c r="BH299" s="382"/>
      <c r="BI299" s="382"/>
      <c r="BJ299" s="382"/>
      <c r="BK299" s="382"/>
      <c r="BL299" s="382"/>
      <c r="BM299" s="382"/>
      <c r="BN299" s="382"/>
      <c r="BO299" s="382"/>
    </row>
    <row r="300" spans="1:67" s="88" customFormat="1" ht="10.55" customHeight="1" x14ac:dyDescent="0.2">
      <c r="A300" s="1085"/>
      <c r="B300" s="2804"/>
      <c r="C300" s="2805"/>
      <c r="D300" s="2806"/>
      <c r="E300" s="2793"/>
      <c r="F300" s="2794"/>
      <c r="G300" s="1086"/>
      <c r="H300" s="1087"/>
      <c r="I300" s="1437">
        <f t="shared" si="68"/>
        <v>0</v>
      </c>
      <c r="J300" s="1413"/>
      <c r="K300" s="1088"/>
      <c r="L300" s="1089"/>
      <c r="M300" s="1431">
        <f t="shared" si="70"/>
        <v>0</v>
      </c>
      <c r="N300" s="1111"/>
      <c r="O300" s="674">
        <f t="shared" si="71"/>
        <v>0</v>
      </c>
      <c r="P300" s="682"/>
      <c r="Q300" s="286"/>
      <c r="R300" s="287"/>
      <c r="S300" s="280"/>
      <c r="T300" s="280"/>
      <c r="U300" s="280"/>
      <c r="V300" s="280"/>
      <c r="W300" s="280"/>
      <c r="X300" s="280"/>
      <c r="Y300" s="280"/>
      <c r="Z300" s="284"/>
      <c r="AA300" s="284"/>
      <c r="AB300" s="284"/>
      <c r="AC300" s="284"/>
      <c r="AD300" s="284"/>
      <c r="AE300" s="284"/>
      <c r="AF300" s="447"/>
      <c r="AG300" s="447"/>
      <c r="AH300" s="447"/>
      <c r="AI300" s="382"/>
      <c r="AJ300" s="382"/>
      <c r="AK300" s="382"/>
      <c r="AL300" s="382"/>
      <c r="AM300" s="382"/>
      <c r="AN300" s="382"/>
      <c r="AO300" s="382"/>
      <c r="AP300" s="382"/>
      <c r="AQ300" s="382"/>
      <c r="AR300" s="382"/>
      <c r="AS300" s="382"/>
      <c r="AT300" s="382"/>
      <c r="AU300" s="382"/>
      <c r="AV300" s="382"/>
      <c r="AW300" s="382"/>
      <c r="AX300" s="382"/>
      <c r="AY300" s="382"/>
      <c r="AZ300" s="382"/>
      <c r="BA300" s="382"/>
      <c r="BB300" s="382"/>
      <c r="BC300" s="382"/>
      <c r="BD300" s="382"/>
      <c r="BE300" s="382"/>
      <c r="BF300" s="382"/>
      <c r="BG300" s="382"/>
      <c r="BH300" s="382"/>
      <c r="BI300" s="382"/>
      <c r="BJ300" s="382"/>
      <c r="BK300" s="382"/>
      <c r="BL300" s="382"/>
      <c r="BM300" s="382"/>
      <c r="BN300" s="382"/>
      <c r="BO300" s="382"/>
    </row>
    <row r="301" spans="1:67" s="88" customFormat="1" ht="10.55" customHeight="1" x14ac:dyDescent="0.2">
      <c r="A301" s="1122" t="s">
        <v>424</v>
      </c>
      <c r="B301" s="2783"/>
      <c r="C301" s="2784"/>
      <c r="D301" s="2785"/>
      <c r="E301" s="2810">
        <f>SUM(E302:E314)</f>
        <v>0</v>
      </c>
      <c r="F301" s="2811"/>
      <c r="G301" s="2747"/>
      <c r="H301" s="2748"/>
      <c r="I301" s="1435">
        <f>IF(E301=0,0,J301/E301)</f>
        <v>0</v>
      </c>
      <c r="J301" s="1423">
        <f>SUM(J302:J314)</f>
        <v>0</v>
      </c>
      <c r="K301" s="2749">
        <f>IF(E301=0,0,M301/E301*100)</f>
        <v>0</v>
      </c>
      <c r="L301" s="2750"/>
      <c r="M301" s="1430">
        <f>SUM(M302:M314)</f>
        <v>0</v>
      </c>
      <c r="N301" s="1111"/>
      <c r="O301" s="387">
        <f>IF(H301="",G301,H301)</f>
        <v>0</v>
      </c>
      <c r="P301" s="682"/>
      <c r="Q301" s="286"/>
      <c r="R301" s="287"/>
      <c r="S301" s="280"/>
      <c r="T301" s="280"/>
      <c r="U301" s="280"/>
      <c r="V301" s="280"/>
      <c r="W301" s="280"/>
      <c r="X301" s="280"/>
      <c r="Y301" s="280"/>
      <c r="Z301" s="284"/>
      <c r="AA301" s="284"/>
      <c r="AB301" s="284"/>
      <c r="AC301" s="284"/>
      <c r="AD301" s="284"/>
      <c r="AE301" s="284"/>
      <c r="AF301" s="447"/>
      <c r="AG301" s="447"/>
      <c r="AH301" s="447"/>
      <c r="AI301" s="382"/>
      <c r="AJ301" s="382"/>
      <c r="AK301" s="382"/>
      <c r="AL301" s="382"/>
      <c r="AM301" s="382"/>
      <c r="AN301" s="382"/>
      <c r="AO301" s="382"/>
      <c r="AP301" s="382"/>
      <c r="AQ301" s="382"/>
      <c r="AR301" s="382"/>
      <c r="AS301" s="382"/>
      <c r="AT301" s="382"/>
      <c r="AU301" s="382"/>
      <c r="AV301" s="382"/>
      <c r="AW301" s="382"/>
      <c r="AX301" s="382"/>
      <c r="AY301" s="382"/>
      <c r="AZ301" s="382"/>
      <c r="BA301" s="382"/>
      <c r="BB301" s="382"/>
      <c r="BC301" s="382"/>
      <c r="BD301" s="382"/>
      <c r="BE301" s="382"/>
      <c r="BF301" s="382"/>
      <c r="BG301" s="382"/>
      <c r="BH301" s="382"/>
      <c r="BI301" s="382"/>
      <c r="BJ301" s="382"/>
      <c r="BK301" s="382"/>
      <c r="BL301" s="382"/>
      <c r="BM301" s="382"/>
      <c r="BN301" s="382"/>
      <c r="BO301" s="382"/>
    </row>
    <row r="302" spans="1:67" s="88" customFormat="1" ht="10.55" customHeight="1" x14ac:dyDescent="0.2">
      <c r="A302" s="675"/>
      <c r="B302" s="2790"/>
      <c r="C302" s="2791"/>
      <c r="D302" s="2792"/>
      <c r="E302" s="2734"/>
      <c r="F302" s="2735"/>
      <c r="G302" s="1014"/>
      <c r="H302" s="524"/>
      <c r="I302" s="1409">
        <f t="shared" ref="I302:I315" si="72">IF($O302&gt;0,-PMT(($I$9),$O302,1),0)</f>
        <v>0</v>
      </c>
      <c r="J302" s="1421">
        <f t="shared" ref="J302:J314" si="73">ROUND(E302*I302,0)</f>
        <v>0</v>
      </c>
      <c r="K302" s="687"/>
      <c r="L302" s="1003"/>
      <c r="M302" s="1428">
        <f t="shared" ref="M302:M315" si="74">ROUND(E302/100*IF(ISBLANK(L302),K302,L302),0)</f>
        <v>0</v>
      </c>
      <c r="N302" s="1111"/>
      <c r="O302" s="674">
        <f t="shared" ref="O302:O315" si="75">IF(ISBLANK(H302),G302,H302)</f>
        <v>0</v>
      </c>
      <c r="P302" s="682"/>
      <c r="Q302" s="286"/>
      <c r="R302" s="287"/>
      <c r="S302" s="280"/>
      <c r="T302" s="280"/>
      <c r="U302" s="280"/>
      <c r="V302" s="280"/>
      <c r="W302" s="280"/>
      <c r="X302" s="280"/>
      <c r="Y302" s="280"/>
      <c r="Z302" s="284"/>
      <c r="AA302" s="284"/>
      <c r="AB302" s="284"/>
      <c r="AC302" s="284"/>
      <c r="AD302" s="284"/>
      <c r="AE302" s="284"/>
      <c r="AF302" s="447"/>
      <c r="AG302" s="447"/>
      <c r="AH302" s="447"/>
      <c r="AI302" s="382"/>
      <c r="AJ302" s="382"/>
      <c r="AK302" s="382"/>
      <c r="AL302" s="382"/>
      <c r="AM302" s="382"/>
      <c r="AN302" s="382"/>
      <c r="AO302" s="382"/>
      <c r="AP302" s="382"/>
      <c r="AQ302" s="382"/>
      <c r="AR302" s="382"/>
      <c r="AS302" s="382"/>
      <c r="AT302" s="382"/>
      <c r="AU302" s="382"/>
      <c r="AV302" s="382"/>
      <c r="AW302" s="382"/>
      <c r="AX302" s="382"/>
      <c r="AY302" s="382"/>
      <c r="AZ302" s="382"/>
      <c r="BA302" s="382"/>
      <c r="BB302" s="382"/>
      <c r="BC302" s="382"/>
      <c r="BD302" s="382"/>
      <c r="BE302" s="382"/>
      <c r="BF302" s="382"/>
      <c r="BG302" s="382"/>
      <c r="BH302" s="382"/>
      <c r="BI302" s="382"/>
      <c r="BJ302" s="382"/>
      <c r="BK302" s="382"/>
      <c r="BL302" s="382"/>
      <c r="BM302" s="382"/>
      <c r="BN302" s="382"/>
      <c r="BO302" s="382"/>
    </row>
    <row r="303" spans="1:67" s="88" customFormat="1" ht="10.55" customHeight="1" x14ac:dyDescent="0.2">
      <c r="A303" s="675"/>
      <c r="B303" s="2807"/>
      <c r="C303" s="2808"/>
      <c r="D303" s="2809"/>
      <c r="E303" s="2561"/>
      <c r="F303" s="2562"/>
      <c r="G303" s="1014"/>
      <c r="H303" s="524"/>
      <c r="I303" s="1409">
        <f t="shared" si="72"/>
        <v>0</v>
      </c>
      <c r="J303" s="1421">
        <f t="shared" si="73"/>
        <v>0</v>
      </c>
      <c r="K303" s="678"/>
      <c r="L303" s="1002"/>
      <c r="M303" s="1428">
        <f t="shared" si="74"/>
        <v>0</v>
      </c>
      <c r="N303" s="1111"/>
      <c r="O303" s="674">
        <f t="shared" si="75"/>
        <v>0</v>
      </c>
      <c r="P303" s="682"/>
      <c r="Q303" s="286"/>
      <c r="R303" s="287"/>
      <c r="S303" s="280"/>
      <c r="T303" s="280"/>
      <c r="U303" s="280"/>
      <c r="V303" s="280"/>
      <c r="W303" s="280"/>
      <c r="X303" s="280"/>
      <c r="Y303" s="280"/>
      <c r="Z303" s="284"/>
      <c r="AA303" s="284"/>
      <c r="AB303" s="284"/>
      <c r="AC303" s="284"/>
      <c r="AD303" s="284"/>
      <c r="AE303" s="284"/>
      <c r="AF303" s="447"/>
      <c r="AG303" s="447"/>
      <c r="AH303" s="447"/>
      <c r="AI303" s="382"/>
      <c r="AJ303" s="382"/>
      <c r="AK303" s="382"/>
      <c r="AL303" s="382"/>
      <c r="AM303" s="382"/>
      <c r="AN303" s="382"/>
      <c r="AO303" s="382"/>
      <c r="AP303" s="382"/>
      <c r="AQ303" s="382"/>
      <c r="AR303" s="382"/>
      <c r="AS303" s="382"/>
      <c r="AT303" s="382"/>
      <c r="AU303" s="382"/>
      <c r="AV303" s="382"/>
      <c r="AW303" s="382"/>
      <c r="AX303" s="382"/>
      <c r="AY303" s="382"/>
      <c r="AZ303" s="382"/>
      <c r="BA303" s="382"/>
      <c r="BB303" s="382"/>
      <c r="BC303" s="382"/>
      <c r="BD303" s="382"/>
      <c r="BE303" s="382"/>
      <c r="BF303" s="382"/>
      <c r="BG303" s="382"/>
      <c r="BH303" s="382"/>
      <c r="BI303" s="382"/>
      <c r="BJ303" s="382"/>
      <c r="BK303" s="382"/>
      <c r="BL303" s="382"/>
      <c r="BM303" s="382"/>
      <c r="BN303" s="382"/>
      <c r="BO303" s="382"/>
    </row>
    <row r="304" spans="1:67" s="88" customFormat="1" ht="10.55" customHeight="1" x14ac:dyDescent="0.2">
      <c r="A304" s="675"/>
      <c r="B304" s="2807"/>
      <c r="C304" s="2808"/>
      <c r="D304" s="2809"/>
      <c r="E304" s="2561"/>
      <c r="F304" s="2562"/>
      <c r="G304" s="1014"/>
      <c r="H304" s="524"/>
      <c r="I304" s="1409">
        <f t="shared" si="72"/>
        <v>0</v>
      </c>
      <c r="J304" s="1421">
        <f t="shared" si="73"/>
        <v>0</v>
      </c>
      <c r="K304" s="678"/>
      <c r="L304" s="1002"/>
      <c r="M304" s="1428">
        <f t="shared" si="74"/>
        <v>0</v>
      </c>
      <c r="N304" s="1111"/>
      <c r="O304" s="674">
        <f t="shared" si="75"/>
        <v>0</v>
      </c>
      <c r="P304" s="682"/>
      <c r="Q304" s="286"/>
      <c r="R304" s="287"/>
      <c r="S304" s="280"/>
      <c r="T304" s="280"/>
      <c r="U304" s="280"/>
      <c r="V304" s="280"/>
      <c r="W304" s="280"/>
      <c r="X304" s="280"/>
      <c r="Y304" s="280"/>
      <c r="Z304" s="284"/>
      <c r="AA304" s="284"/>
      <c r="AB304" s="284"/>
      <c r="AC304" s="284"/>
      <c r="AD304" s="284"/>
      <c r="AE304" s="284"/>
      <c r="AF304" s="447"/>
      <c r="AG304" s="447"/>
      <c r="AH304" s="447"/>
      <c r="AI304" s="382"/>
      <c r="AJ304" s="382"/>
      <c r="AK304" s="382"/>
      <c r="AL304" s="382"/>
      <c r="AM304" s="382"/>
      <c r="AN304" s="382"/>
      <c r="AO304" s="382"/>
      <c r="AP304" s="382"/>
      <c r="AQ304" s="382"/>
      <c r="AR304" s="382"/>
      <c r="AS304" s="382"/>
      <c r="AT304" s="382"/>
      <c r="AU304" s="382"/>
      <c r="AV304" s="382"/>
      <c r="AW304" s="382"/>
      <c r="AX304" s="382"/>
      <c r="AY304" s="382"/>
      <c r="AZ304" s="382"/>
      <c r="BA304" s="382"/>
      <c r="BB304" s="382"/>
      <c r="BC304" s="382"/>
      <c r="BD304" s="382"/>
      <c r="BE304" s="382"/>
      <c r="BF304" s="382"/>
      <c r="BG304" s="382"/>
      <c r="BH304" s="382"/>
      <c r="BI304" s="382"/>
      <c r="BJ304" s="382"/>
      <c r="BK304" s="382"/>
      <c r="BL304" s="382"/>
      <c r="BM304" s="382"/>
      <c r="BN304" s="382"/>
      <c r="BO304" s="382"/>
    </row>
    <row r="305" spans="1:67" s="88" customFormat="1" ht="10.55" customHeight="1" x14ac:dyDescent="0.2">
      <c r="A305" s="675"/>
      <c r="B305" s="2807"/>
      <c r="C305" s="2808"/>
      <c r="D305" s="2809"/>
      <c r="E305" s="2561"/>
      <c r="F305" s="2562"/>
      <c r="G305" s="1014"/>
      <c r="H305" s="524"/>
      <c r="I305" s="1409">
        <f t="shared" si="72"/>
        <v>0</v>
      </c>
      <c r="J305" s="1421">
        <f t="shared" si="73"/>
        <v>0</v>
      </c>
      <c r="K305" s="678"/>
      <c r="L305" s="1002"/>
      <c r="M305" s="1428">
        <f t="shared" si="74"/>
        <v>0</v>
      </c>
      <c r="N305" s="1111"/>
      <c r="O305" s="674">
        <f t="shared" si="75"/>
        <v>0</v>
      </c>
      <c r="P305" s="682"/>
      <c r="Q305" s="286"/>
      <c r="R305" s="287"/>
      <c r="S305" s="280"/>
      <c r="T305" s="280"/>
      <c r="U305" s="280"/>
      <c r="V305" s="280"/>
      <c r="W305" s="280"/>
      <c r="X305" s="280"/>
      <c r="Y305" s="280"/>
      <c r="Z305" s="284"/>
      <c r="AA305" s="284"/>
      <c r="AB305" s="284"/>
      <c r="AC305" s="284"/>
      <c r="AD305" s="284"/>
      <c r="AE305" s="284"/>
      <c r="AF305" s="447"/>
      <c r="AG305" s="447"/>
      <c r="AH305" s="447"/>
      <c r="AI305" s="382"/>
      <c r="AJ305" s="382"/>
      <c r="AK305" s="382"/>
      <c r="AL305" s="382"/>
      <c r="AM305" s="382"/>
      <c r="AN305" s="382"/>
      <c r="AO305" s="382"/>
      <c r="AP305" s="382"/>
      <c r="AQ305" s="382"/>
      <c r="AR305" s="382"/>
      <c r="AS305" s="382"/>
      <c r="AT305" s="382"/>
      <c r="AU305" s="382"/>
      <c r="AV305" s="382"/>
      <c r="AW305" s="382"/>
      <c r="AX305" s="382"/>
      <c r="AY305" s="382"/>
      <c r="AZ305" s="382"/>
      <c r="BA305" s="382"/>
      <c r="BB305" s="382"/>
      <c r="BC305" s="382"/>
      <c r="BD305" s="382"/>
      <c r="BE305" s="382"/>
      <c r="BF305" s="382"/>
      <c r="BG305" s="382"/>
      <c r="BH305" s="382"/>
      <c r="BI305" s="382"/>
      <c r="BJ305" s="382"/>
      <c r="BK305" s="382"/>
      <c r="BL305" s="382"/>
      <c r="BM305" s="382"/>
      <c r="BN305" s="382"/>
      <c r="BO305" s="382"/>
    </row>
    <row r="306" spans="1:67" s="88" customFormat="1" ht="10.55" customHeight="1" x14ac:dyDescent="0.2">
      <c r="A306" s="675"/>
      <c r="B306" s="2807"/>
      <c r="C306" s="2808"/>
      <c r="D306" s="2809"/>
      <c r="E306" s="2561"/>
      <c r="F306" s="2562"/>
      <c r="G306" s="1014"/>
      <c r="H306" s="524"/>
      <c r="I306" s="1409">
        <f t="shared" si="72"/>
        <v>0</v>
      </c>
      <c r="J306" s="1421">
        <f t="shared" si="73"/>
        <v>0</v>
      </c>
      <c r="K306" s="678"/>
      <c r="L306" s="1002"/>
      <c r="M306" s="1428">
        <f t="shared" si="74"/>
        <v>0</v>
      </c>
      <c r="N306" s="1111"/>
      <c r="O306" s="674">
        <f t="shared" si="75"/>
        <v>0</v>
      </c>
      <c r="P306" s="682"/>
      <c r="Q306" s="286"/>
      <c r="R306" s="287"/>
      <c r="S306" s="280"/>
      <c r="T306" s="280"/>
      <c r="U306" s="280"/>
      <c r="V306" s="280"/>
      <c r="W306" s="280"/>
      <c r="X306" s="280"/>
      <c r="Y306" s="280"/>
      <c r="Z306" s="284"/>
      <c r="AA306" s="284"/>
      <c r="AB306" s="284"/>
      <c r="AC306" s="284"/>
      <c r="AD306" s="284"/>
      <c r="AE306" s="284"/>
      <c r="AF306" s="447"/>
      <c r="AG306" s="447"/>
      <c r="AH306" s="447"/>
      <c r="AI306" s="382"/>
      <c r="AJ306" s="382"/>
      <c r="AK306" s="382"/>
      <c r="AL306" s="382"/>
      <c r="AM306" s="382"/>
      <c r="AN306" s="382"/>
      <c r="AO306" s="382"/>
      <c r="AP306" s="382"/>
      <c r="AQ306" s="382"/>
      <c r="AR306" s="382"/>
      <c r="AS306" s="382"/>
      <c r="AT306" s="382"/>
      <c r="AU306" s="382"/>
      <c r="AV306" s="382"/>
      <c r="AW306" s="382"/>
      <c r="AX306" s="382"/>
      <c r="AY306" s="382"/>
      <c r="AZ306" s="382"/>
      <c r="BA306" s="382"/>
      <c r="BB306" s="382"/>
      <c r="BC306" s="382"/>
      <c r="BD306" s="382"/>
      <c r="BE306" s="382"/>
      <c r="BF306" s="382"/>
      <c r="BG306" s="382"/>
      <c r="BH306" s="382"/>
      <c r="BI306" s="382"/>
      <c r="BJ306" s="382"/>
      <c r="BK306" s="382"/>
      <c r="BL306" s="382"/>
      <c r="BM306" s="382"/>
      <c r="BN306" s="382"/>
      <c r="BO306" s="382"/>
    </row>
    <row r="307" spans="1:67" s="88" customFormat="1" ht="10.55" customHeight="1" x14ac:dyDescent="0.2">
      <c r="A307" s="675"/>
      <c r="B307" s="2807"/>
      <c r="C307" s="2808"/>
      <c r="D307" s="2809"/>
      <c r="E307" s="2561"/>
      <c r="F307" s="2562"/>
      <c r="G307" s="1014"/>
      <c r="H307" s="524"/>
      <c r="I307" s="1409">
        <f t="shared" si="72"/>
        <v>0</v>
      </c>
      <c r="J307" s="1421">
        <f t="shared" si="73"/>
        <v>0</v>
      </c>
      <c r="K307" s="678"/>
      <c r="L307" s="1002"/>
      <c r="M307" s="1428">
        <f t="shared" si="74"/>
        <v>0</v>
      </c>
      <c r="N307" s="1111"/>
      <c r="O307" s="674">
        <f t="shared" si="75"/>
        <v>0</v>
      </c>
      <c r="P307" s="682"/>
      <c r="Q307" s="286"/>
      <c r="R307" s="287"/>
      <c r="S307" s="280"/>
      <c r="T307" s="280"/>
      <c r="U307" s="280"/>
      <c r="V307" s="280"/>
      <c r="W307" s="280"/>
      <c r="X307" s="280"/>
      <c r="Y307" s="280"/>
      <c r="Z307" s="284"/>
      <c r="AA307" s="284"/>
      <c r="AB307" s="284"/>
      <c r="AC307" s="284"/>
      <c r="AD307" s="284"/>
      <c r="AE307" s="284"/>
      <c r="AF307" s="447"/>
      <c r="AG307" s="447"/>
      <c r="AH307" s="447"/>
      <c r="AI307" s="382"/>
      <c r="AJ307" s="382"/>
      <c r="AK307" s="382"/>
      <c r="AL307" s="382"/>
      <c r="AM307" s="382"/>
      <c r="AN307" s="382"/>
      <c r="AO307" s="382"/>
      <c r="AP307" s="382"/>
      <c r="AQ307" s="382"/>
      <c r="AR307" s="382"/>
      <c r="AS307" s="382"/>
      <c r="AT307" s="382"/>
      <c r="AU307" s="382"/>
      <c r="AV307" s="382"/>
      <c r="AW307" s="382"/>
      <c r="AX307" s="382"/>
      <c r="AY307" s="382"/>
      <c r="AZ307" s="382"/>
      <c r="BA307" s="382"/>
      <c r="BB307" s="382"/>
      <c r="BC307" s="382"/>
      <c r="BD307" s="382"/>
      <c r="BE307" s="382"/>
      <c r="BF307" s="382"/>
      <c r="BG307" s="382"/>
      <c r="BH307" s="382"/>
      <c r="BI307" s="382"/>
      <c r="BJ307" s="382"/>
      <c r="BK307" s="382"/>
      <c r="BL307" s="382"/>
      <c r="BM307" s="382"/>
      <c r="BN307" s="382"/>
      <c r="BO307" s="382"/>
    </row>
    <row r="308" spans="1:67" s="88" customFormat="1" ht="10.55" customHeight="1" x14ac:dyDescent="0.2">
      <c r="A308" s="675"/>
      <c r="B308" s="2807"/>
      <c r="C308" s="2808"/>
      <c r="D308" s="2809"/>
      <c r="E308" s="2561"/>
      <c r="F308" s="2562"/>
      <c r="G308" s="1014"/>
      <c r="H308" s="524"/>
      <c r="I308" s="1409">
        <f t="shared" si="72"/>
        <v>0</v>
      </c>
      <c r="J308" s="1421">
        <f t="shared" si="73"/>
        <v>0</v>
      </c>
      <c r="K308" s="678"/>
      <c r="L308" s="1002"/>
      <c r="M308" s="1428">
        <f t="shared" si="74"/>
        <v>0</v>
      </c>
      <c r="N308" s="1111"/>
      <c r="O308" s="674">
        <f t="shared" si="75"/>
        <v>0</v>
      </c>
      <c r="P308" s="682"/>
      <c r="Q308" s="286"/>
      <c r="R308" s="287"/>
      <c r="S308" s="280"/>
      <c r="T308" s="280"/>
      <c r="U308" s="280"/>
      <c r="V308" s="280"/>
      <c r="W308" s="280"/>
      <c r="X308" s="280"/>
      <c r="Y308" s="280"/>
      <c r="Z308" s="284"/>
      <c r="AA308" s="284"/>
      <c r="AB308" s="284"/>
      <c r="AC308" s="284"/>
      <c r="AD308" s="284"/>
      <c r="AE308" s="284"/>
      <c r="AF308" s="447"/>
      <c r="AG308" s="447"/>
      <c r="AH308" s="447"/>
      <c r="AI308" s="382"/>
      <c r="AJ308" s="382"/>
      <c r="AK308" s="382"/>
      <c r="AL308" s="382"/>
      <c r="AM308" s="382"/>
      <c r="AN308" s="382"/>
      <c r="AO308" s="382"/>
      <c r="AP308" s="382"/>
      <c r="AQ308" s="382"/>
      <c r="AR308" s="382"/>
      <c r="AS308" s="382"/>
      <c r="AT308" s="382"/>
      <c r="AU308" s="382"/>
      <c r="AV308" s="382"/>
      <c r="AW308" s="382"/>
      <c r="AX308" s="382"/>
      <c r="AY308" s="382"/>
      <c r="AZ308" s="382"/>
      <c r="BA308" s="382"/>
      <c r="BB308" s="382"/>
      <c r="BC308" s="382"/>
      <c r="BD308" s="382"/>
      <c r="BE308" s="382"/>
      <c r="BF308" s="382"/>
      <c r="BG308" s="382"/>
      <c r="BH308" s="382"/>
      <c r="BI308" s="382"/>
      <c r="BJ308" s="382"/>
      <c r="BK308" s="382"/>
      <c r="BL308" s="382"/>
      <c r="BM308" s="382"/>
      <c r="BN308" s="382"/>
      <c r="BO308" s="382"/>
    </row>
    <row r="309" spans="1:67" s="88" customFormat="1" ht="10.55" customHeight="1" x14ac:dyDescent="0.2">
      <c r="A309" s="675"/>
      <c r="B309" s="2807"/>
      <c r="C309" s="2808"/>
      <c r="D309" s="2809"/>
      <c r="E309" s="2561"/>
      <c r="F309" s="2562"/>
      <c r="G309" s="1015"/>
      <c r="H309" s="524"/>
      <c r="I309" s="1409">
        <f t="shared" si="72"/>
        <v>0</v>
      </c>
      <c r="J309" s="1421">
        <f t="shared" si="73"/>
        <v>0</v>
      </c>
      <c r="K309" s="679"/>
      <c r="L309" s="1002"/>
      <c r="M309" s="1428">
        <f t="shared" si="74"/>
        <v>0</v>
      </c>
      <c r="N309" s="1111"/>
      <c r="O309" s="674">
        <f t="shared" si="75"/>
        <v>0</v>
      </c>
      <c r="P309" s="682"/>
      <c r="Q309" s="286"/>
      <c r="R309" s="287"/>
      <c r="S309" s="280"/>
      <c r="T309" s="280"/>
      <c r="U309" s="280"/>
      <c r="V309" s="280"/>
      <c r="W309" s="280"/>
      <c r="X309" s="280"/>
      <c r="Y309" s="280"/>
      <c r="Z309" s="284"/>
      <c r="AA309" s="284"/>
      <c r="AB309" s="284"/>
      <c r="AC309" s="284"/>
      <c r="AD309" s="284"/>
      <c r="AE309" s="284"/>
      <c r="AF309" s="447"/>
      <c r="AG309" s="447"/>
      <c r="AH309" s="447"/>
      <c r="AI309" s="382"/>
      <c r="AJ309" s="382"/>
      <c r="AK309" s="382"/>
      <c r="AL309" s="382"/>
      <c r="AM309" s="382"/>
      <c r="AN309" s="382"/>
      <c r="AO309" s="382"/>
      <c r="AP309" s="382"/>
      <c r="AQ309" s="382"/>
      <c r="AR309" s="382"/>
      <c r="AS309" s="382"/>
      <c r="AT309" s="382"/>
      <c r="AU309" s="382"/>
      <c r="AV309" s="382"/>
      <c r="AW309" s="382"/>
      <c r="AX309" s="382"/>
      <c r="AY309" s="382"/>
      <c r="AZ309" s="382"/>
      <c r="BA309" s="382"/>
      <c r="BB309" s="382"/>
      <c r="BC309" s="382"/>
      <c r="BD309" s="382"/>
      <c r="BE309" s="382"/>
      <c r="BF309" s="382"/>
      <c r="BG309" s="382"/>
      <c r="BH309" s="382"/>
      <c r="BI309" s="382"/>
      <c r="BJ309" s="382"/>
      <c r="BK309" s="382"/>
      <c r="BL309" s="382"/>
      <c r="BM309" s="382"/>
      <c r="BN309" s="382"/>
      <c r="BO309" s="382"/>
    </row>
    <row r="310" spans="1:67" s="88" customFormat="1" ht="10.55" customHeight="1" x14ac:dyDescent="0.2">
      <c r="A310" s="675"/>
      <c r="B310" s="2807"/>
      <c r="C310" s="2808"/>
      <c r="D310" s="2809"/>
      <c r="E310" s="2561"/>
      <c r="F310" s="2562"/>
      <c r="G310" s="1015"/>
      <c r="H310" s="524"/>
      <c r="I310" s="1409">
        <f t="shared" si="72"/>
        <v>0</v>
      </c>
      <c r="J310" s="1421">
        <f t="shared" si="73"/>
        <v>0</v>
      </c>
      <c r="K310" s="679"/>
      <c r="L310" s="1002"/>
      <c r="M310" s="1428">
        <f t="shared" si="74"/>
        <v>0</v>
      </c>
      <c r="N310" s="1111"/>
      <c r="O310" s="674">
        <f t="shared" si="75"/>
        <v>0</v>
      </c>
      <c r="P310" s="682"/>
      <c r="Q310" s="286"/>
      <c r="R310" s="287"/>
      <c r="S310" s="280"/>
      <c r="T310" s="280"/>
      <c r="U310" s="280"/>
      <c r="V310" s="280"/>
      <c r="W310" s="280"/>
      <c r="X310" s="280"/>
      <c r="Y310" s="280"/>
      <c r="Z310" s="284"/>
      <c r="AA310" s="284"/>
      <c r="AB310" s="284"/>
      <c r="AC310" s="284"/>
      <c r="AD310" s="284"/>
      <c r="AE310" s="284"/>
      <c r="AF310" s="447"/>
      <c r="AG310" s="447"/>
      <c r="AH310" s="447"/>
      <c r="AI310" s="382"/>
      <c r="AJ310" s="382"/>
      <c r="AK310" s="382"/>
      <c r="AL310" s="382"/>
      <c r="AM310" s="382"/>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row>
    <row r="311" spans="1:67" s="88" customFormat="1" ht="10.55" customHeight="1" x14ac:dyDescent="0.2">
      <c r="A311" s="675"/>
      <c r="B311" s="2807"/>
      <c r="C311" s="2808"/>
      <c r="D311" s="2809"/>
      <c r="E311" s="2561"/>
      <c r="F311" s="2562"/>
      <c r="G311" s="1015"/>
      <c r="H311" s="524"/>
      <c r="I311" s="1409">
        <f t="shared" si="72"/>
        <v>0</v>
      </c>
      <c r="J311" s="1421">
        <f t="shared" si="73"/>
        <v>0</v>
      </c>
      <c r="K311" s="679"/>
      <c r="L311" s="1002"/>
      <c r="M311" s="1428">
        <f t="shared" si="74"/>
        <v>0</v>
      </c>
      <c r="N311" s="1111"/>
      <c r="O311" s="674">
        <f t="shared" si="75"/>
        <v>0</v>
      </c>
      <c r="P311" s="682"/>
      <c r="Q311" s="286"/>
      <c r="R311" s="287"/>
      <c r="S311" s="280"/>
      <c r="T311" s="280"/>
      <c r="U311" s="280"/>
      <c r="V311" s="280"/>
      <c r="W311" s="280"/>
      <c r="X311" s="280"/>
      <c r="Y311" s="280"/>
      <c r="Z311" s="284"/>
      <c r="AA311" s="284"/>
      <c r="AB311" s="284"/>
      <c r="AC311" s="284"/>
      <c r="AD311" s="284"/>
      <c r="AE311" s="284"/>
      <c r="AF311" s="447"/>
      <c r="AG311" s="447"/>
      <c r="AH311" s="447"/>
      <c r="AI311" s="382"/>
      <c r="AJ311" s="382"/>
      <c r="AK311" s="382"/>
      <c r="AL311" s="382"/>
      <c r="AM311" s="382"/>
      <c r="AN311" s="382"/>
      <c r="AO311" s="382"/>
      <c r="AP311" s="382"/>
      <c r="AQ311" s="382"/>
      <c r="AR311" s="382"/>
      <c r="AS311" s="382"/>
      <c r="AT311" s="382"/>
      <c r="AU311" s="382"/>
      <c r="AV311" s="382"/>
      <c r="AW311" s="382"/>
      <c r="AX311" s="382"/>
      <c r="AY311" s="382"/>
      <c r="AZ311" s="382"/>
      <c r="BA311" s="382"/>
      <c r="BB311" s="382"/>
      <c r="BC311" s="382"/>
      <c r="BD311" s="382"/>
      <c r="BE311" s="382"/>
      <c r="BF311" s="382"/>
      <c r="BG311" s="382"/>
      <c r="BH311" s="382"/>
      <c r="BI311" s="382"/>
      <c r="BJ311" s="382"/>
      <c r="BK311" s="382"/>
      <c r="BL311" s="382"/>
      <c r="BM311" s="382"/>
      <c r="BN311" s="382"/>
      <c r="BO311" s="382"/>
    </row>
    <row r="312" spans="1:67" s="88" customFormat="1" ht="10.55" customHeight="1" x14ac:dyDescent="0.2">
      <c r="A312" s="675"/>
      <c r="B312" s="2807"/>
      <c r="C312" s="2808"/>
      <c r="D312" s="2809"/>
      <c r="E312" s="2561"/>
      <c r="F312" s="2562"/>
      <c r="G312" s="1015"/>
      <c r="H312" s="524"/>
      <c r="I312" s="1409">
        <f t="shared" si="72"/>
        <v>0</v>
      </c>
      <c r="J312" s="1421">
        <f t="shared" si="73"/>
        <v>0</v>
      </c>
      <c r="K312" s="679"/>
      <c r="L312" s="1002"/>
      <c r="M312" s="1428">
        <f t="shared" si="74"/>
        <v>0</v>
      </c>
      <c r="N312" s="1111"/>
      <c r="O312" s="674">
        <f t="shared" si="75"/>
        <v>0</v>
      </c>
      <c r="P312" s="682"/>
      <c r="Q312" s="286"/>
      <c r="R312" s="287"/>
      <c r="S312" s="280"/>
      <c r="T312" s="280"/>
      <c r="U312" s="280"/>
      <c r="V312" s="280"/>
      <c r="W312" s="280"/>
      <c r="X312" s="280"/>
      <c r="Y312" s="280"/>
      <c r="Z312" s="284"/>
      <c r="AA312" s="284"/>
      <c r="AB312" s="284"/>
      <c r="AC312" s="284"/>
      <c r="AD312" s="284"/>
      <c r="AE312" s="284"/>
      <c r="AF312" s="447"/>
      <c r="AG312" s="447"/>
      <c r="AH312" s="447"/>
      <c r="AI312" s="382"/>
      <c r="AJ312" s="382"/>
      <c r="AK312" s="382"/>
      <c r="AL312" s="382"/>
      <c r="AM312" s="382"/>
      <c r="AN312" s="382"/>
      <c r="AO312" s="382"/>
      <c r="AP312" s="382"/>
      <c r="AQ312" s="382"/>
      <c r="AR312" s="382"/>
      <c r="AS312" s="382"/>
      <c r="AT312" s="382"/>
      <c r="AU312" s="382"/>
      <c r="AV312" s="382"/>
      <c r="AW312" s="382"/>
      <c r="AX312" s="382"/>
      <c r="AY312" s="382"/>
      <c r="AZ312" s="382"/>
      <c r="BA312" s="382"/>
      <c r="BB312" s="382"/>
      <c r="BC312" s="382"/>
      <c r="BD312" s="382"/>
      <c r="BE312" s="382"/>
      <c r="BF312" s="382"/>
      <c r="BG312" s="382"/>
      <c r="BH312" s="382"/>
      <c r="BI312" s="382"/>
      <c r="BJ312" s="382"/>
      <c r="BK312" s="382"/>
      <c r="BL312" s="382"/>
      <c r="BM312" s="382"/>
      <c r="BN312" s="382"/>
      <c r="BO312" s="382"/>
    </row>
    <row r="313" spans="1:67" s="88" customFormat="1" ht="10.55" customHeight="1" x14ac:dyDescent="0.2">
      <c r="A313" s="675"/>
      <c r="B313" s="2807"/>
      <c r="C313" s="2808"/>
      <c r="D313" s="2809"/>
      <c r="E313" s="2561"/>
      <c r="F313" s="2562"/>
      <c r="G313" s="1015"/>
      <c r="H313" s="524"/>
      <c r="I313" s="1409">
        <f t="shared" si="72"/>
        <v>0</v>
      </c>
      <c r="J313" s="1421">
        <f t="shared" si="73"/>
        <v>0</v>
      </c>
      <c r="K313" s="679"/>
      <c r="L313" s="1002"/>
      <c r="M313" s="1428">
        <f t="shared" si="74"/>
        <v>0</v>
      </c>
      <c r="N313" s="1111"/>
      <c r="O313" s="674">
        <f t="shared" si="75"/>
        <v>0</v>
      </c>
      <c r="P313" s="682"/>
      <c r="Q313" s="286"/>
      <c r="R313" s="287"/>
      <c r="S313" s="280"/>
      <c r="T313" s="280"/>
      <c r="U313" s="280"/>
      <c r="V313" s="280"/>
      <c r="W313" s="280"/>
      <c r="X313" s="280"/>
      <c r="Y313" s="280"/>
      <c r="Z313" s="284"/>
      <c r="AA313" s="284"/>
      <c r="AB313" s="284"/>
      <c r="AC313" s="284"/>
      <c r="AD313" s="284"/>
      <c r="AE313" s="284"/>
      <c r="AF313" s="447"/>
      <c r="AG313" s="447"/>
      <c r="AH313" s="447"/>
      <c r="AI313" s="382"/>
      <c r="AJ313" s="382"/>
      <c r="AK313" s="382"/>
      <c r="AL313" s="382"/>
      <c r="AM313" s="382"/>
      <c r="AN313" s="382"/>
      <c r="AO313" s="382"/>
      <c r="AP313" s="382"/>
      <c r="AQ313" s="382"/>
      <c r="AR313" s="382"/>
      <c r="AS313" s="382"/>
      <c r="AT313" s="382"/>
      <c r="AU313" s="382"/>
      <c r="AV313" s="382"/>
      <c r="AW313" s="382"/>
      <c r="AX313" s="382"/>
      <c r="AY313" s="382"/>
      <c r="AZ313" s="382"/>
      <c r="BA313" s="382"/>
      <c r="BB313" s="382"/>
      <c r="BC313" s="382"/>
      <c r="BD313" s="382"/>
      <c r="BE313" s="382"/>
      <c r="BF313" s="382"/>
      <c r="BG313" s="382"/>
      <c r="BH313" s="382"/>
      <c r="BI313" s="382"/>
      <c r="BJ313" s="382"/>
      <c r="BK313" s="382"/>
      <c r="BL313" s="382"/>
      <c r="BM313" s="382"/>
      <c r="BN313" s="382"/>
      <c r="BO313" s="382"/>
    </row>
    <row r="314" spans="1:67" s="88" customFormat="1" ht="10.55" customHeight="1" x14ac:dyDescent="0.2">
      <c r="A314" s="675"/>
      <c r="B314" s="2807"/>
      <c r="C314" s="2808"/>
      <c r="D314" s="2809"/>
      <c r="E314" s="2561"/>
      <c r="F314" s="2562"/>
      <c r="G314" s="1015"/>
      <c r="H314" s="524"/>
      <c r="I314" s="1409">
        <f t="shared" si="72"/>
        <v>0</v>
      </c>
      <c r="J314" s="1421">
        <f t="shared" si="73"/>
        <v>0</v>
      </c>
      <c r="K314" s="679"/>
      <c r="L314" s="1002"/>
      <c r="M314" s="1428">
        <f t="shared" si="74"/>
        <v>0</v>
      </c>
      <c r="N314" s="1111"/>
      <c r="O314" s="674">
        <f t="shared" si="75"/>
        <v>0</v>
      </c>
      <c r="P314" s="682"/>
      <c r="Q314" s="286"/>
      <c r="R314" s="287"/>
      <c r="S314" s="280"/>
      <c r="T314" s="280"/>
      <c r="U314" s="280"/>
      <c r="V314" s="280"/>
      <c r="W314" s="280"/>
      <c r="X314" s="280"/>
      <c r="Y314" s="280"/>
      <c r="Z314" s="284"/>
      <c r="AA314" s="284"/>
      <c r="AB314" s="284"/>
      <c r="AC314" s="284"/>
      <c r="AD314" s="284"/>
      <c r="AE314" s="284"/>
      <c r="AF314" s="447"/>
      <c r="AG314" s="447"/>
      <c r="AH314" s="447"/>
      <c r="AI314" s="382"/>
      <c r="AJ314" s="382"/>
      <c r="AK314" s="382"/>
      <c r="AL314" s="382"/>
      <c r="AM314" s="382"/>
      <c r="AN314" s="382"/>
      <c r="AO314" s="382"/>
      <c r="AP314" s="382"/>
      <c r="AQ314" s="382"/>
      <c r="AR314" s="382"/>
      <c r="AS314" s="382"/>
      <c r="AT314" s="382"/>
      <c r="AU314" s="382"/>
      <c r="AV314" s="382"/>
      <c r="AW314" s="382"/>
      <c r="AX314" s="382"/>
      <c r="AY314" s="382"/>
      <c r="AZ314" s="382"/>
      <c r="BA314" s="382"/>
      <c r="BB314" s="382"/>
      <c r="BC314" s="382"/>
      <c r="BD314" s="382"/>
      <c r="BE314" s="382"/>
      <c r="BF314" s="382"/>
      <c r="BG314" s="382"/>
      <c r="BH314" s="382"/>
      <c r="BI314" s="382"/>
      <c r="BJ314" s="382"/>
      <c r="BK314" s="382"/>
      <c r="BL314" s="382"/>
      <c r="BM314" s="382"/>
      <c r="BN314" s="382"/>
      <c r="BO314" s="382"/>
    </row>
    <row r="315" spans="1:67" s="88" customFormat="1" ht="10.55" customHeight="1" x14ac:dyDescent="0.2">
      <c r="A315" s="1017"/>
      <c r="B315" s="2804"/>
      <c r="C315" s="2805"/>
      <c r="D315" s="2806"/>
      <c r="E315" s="2793"/>
      <c r="F315" s="2794"/>
      <c r="G315" s="1018"/>
      <c r="H315" s="1019"/>
      <c r="I315" s="1436">
        <f t="shared" si="72"/>
        <v>0</v>
      </c>
      <c r="J315" s="1422"/>
      <c r="K315" s="680"/>
      <c r="L315" s="1020"/>
      <c r="M315" s="1429">
        <f t="shared" si="74"/>
        <v>0</v>
      </c>
      <c r="N315" s="1111"/>
      <c r="O315" s="674">
        <f t="shared" si="75"/>
        <v>0</v>
      </c>
      <c r="P315" s="682"/>
      <c r="Q315" s="286"/>
      <c r="R315" s="287"/>
      <c r="S315" s="280"/>
      <c r="T315" s="280"/>
      <c r="U315" s="280"/>
      <c r="V315" s="280"/>
      <c r="W315" s="280"/>
      <c r="X315" s="280"/>
      <c r="Y315" s="280"/>
      <c r="Z315" s="284"/>
      <c r="AA315" s="284"/>
      <c r="AB315" s="284"/>
      <c r="AC315" s="284"/>
      <c r="AD315" s="284"/>
      <c r="AE315" s="284"/>
      <c r="AF315" s="447"/>
      <c r="AG315" s="447"/>
      <c r="AH315" s="447"/>
      <c r="AI315" s="382"/>
      <c r="AJ315" s="382"/>
      <c r="AK315" s="382"/>
      <c r="AL315" s="382"/>
      <c r="AM315" s="382"/>
      <c r="AN315" s="382"/>
      <c r="AO315" s="382"/>
      <c r="AP315" s="382"/>
      <c r="AQ315" s="382"/>
      <c r="AR315" s="382"/>
      <c r="AS315" s="382"/>
      <c r="AT315" s="382"/>
      <c r="AU315" s="382"/>
      <c r="AV315" s="382"/>
      <c r="AW315" s="382"/>
      <c r="AX315" s="382"/>
      <c r="AY315" s="382"/>
      <c r="AZ315" s="382"/>
      <c r="BA315" s="382"/>
      <c r="BB315" s="382"/>
      <c r="BC315" s="382"/>
      <c r="BD315" s="382"/>
      <c r="BE315" s="382"/>
      <c r="BF315" s="382"/>
      <c r="BG315" s="382"/>
      <c r="BH315" s="382"/>
      <c r="BI315" s="382"/>
      <c r="BJ315" s="382"/>
      <c r="BK315" s="382"/>
      <c r="BL315" s="382"/>
      <c r="BM315" s="382"/>
      <c r="BN315" s="382"/>
      <c r="BO315" s="382"/>
    </row>
    <row r="316" spans="1:67" s="88" customFormat="1" ht="10.55" customHeight="1" x14ac:dyDescent="0.2">
      <c r="A316" s="1122" t="s">
        <v>425</v>
      </c>
      <c r="B316" s="2783"/>
      <c r="C316" s="2784"/>
      <c r="D316" s="2785"/>
      <c r="E316" s="2810">
        <f>SUM(E317:E329)</f>
        <v>0</v>
      </c>
      <c r="F316" s="2811"/>
      <c r="G316" s="2747"/>
      <c r="H316" s="2748"/>
      <c r="I316" s="1435">
        <f>IF(E316=0,0,J316/E316)</f>
        <v>0</v>
      </c>
      <c r="J316" s="1423">
        <f>SUM(J317:J329)</f>
        <v>0</v>
      </c>
      <c r="K316" s="2749">
        <f>IF(E316=0,0,M316/E316*100)</f>
        <v>0</v>
      </c>
      <c r="L316" s="2750"/>
      <c r="M316" s="1430">
        <f>SUM(M317:M329)</f>
        <v>0</v>
      </c>
      <c r="N316" s="1111"/>
      <c r="O316" s="387">
        <f>IF(H316="",G316,H316)</f>
        <v>0</v>
      </c>
      <c r="P316" s="682"/>
      <c r="Q316" s="286"/>
      <c r="R316" s="287"/>
      <c r="S316" s="280"/>
      <c r="T316" s="280"/>
      <c r="U316" s="280"/>
      <c r="V316" s="280"/>
      <c r="W316" s="280"/>
      <c r="X316" s="280"/>
      <c r="Y316" s="280"/>
      <c r="Z316" s="284"/>
      <c r="AA316" s="284"/>
      <c r="AB316" s="284"/>
      <c r="AC316" s="284"/>
      <c r="AD316" s="284"/>
      <c r="AE316" s="284"/>
      <c r="AF316" s="447"/>
      <c r="AG316" s="447"/>
      <c r="AH316" s="447"/>
      <c r="AI316" s="382"/>
      <c r="AJ316" s="382"/>
      <c r="AK316" s="382"/>
      <c r="AL316" s="382"/>
      <c r="AM316" s="382"/>
      <c r="AN316" s="382"/>
      <c r="AO316" s="382"/>
      <c r="AP316" s="382"/>
      <c r="AQ316" s="382"/>
      <c r="AR316" s="382"/>
      <c r="AS316" s="382"/>
      <c r="AT316" s="382"/>
      <c r="AU316" s="382"/>
      <c r="AV316" s="382"/>
      <c r="AW316" s="382"/>
      <c r="AX316" s="382"/>
      <c r="AY316" s="382"/>
      <c r="AZ316" s="382"/>
      <c r="BA316" s="382"/>
      <c r="BB316" s="382"/>
      <c r="BC316" s="382"/>
      <c r="BD316" s="382"/>
      <c r="BE316" s="382"/>
      <c r="BF316" s="382"/>
      <c r="BG316" s="382"/>
      <c r="BH316" s="382"/>
      <c r="BI316" s="382"/>
      <c r="BJ316" s="382"/>
      <c r="BK316" s="382"/>
      <c r="BL316" s="382"/>
      <c r="BM316" s="382"/>
      <c r="BN316" s="382"/>
      <c r="BO316" s="382"/>
    </row>
    <row r="317" spans="1:67" s="88" customFormat="1" ht="10.55" customHeight="1" x14ac:dyDescent="0.2">
      <c r="A317" s="1013" t="s">
        <v>426</v>
      </c>
      <c r="B317" s="2790"/>
      <c r="C317" s="2791"/>
      <c r="D317" s="2792"/>
      <c r="E317" s="2734"/>
      <c r="F317" s="2735"/>
      <c r="G317" s="1785">
        <v>15</v>
      </c>
      <c r="H317" s="524"/>
      <c r="I317" s="1409">
        <f t="shared" ref="I317:I330" si="76">IF($O317&gt;0,-PMT(($I$9),$O317,1),0)</f>
        <v>8.0766456051533542E-2</v>
      </c>
      <c r="J317" s="1421">
        <f t="shared" ref="J317:J329" si="77">ROUND(E317*I317,0)</f>
        <v>0</v>
      </c>
      <c r="K317" s="687"/>
      <c r="L317" s="1003"/>
      <c r="M317" s="1428">
        <f t="shared" ref="M317:M330" si="78">ROUND(E317/100*IF(ISBLANK(L317),K317,L317),0)</f>
        <v>0</v>
      </c>
      <c r="N317" s="1111"/>
      <c r="O317" s="674">
        <f t="shared" ref="O317:O330" si="79">IF(ISBLANK(H317),G317,H317)</f>
        <v>15</v>
      </c>
      <c r="P317" s="682"/>
      <c r="Q317" s="286"/>
      <c r="R317" s="287"/>
      <c r="S317" s="280"/>
      <c r="T317" s="280"/>
      <c r="U317" s="280"/>
      <c r="V317" s="280"/>
      <c r="W317" s="280"/>
      <c r="X317" s="280"/>
      <c r="Y317" s="280"/>
      <c r="Z317" s="284"/>
      <c r="AA317" s="284"/>
      <c r="AB317" s="284"/>
      <c r="AC317" s="284"/>
      <c r="AD317" s="284"/>
      <c r="AE317" s="284"/>
      <c r="AF317" s="447"/>
      <c r="AG317" s="447"/>
      <c r="AH317" s="447"/>
      <c r="AI317" s="382"/>
      <c r="AJ317" s="382"/>
      <c r="AK317" s="382"/>
      <c r="AL317" s="382"/>
      <c r="AM317" s="382"/>
      <c r="AN317" s="382"/>
      <c r="AO317" s="382"/>
      <c r="AP317" s="382"/>
      <c r="AQ317" s="382"/>
      <c r="AR317" s="382"/>
      <c r="AS317" s="382"/>
      <c r="AT317" s="382"/>
      <c r="AU317" s="382"/>
      <c r="AV317" s="382"/>
      <c r="AW317" s="382"/>
      <c r="AX317" s="382"/>
      <c r="AY317" s="382"/>
      <c r="AZ317" s="382"/>
      <c r="BA317" s="382"/>
      <c r="BB317" s="382"/>
      <c r="BC317" s="382"/>
      <c r="BD317" s="382"/>
      <c r="BE317" s="382"/>
      <c r="BF317" s="382"/>
      <c r="BG317" s="382"/>
      <c r="BH317" s="382"/>
      <c r="BI317" s="382"/>
      <c r="BJ317" s="382"/>
      <c r="BK317" s="382"/>
      <c r="BL317" s="382"/>
      <c r="BM317" s="382"/>
      <c r="BN317" s="382"/>
      <c r="BO317" s="382"/>
    </row>
    <row r="318" spans="1:67" s="88" customFormat="1" ht="10.55" customHeight="1" x14ac:dyDescent="0.2">
      <c r="A318" s="1013" t="s">
        <v>427</v>
      </c>
      <c r="B318" s="2807"/>
      <c r="C318" s="2808"/>
      <c r="D318" s="2809"/>
      <c r="E318" s="2561"/>
      <c r="F318" s="2562"/>
      <c r="G318" s="1785">
        <v>15</v>
      </c>
      <c r="H318" s="524"/>
      <c r="I318" s="1409">
        <f t="shared" si="76"/>
        <v>8.0766456051533542E-2</v>
      </c>
      <c r="J318" s="1421">
        <f t="shared" si="77"/>
        <v>0</v>
      </c>
      <c r="K318" s="678">
        <v>0.5</v>
      </c>
      <c r="L318" s="1002"/>
      <c r="M318" s="1428">
        <f t="shared" si="78"/>
        <v>0</v>
      </c>
      <c r="N318" s="1111"/>
      <c r="O318" s="674">
        <f t="shared" si="79"/>
        <v>15</v>
      </c>
      <c r="P318" s="682"/>
      <c r="Q318" s="286"/>
      <c r="R318" s="287"/>
      <c r="S318" s="280"/>
      <c r="T318" s="280"/>
      <c r="U318" s="280"/>
      <c r="V318" s="280"/>
      <c r="W318" s="280"/>
      <c r="X318" s="280"/>
      <c r="Y318" s="280"/>
      <c r="Z318" s="284"/>
      <c r="AA318" s="284"/>
      <c r="AB318" s="284"/>
      <c r="AC318" s="284"/>
      <c r="AD318" s="284"/>
      <c r="AE318" s="284"/>
      <c r="AF318" s="447"/>
      <c r="AG318" s="447"/>
      <c r="AH318" s="447"/>
      <c r="AI318" s="382"/>
      <c r="AJ318" s="382"/>
      <c r="AK318" s="382"/>
      <c r="AL318" s="382"/>
      <c r="AM318" s="382"/>
      <c r="AN318" s="382"/>
      <c r="AO318" s="382"/>
      <c r="AP318" s="382"/>
      <c r="AQ318" s="382"/>
      <c r="AR318" s="382"/>
      <c r="AS318" s="382"/>
      <c r="AT318" s="382"/>
      <c r="AU318" s="382"/>
      <c r="AV318" s="382"/>
      <c r="AW318" s="382"/>
      <c r="AX318" s="382"/>
      <c r="AY318" s="382"/>
      <c r="AZ318" s="382"/>
      <c r="BA318" s="382"/>
      <c r="BB318" s="382"/>
      <c r="BC318" s="382"/>
      <c r="BD318" s="382"/>
      <c r="BE318" s="382"/>
      <c r="BF318" s="382"/>
      <c r="BG318" s="382"/>
      <c r="BH318" s="382"/>
      <c r="BI318" s="382"/>
      <c r="BJ318" s="382"/>
      <c r="BK318" s="382"/>
      <c r="BL318" s="382"/>
      <c r="BM318" s="382"/>
      <c r="BN318" s="382"/>
      <c r="BO318" s="382"/>
    </row>
    <row r="319" spans="1:67" s="88" customFormat="1" ht="10.55" customHeight="1" x14ac:dyDescent="0.2">
      <c r="A319" s="1013" t="s">
        <v>428</v>
      </c>
      <c r="B319" s="2807"/>
      <c r="C319" s="2808"/>
      <c r="D319" s="2809"/>
      <c r="E319" s="2561"/>
      <c r="F319" s="2562"/>
      <c r="G319" s="1785">
        <v>15</v>
      </c>
      <c r="H319" s="524"/>
      <c r="I319" s="1409">
        <f t="shared" si="76"/>
        <v>8.0766456051533542E-2</v>
      </c>
      <c r="J319" s="1421">
        <f t="shared" si="77"/>
        <v>0</v>
      </c>
      <c r="K319" s="678"/>
      <c r="L319" s="1002"/>
      <c r="M319" s="1428">
        <f t="shared" si="78"/>
        <v>0</v>
      </c>
      <c r="N319" s="1111"/>
      <c r="O319" s="674">
        <f t="shared" si="79"/>
        <v>15</v>
      </c>
      <c r="P319" s="682"/>
      <c r="Q319" s="286"/>
      <c r="R319" s="287"/>
      <c r="S319" s="280"/>
      <c r="T319" s="280"/>
      <c r="U319" s="280"/>
      <c r="V319" s="280"/>
      <c r="W319" s="280"/>
      <c r="X319" s="280"/>
      <c r="Y319" s="280"/>
      <c r="Z319" s="284"/>
      <c r="AA319" s="284"/>
      <c r="AB319" s="284"/>
      <c r="AC319" s="284"/>
      <c r="AD319" s="284"/>
      <c r="AE319" s="284"/>
      <c r="AF319" s="447"/>
      <c r="AG319" s="447"/>
      <c r="AH319" s="447"/>
      <c r="AI319" s="382"/>
      <c r="AJ319" s="382"/>
      <c r="AK319" s="382"/>
      <c r="AL319" s="382"/>
      <c r="AM319" s="382"/>
      <c r="AN319" s="382"/>
      <c r="AO319" s="382"/>
      <c r="AP319" s="382"/>
      <c r="AQ319" s="382"/>
      <c r="AR319" s="382"/>
      <c r="AS319" s="382"/>
      <c r="AT319" s="382"/>
      <c r="AU319" s="382"/>
      <c r="AV319" s="382"/>
      <c r="AW319" s="382"/>
      <c r="AX319" s="382"/>
      <c r="AY319" s="382"/>
      <c r="AZ319" s="382"/>
      <c r="BA319" s="382"/>
      <c r="BB319" s="382"/>
      <c r="BC319" s="382"/>
      <c r="BD319" s="382"/>
      <c r="BE319" s="382"/>
      <c r="BF319" s="382"/>
      <c r="BG319" s="382"/>
      <c r="BH319" s="382"/>
      <c r="BI319" s="382"/>
      <c r="BJ319" s="382"/>
      <c r="BK319" s="382"/>
      <c r="BL319" s="382"/>
      <c r="BM319" s="382"/>
      <c r="BN319" s="382"/>
      <c r="BO319" s="382"/>
    </row>
    <row r="320" spans="1:67" s="88" customFormat="1" ht="10.55" customHeight="1" x14ac:dyDescent="0.2">
      <c r="A320" s="1013" t="s">
        <v>429</v>
      </c>
      <c r="B320" s="2807"/>
      <c r="C320" s="2808"/>
      <c r="D320" s="2809"/>
      <c r="E320" s="2561"/>
      <c r="F320" s="2562"/>
      <c r="G320" s="1785">
        <v>30</v>
      </c>
      <c r="H320" s="524"/>
      <c r="I320" s="1409">
        <f t="shared" si="76"/>
        <v>4.7777640736176463E-2</v>
      </c>
      <c r="J320" s="1421">
        <f t="shared" si="77"/>
        <v>0</v>
      </c>
      <c r="K320" s="678">
        <v>0.5</v>
      </c>
      <c r="L320" s="1002"/>
      <c r="M320" s="1428">
        <f t="shared" si="78"/>
        <v>0</v>
      </c>
      <c r="N320" s="1111"/>
      <c r="O320" s="674">
        <f t="shared" si="79"/>
        <v>30</v>
      </c>
      <c r="P320" s="682"/>
      <c r="Q320" s="286"/>
      <c r="R320" s="287"/>
      <c r="S320" s="280"/>
      <c r="T320" s="280"/>
      <c r="U320" s="280"/>
      <c r="V320" s="280"/>
      <c r="W320" s="280"/>
      <c r="X320" s="280"/>
      <c r="Y320" s="280"/>
      <c r="Z320" s="284"/>
      <c r="AA320" s="284"/>
      <c r="AB320" s="284"/>
      <c r="AC320" s="284"/>
      <c r="AD320" s="284"/>
      <c r="AE320" s="284"/>
      <c r="AF320" s="447"/>
      <c r="AG320" s="447"/>
      <c r="AH320" s="447"/>
      <c r="AI320" s="382"/>
      <c r="AJ320" s="382"/>
      <c r="AK320" s="382"/>
      <c r="AL320" s="382"/>
      <c r="AM320" s="382"/>
      <c r="AN320" s="382"/>
      <c r="AO320" s="382"/>
      <c r="AP320" s="382"/>
      <c r="AQ320" s="382"/>
      <c r="AR320" s="382"/>
      <c r="AS320" s="382"/>
      <c r="AT320" s="382"/>
      <c r="AU320" s="382"/>
      <c r="AV320" s="382"/>
      <c r="AW320" s="382"/>
      <c r="AX320" s="382"/>
      <c r="AY320" s="382"/>
      <c r="AZ320" s="382"/>
      <c r="BA320" s="382"/>
      <c r="BB320" s="382"/>
      <c r="BC320" s="382"/>
      <c r="BD320" s="382"/>
      <c r="BE320" s="382"/>
      <c r="BF320" s="382"/>
      <c r="BG320" s="382"/>
      <c r="BH320" s="382"/>
      <c r="BI320" s="382"/>
      <c r="BJ320" s="382"/>
      <c r="BK320" s="382"/>
      <c r="BL320" s="382"/>
      <c r="BM320" s="382"/>
      <c r="BN320" s="382"/>
      <c r="BO320" s="382"/>
    </row>
    <row r="321" spans="1:67" s="88" customFormat="1" ht="10.55" customHeight="1" x14ac:dyDescent="0.2">
      <c r="A321" s="675"/>
      <c r="B321" s="2807"/>
      <c r="C321" s="2808"/>
      <c r="D321" s="2809"/>
      <c r="E321" s="2561"/>
      <c r="F321" s="2562"/>
      <c r="G321" s="1015"/>
      <c r="H321" s="524"/>
      <c r="I321" s="1409">
        <f t="shared" si="76"/>
        <v>0</v>
      </c>
      <c r="J321" s="1421">
        <f t="shared" si="77"/>
        <v>0</v>
      </c>
      <c r="K321" s="679"/>
      <c r="L321" s="1002"/>
      <c r="M321" s="1428">
        <f t="shared" si="78"/>
        <v>0</v>
      </c>
      <c r="N321" s="1111"/>
      <c r="O321" s="674">
        <f t="shared" si="79"/>
        <v>0</v>
      </c>
      <c r="P321" s="682"/>
      <c r="Q321" s="286"/>
      <c r="R321" s="287"/>
      <c r="S321" s="280"/>
      <c r="T321" s="280"/>
      <c r="U321" s="280"/>
      <c r="V321" s="280"/>
      <c r="W321" s="280"/>
      <c r="X321" s="280"/>
      <c r="Y321" s="280"/>
      <c r="Z321" s="284"/>
      <c r="AA321" s="284"/>
      <c r="AB321" s="284"/>
      <c r="AC321" s="284"/>
      <c r="AD321" s="284"/>
      <c r="AE321" s="284"/>
      <c r="AF321" s="447"/>
      <c r="AG321" s="447"/>
      <c r="AH321" s="447"/>
      <c r="AI321" s="382"/>
      <c r="AJ321" s="382"/>
      <c r="AK321" s="382"/>
      <c r="AL321" s="382"/>
      <c r="AM321" s="382"/>
      <c r="AN321" s="382"/>
      <c r="AO321" s="382"/>
      <c r="AP321" s="382"/>
      <c r="AQ321" s="382"/>
      <c r="AR321" s="382"/>
      <c r="AS321" s="382"/>
      <c r="AT321" s="382"/>
      <c r="AU321" s="382"/>
      <c r="AV321" s="382"/>
      <c r="AW321" s="382"/>
      <c r="AX321" s="382"/>
      <c r="AY321" s="382"/>
      <c r="AZ321" s="382"/>
      <c r="BA321" s="382"/>
      <c r="BB321" s="382"/>
      <c r="BC321" s="382"/>
      <c r="BD321" s="382"/>
      <c r="BE321" s="382"/>
      <c r="BF321" s="382"/>
      <c r="BG321" s="382"/>
      <c r="BH321" s="382"/>
      <c r="BI321" s="382"/>
      <c r="BJ321" s="382"/>
      <c r="BK321" s="382"/>
      <c r="BL321" s="382"/>
      <c r="BM321" s="382"/>
      <c r="BN321" s="382"/>
      <c r="BO321" s="382"/>
    </row>
    <row r="322" spans="1:67" s="88" customFormat="1" ht="10.55" customHeight="1" x14ac:dyDescent="0.2">
      <c r="A322" s="675"/>
      <c r="B322" s="2807"/>
      <c r="C322" s="2808"/>
      <c r="D322" s="2809"/>
      <c r="E322" s="2561"/>
      <c r="F322" s="2562"/>
      <c r="G322" s="1015"/>
      <c r="H322" s="524"/>
      <c r="I322" s="1409">
        <f t="shared" si="76"/>
        <v>0</v>
      </c>
      <c r="J322" s="1421">
        <f t="shared" si="77"/>
        <v>0</v>
      </c>
      <c r="K322" s="679"/>
      <c r="L322" s="1002"/>
      <c r="M322" s="1428">
        <f t="shared" si="78"/>
        <v>0</v>
      </c>
      <c r="N322" s="1111"/>
      <c r="O322" s="674">
        <f t="shared" si="79"/>
        <v>0</v>
      </c>
      <c r="P322" s="682"/>
      <c r="Q322" s="286"/>
      <c r="R322" s="287"/>
      <c r="S322" s="280"/>
      <c r="T322" s="280"/>
      <c r="U322" s="280"/>
      <c r="V322" s="280"/>
      <c r="W322" s="280"/>
      <c r="X322" s="280"/>
      <c r="Y322" s="280"/>
      <c r="Z322" s="284"/>
      <c r="AA322" s="284"/>
      <c r="AB322" s="284"/>
      <c r="AC322" s="284"/>
      <c r="AD322" s="284"/>
      <c r="AE322" s="284"/>
      <c r="AF322" s="447"/>
      <c r="AG322" s="447"/>
      <c r="AH322" s="447"/>
      <c r="AI322" s="382"/>
      <c r="AJ322" s="382"/>
      <c r="AK322" s="382"/>
      <c r="AL322" s="382"/>
      <c r="AM322" s="382"/>
      <c r="AN322" s="382"/>
      <c r="AO322" s="382"/>
      <c r="AP322" s="382"/>
      <c r="AQ322" s="382"/>
      <c r="AR322" s="382"/>
      <c r="AS322" s="382"/>
      <c r="AT322" s="382"/>
      <c r="AU322" s="382"/>
      <c r="AV322" s="382"/>
      <c r="AW322" s="382"/>
      <c r="AX322" s="382"/>
      <c r="AY322" s="382"/>
      <c r="AZ322" s="382"/>
      <c r="BA322" s="382"/>
      <c r="BB322" s="382"/>
      <c r="BC322" s="382"/>
      <c r="BD322" s="382"/>
      <c r="BE322" s="382"/>
      <c r="BF322" s="382"/>
      <c r="BG322" s="382"/>
      <c r="BH322" s="382"/>
      <c r="BI322" s="382"/>
      <c r="BJ322" s="382"/>
      <c r="BK322" s="382"/>
      <c r="BL322" s="382"/>
      <c r="BM322" s="382"/>
      <c r="BN322" s="382"/>
      <c r="BO322" s="382"/>
    </row>
    <row r="323" spans="1:67" s="88" customFormat="1" ht="10.55" customHeight="1" x14ac:dyDescent="0.2">
      <c r="A323" s="675"/>
      <c r="B323" s="2807"/>
      <c r="C323" s="2808"/>
      <c r="D323" s="2809"/>
      <c r="E323" s="2561"/>
      <c r="F323" s="2562"/>
      <c r="G323" s="1015"/>
      <c r="H323" s="524"/>
      <c r="I323" s="1409">
        <f t="shared" si="76"/>
        <v>0</v>
      </c>
      <c r="J323" s="1421">
        <f t="shared" si="77"/>
        <v>0</v>
      </c>
      <c r="K323" s="679"/>
      <c r="L323" s="1002"/>
      <c r="M323" s="1428">
        <f t="shared" si="78"/>
        <v>0</v>
      </c>
      <c r="N323" s="1111"/>
      <c r="O323" s="674">
        <f t="shared" si="79"/>
        <v>0</v>
      </c>
      <c r="P323" s="682"/>
      <c r="Q323" s="286"/>
      <c r="R323" s="287"/>
      <c r="S323" s="280"/>
      <c r="T323" s="280"/>
      <c r="U323" s="280"/>
      <c r="V323" s="280"/>
      <c r="W323" s="280"/>
      <c r="X323" s="280"/>
      <c r="Y323" s="280"/>
      <c r="Z323" s="284"/>
      <c r="AA323" s="284"/>
      <c r="AB323" s="284"/>
      <c r="AC323" s="284"/>
      <c r="AD323" s="284"/>
      <c r="AE323" s="284"/>
      <c r="AF323" s="447"/>
      <c r="AG323" s="447"/>
      <c r="AH323" s="447"/>
      <c r="AI323" s="382"/>
      <c r="AJ323" s="382"/>
      <c r="AK323" s="382"/>
      <c r="AL323" s="382"/>
      <c r="AM323" s="382"/>
      <c r="AN323" s="382"/>
      <c r="AO323" s="382"/>
      <c r="AP323" s="382"/>
      <c r="AQ323" s="382"/>
      <c r="AR323" s="382"/>
      <c r="AS323" s="382"/>
      <c r="AT323" s="382"/>
      <c r="AU323" s="382"/>
      <c r="AV323" s="382"/>
      <c r="AW323" s="382"/>
      <c r="AX323" s="382"/>
      <c r="AY323" s="382"/>
      <c r="AZ323" s="382"/>
      <c r="BA323" s="382"/>
      <c r="BB323" s="382"/>
      <c r="BC323" s="382"/>
      <c r="BD323" s="382"/>
      <c r="BE323" s="382"/>
      <c r="BF323" s="382"/>
      <c r="BG323" s="382"/>
      <c r="BH323" s="382"/>
      <c r="BI323" s="382"/>
      <c r="BJ323" s="382"/>
      <c r="BK323" s="382"/>
      <c r="BL323" s="382"/>
      <c r="BM323" s="382"/>
      <c r="BN323" s="382"/>
      <c r="BO323" s="382"/>
    </row>
    <row r="324" spans="1:67" s="88" customFormat="1" ht="10.55" customHeight="1" x14ac:dyDescent="0.2">
      <c r="A324" s="675"/>
      <c r="B324" s="2807"/>
      <c r="C324" s="2808"/>
      <c r="D324" s="2809"/>
      <c r="E324" s="2561"/>
      <c r="F324" s="2562"/>
      <c r="G324" s="1015"/>
      <c r="H324" s="524"/>
      <c r="I324" s="1409">
        <f t="shared" si="76"/>
        <v>0</v>
      </c>
      <c r="J324" s="1421">
        <f t="shared" si="77"/>
        <v>0</v>
      </c>
      <c r="K324" s="679"/>
      <c r="L324" s="1002"/>
      <c r="M324" s="1428">
        <f t="shared" si="78"/>
        <v>0</v>
      </c>
      <c r="N324" s="1111"/>
      <c r="O324" s="674">
        <f t="shared" si="79"/>
        <v>0</v>
      </c>
      <c r="P324" s="682"/>
      <c r="Q324" s="286"/>
      <c r="R324" s="287"/>
      <c r="S324" s="280"/>
      <c r="T324" s="280"/>
      <c r="U324" s="280"/>
      <c r="V324" s="280"/>
      <c r="W324" s="280"/>
      <c r="X324" s="280"/>
      <c r="Y324" s="280"/>
      <c r="Z324" s="284"/>
      <c r="AA324" s="284"/>
      <c r="AB324" s="284"/>
      <c r="AC324" s="284"/>
      <c r="AD324" s="284"/>
      <c r="AE324" s="284"/>
      <c r="AF324" s="447"/>
      <c r="AG324" s="447"/>
      <c r="AH324" s="447"/>
      <c r="AI324" s="382"/>
      <c r="AJ324" s="382"/>
      <c r="AK324" s="382"/>
      <c r="AL324" s="382"/>
      <c r="AM324" s="382"/>
      <c r="AN324" s="382"/>
      <c r="AO324" s="382"/>
      <c r="AP324" s="382"/>
      <c r="AQ324" s="382"/>
      <c r="AR324" s="382"/>
      <c r="AS324" s="382"/>
      <c r="AT324" s="382"/>
      <c r="AU324" s="382"/>
      <c r="AV324" s="382"/>
      <c r="AW324" s="382"/>
      <c r="AX324" s="382"/>
      <c r="AY324" s="382"/>
      <c r="AZ324" s="382"/>
      <c r="BA324" s="382"/>
      <c r="BB324" s="382"/>
      <c r="BC324" s="382"/>
      <c r="BD324" s="382"/>
      <c r="BE324" s="382"/>
      <c r="BF324" s="382"/>
      <c r="BG324" s="382"/>
      <c r="BH324" s="382"/>
      <c r="BI324" s="382"/>
      <c r="BJ324" s="382"/>
      <c r="BK324" s="382"/>
      <c r="BL324" s="382"/>
      <c r="BM324" s="382"/>
      <c r="BN324" s="382"/>
      <c r="BO324" s="382"/>
    </row>
    <row r="325" spans="1:67" s="88" customFormat="1" ht="10.55" customHeight="1" x14ac:dyDescent="0.2">
      <c r="A325" s="675"/>
      <c r="B325" s="2807"/>
      <c r="C325" s="2808"/>
      <c r="D325" s="2809"/>
      <c r="E325" s="2561"/>
      <c r="F325" s="2562"/>
      <c r="G325" s="1015"/>
      <c r="H325" s="524"/>
      <c r="I325" s="1409">
        <f t="shared" si="76"/>
        <v>0</v>
      </c>
      <c r="J325" s="1421">
        <f t="shared" si="77"/>
        <v>0</v>
      </c>
      <c r="K325" s="679"/>
      <c r="L325" s="1002"/>
      <c r="M325" s="1428">
        <f t="shared" si="78"/>
        <v>0</v>
      </c>
      <c r="N325" s="1111"/>
      <c r="O325" s="674">
        <f t="shared" si="79"/>
        <v>0</v>
      </c>
      <c r="P325" s="682"/>
      <c r="Q325" s="286"/>
      <c r="R325" s="287"/>
      <c r="S325" s="280"/>
      <c r="T325" s="280"/>
      <c r="U325" s="280"/>
      <c r="V325" s="280"/>
      <c r="W325" s="280"/>
      <c r="X325" s="280"/>
      <c r="Y325" s="280"/>
      <c r="Z325" s="284"/>
      <c r="AA325" s="284"/>
      <c r="AB325" s="284"/>
      <c r="AC325" s="284"/>
      <c r="AD325" s="284"/>
      <c r="AE325" s="284"/>
      <c r="AF325" s="447"/>
      <c r="AG325" s="447"/>
      <c r="AH325" s="447"/>
      <c r="AI325" s="382"/>
      <c r="AJ325" s="382"/>
      <c r="AK325" s="382"/>
      <c r="AL325" s="382"/>
      <c r="AM325" s="382"/>
      <c r="AN325" s="382"/>
      <c r="AO325" s="382"/>
      <c r="AP325" s="382"/>
      <c r="AQ325" s="382"/>
      <c r="AR325" s="382"/>
      <c r="AS325" s="382"/>
      <c r="AT325" s="382"/>
      <c r="AU325" s="382"/>
      <c r="AV325" s="382"/>
      <c r="AW325" s="382"/>
      <c r="AX325" s="382"/>
      <c r="AY325" s="382"/>
      <c r="AZ325" s="382"/>
      <c r="BA325" s="382"/>
      <c r="BB325" s="382"/>
      <c r="BC325" s="382"/>
      <c r="BD325" s="382"/>
      <c r="BE325" s="382"/>
      <c r="BF325" s="382"/>
      <c r="BG325" s="382"/>
      <c r="BH325" s="382"/>
      <c r="BI325" s="382"/>
      <c r="BJ325" s="382"/>
      <c r="BK325" s="382"/>
      <c r="BL325" s="382"/>
      <c r="BM325" s="382"/>
      <c r="BN325" s="382"/>
      <c r="BO325" s="382"/>
    </row>
    <row r="326" spans="1:67" s="88" customFormat="1" ht="10.55" customHeight="1" x14ac:dyDescent="0.2">
      <c r="A326" s="675"/>
      <c r="B326" s="2807"/>
      <c r="C326" s="2808"/>
      <c r="D326" s="2809"/>
      <c r="E326" s="2561"/>
      <c r="F326" s="2562"/>
      <c r="G326" s="1015"/>
      <c r="H326" s="524"/>
      <c r="I326" s="1409">
        <f t="shared" si="76"/>
        <v>0</v>
      </c>
      <c r="J326" s="1421">
        <f t="shared" si="77"/>
        <v>0</v>
      </c>
      <c r="K326" s="679"/>
      <c r="L326" s="1002"/>
      <c r="M326" s="1428">
        <f t="shared" si="78"/>
        <v>0</v>
      </c>
      <c r="N326" s="1111"/>
      <c r="O326" s="674">
        <f t="shared" si="79"/>
        <v>0</v>
      </c>
      <c r="P326" s="682"/>
      <c r="Q326" s="286"/>
      <c r="R326" s="287"/>
      <c r="S326" s="280"/>
      <c r="T326" s="280"/>
      <c r="U326" s="280"/>
      <c r="V326" s="280"/>
      <c r="W326" s="280"/>
      <c r="X326" s="280"/>
      <c r="Y326" s="280"/>
      <c r="Z326" s="284"/>
      <c r="AA326" s="284"/>
      <c r="AB326" s="284"/>
      <c r="AC326" s="284"/>
      <c r="AD326" s="284"/>
      <c r="AE326" s="284"/>
      <c r="AF326" s="447"/>
      <c r="AG326" s="447"/>
      <c r="AH326" s="447"/>
      <c r="AI326" s="382"/>
      <c r="AJ326" s="382"/>
      <c r="AK326" s="382"/>
      <c r="AL326" s="382"/>
      <c r="AM326" s="382"/>
      <c r="AN326" s="382"/>
      <c r="AO326" s="382"/>
      <c r="AP326" s="382"/>
      <c r="AQ326" s="382"/>
      <c r="AR326" s="382"/>
      <c r="AS326" s="382"/>
      <c r="AT326" s="382"/>
      <c r="AU326" s="382"/>
      <c r="AV326" s="382"/>
      <c r="AW326" s="382"/>
      <c r="AX326" s="382"/>
      <c r="AY326" s="382"/>
      <c r="AZ326" s="382"/>
      <c r="BA326" s="382"/>
      <c r="BB326" s="382"/>
      <c r="BC326" s="382"/>
      <c r="BD326" s="382"/>
      <c r="BE326" s="382"/>
      <c r="BF326" s="382"/>
      <c r="BG326" s="382"/>
      <c r="BH326" s="382"/>
      <c r="BI326" s="382"/>
      <c r="BJ326" s="382"/>
      <c r="BK326" s="382"/>
      <c r="BL326" s="382"/>
      <c r="BM326" s="382"/>
      <c r="BN326" s="382"/>
      <c r="BO326" s="382"/>
    </row>
    <row r="327" spans="1:67" s="88" customFormat="1" ht="10.55" customHeight="1" x14ac:dyDescent="0.2">
      <c r="A327" s="675"/>
      <c r="B327" s="2807"/>
      <c r="C327" s="2808"/>
      <c r="D327" s="2809"/>
      <c r="E327" s="2561"/>
      <c r="F327" s="2562"/>
      <c r="G327" s="1015"/>
      <c r="H327" s="524"/>
      <c r="I327" s="1409">
        <f t="shared" si="76"/>
        <v>0</v>
      </c>
      <c r="J327" s="1421">
        <f t="shared" si="77"/>
        <v>0</v>
      </c>
      <c r="K327" s="679"/>
      <c r="L327" s="1002"/>
      <c r="M327" s="1428">
        <f t="shared" si="78"/>
        <v>0</v>
      </c>
      <c r="N327" s="1111"/>
      <c r="O327" s="674">
        <f t="shared" si="79"/>
        <v>0</v>
      </c>
      <c r="P327" s="682"/>
      <c r="Q327" s="286"/>
      <c r="R327" s="287"/>
      <c r="S327" s="280"/>
      <c r="T327" s="280"/>
      <c r="U327" s="280"/>
      <c r="V327" s="280"/>
      <c r="W327" s="280"/>
      <c r="X327" s="280"/>
      <c r="Y327" s="280"/>
      <c r="Z327" s="284"/>
      <c r="AA327" s="284"/>
      <c r="AB327" s="284"/>
      <c r="AC327" s="284"/>
      <c r="AD327" s="284"/>
      <c r="AE327" s="284"/>
      <c r="AF327" s="447"/>
      <c r="AG327" s="447"/>
      <c r="AH327" s="447"/>
      <c r="AI327" s="382"/>
      <c r="AJ327" s="382"/>
      <c r="AK327" s="382"/>
      <c r="AL327" s="382"/>
      <c r="AM327" s="382"/>
      <c r="AN327" s="382"/>
      <c r="AO327" s="382"/>
      <c r="AP327" s="382"/>
      <c r="AQ327" s="382"/>
      <c r="AR327" s="382"/>
      <c r="AS327" s="382"/>
      <c r="AT327" s="382"/>
      <c r="AU327" s="382"/>
      <c r="AV327" s="382"/>
      <c r="AW327" s="382"/>
      <c r="AX327" s="382"/>
      <c r="AY327" s="382"/>
      <c r="AZ327" s="382"/>
      <c r="BA327" s="382"/>
      <c r="BB327" s="382"/>
      <c r="BC327" s="382"/>
      <c r="BD327" s="382"/>
      <c r="BE327" s="382"/>
      <c r="BF327" s="382"/>
      <c r="BG327" s="382"/>
      <c r="BH327" s="382"/>
      <c r="BI327" s="382"/>
      <c r="BJ327" s="382"/>
      <c r="BK327" s="382"/>
      <c r="BL327" s="382"/>
      <c r="BM327" s="382"/>
      <c r="BN327" s="382"/>
      <c r="BO327" s="382"/>
    </row>
    <row r="328" spans="1:67" s="88" customFormat="1" ht="10.55" customHeight="1" x14ac:dyDescent="0.2">
      <c r="A328" s="675"/>
      <c r="B328" s="2807"/>
      <c r="C328" s="2808"/>
      <c r="D328" s="2809"/>
      <c r="E328" s="2561"/>
      <c r="F328" s="2562"/>
      <c r="G328" s="1015"/>
      <c r="H328" s="524"/>
      <c r="I328" s="1409">
        <f t="shared" si="76"/>
        <v>0</v>
      </c>
      <c r="J328" s="1421">
        <f t="shared" si="77"/>
        <v>0</v>
      </c>
      <c r="K328" s="679"/>
      <c r="L328" s="1002"/>
      <c r="M328" s="1428">
        <f t="shared" si="78"/>
        <v>0</v>
      </c>
      <c r="N328" s="1111"/>
      <c r="O328" s="674">
        <f t="shared" si="79"/>
        <v>0</v>
      </c>
      <c r="P328" s="682"/>
      <c r="Q328" s="286"/>
      <c r="R328" s="287"/>
      <c r="S328" s="280"/>
      <c r="T328" s="280"/>
      <c r="U328" s="280"/>
      <c r="V328" s="280"/>
      <c r="W328" s="280"/>
      <c r="X328" s="280"/>
      <c r="Y328" s="280"/>
      <c r="Z328" s="284"/>
      <c r="AA328" s="284"/>
      <c r="AB328" s="284"/>
      <c r="AC328" s="284"/>
      <c r="AD328" s="284"/>
      <c r="AE328" s="284"/>
      <c r="AF328" s="447"/>
      <c r="AG328" s="447"/>
      <c r="AH328" s="447"/>
      <c r="AI328" s="382"/>
      <c r="AJ328" s="382"/>
      <c r="AK328" s="382"/>
      <c r="AL328" s="382"/>
      <c r="AM328" s="382"/>
      <c r="AN328" s="382"/>
      <c r="AO328" s="382"/>
      <c r="AP328" s="382"/>
      <c r="AQ328" s="382"/>
      <c r="AR328" s="382"/>
      <c r="AS328" s="382"/>
      <c r="AT328" s="382"/>
      <c r="AU328" s="382"/>
      <c r="AV328" s="382"/>
      <c r="AW328" s="382"/>
      <c r="AX328" s="382"/>
      <c r="AY328" s="382"/>
      <c r="AZ328" s="382"/>
      <c r="BA328" s="382"/>
      <c r="BB328" s="382"/>
      <c r="BC328" s="382"/>
      <c r="BD328" s="382"/>
      <c r="BE328" s="382"/>
      <c r="BF328" s="382"/>
      <c r="BG328" s="382"/>
      <c r="BH328" s="382"/>
      <c r="BI328" s="382"/>
      <c r="BJ328" s="382"/>
      <c r="BK328" s="382"/>
      <c r="BL328" s="382"/>
      <c r="BM328" s="382"/>
      <c r="BN328" s="382"/>
      <c r="BO328" s="382"/>
    </row>
    <row r="329" spans="1:67" s="88" customFormat="1" ht="10.55" customHeight="1" x14ac:dyDescent="0.2">
      <c r="A329" s="675"/>
      <c r="B329" s="2807"/>
      <c r="C329" s="2808"/>
      <c r="D329" s="2809"/>
      <c r="E329" s="2561"/>
      <c r="F329" s="2562"/>
      <c r="G329" s="1015"/>
      <c r="H329" s="524"/>
      <c r="I329" s="1409">
        <f t="shared" si="76"/>
        <v>0</v>
      </c>
      <c r="J329" s="1421">
        <f t="shared" si="77"/>
        <v>0</v>
      </c>
      <c r="K329" s="679"/>
      <c r="L329" s="1002"/>
      <c r="M329" s="1428">
        <f t="shared" si="78"/>
        <v>0</v>
      </c>
      <c r="N329" s="1111"/>
      <c r="O329" s="674">
        <f t="shared" si="79"/>
        <v>0</v>
      </c>
      <c r="P329" s="682"/>
      <c r="Q329" s="286"/>
      <c r="R329" s="287"/>
      <c r="S329" s="280"/>
      <c r="T329" s="280"/>
      <c r="U329" s="280"/>
      <c r="V329" s="280"/>
      <c r="W329" s="280"/>
      <c r="X329" s="280"/>
      <c r="Y329" s="280"/>
      <c r="Z329" s="284"/>
      <c r="AA329" s="284"/>
      <c r="AB329" s="284"/>
      <c r="AC329" s="284"/>
      <c r="AD329" s="284"/>
      <c r="AE329" s="284"/>
      <c r="AF329" s="447"/>
      <c r="AG329" s="447"/>
      <c r="AH329" s="447"/>
      <c r="AI329" s="382"/>
      <c r="AJ329" s="382"/>
      <c r="AK329" s="382"/>
      <c r="AL329" s="382"/>
      <c r="AM329" s="382"/>
      <c r="AN329" s="382"/>
      <c r="AO329" s="382"/>
      <c r="AP329" s="382"/>
      <c r="AQ329" s="382"/>
      <c r="AR329" s="382"/>
      <c r="AS329" s="382"/>
      <c r="AT329" s="382"/>
      <c r="AU329" s="382"/>
      <c r="AV329" s="382"/>
      <c r="AW329" s="382"/>
      <c r="AX329" s="382"/>
      <c r="AY329" s="382"/>
      <c r="AZ329" s="382"/>
      <c r="BA329" s="382"/>
      <c r="BB329" s="382"/>
      <c r="BC329" s="382"/>
      <c r="BD329" s="382"/>
      <c r="BE329" s="382"/>
      <c r="BF329" s="382"/>
      <c r="BG329" s="382"/>
      <c r="BH329" s="382"/>
      <c r="BI329" s="382"/>
      <c r="BJ329" s="382"/>
      <c r="BK329" s="382"/>
      <c r="BL329" s="382"/>
      <c r="BM329" s="382"/>
      <c r="BN329" s="382"/>
      <c r="BO329" s="382"/>
    </row>
    <row r="330" spans="1:67" s="88" customFormat="1" ht="10.55" customHeight="1" x14ac:dyDescent="0.2">
      <c r="A330" s="1017"/>
      <c r="B330" s="2804"/>
      <c r="C330" s="2805"/>
      <c r="D330" s="2806"/>
      <c r="E330" s="2793"/>
      <c r="F330" s="2794"/>
      <c r="G330" s="1018"/>
      <c r="H330" s="1019"/>
      <c r="I330" s="1436">
        <f t="shared" si="76"/>
        <v>0</v>
      </c>
      <c r="J330" s="1422"/>
      <c r="K330" s="680"/>
      <c r="L330" s="1020"/>
      <c r="M330" s="1429">
        <f t="shared" si="78"/>
        <v>0</v>
      </c>
      <c r="N330" s="1111"/>
      <c r="O330" s="674">
        <f t="shared" si="79"/>
        <v>0</v>
      </c>
      <c r="P330" s="682"/>
      <c r="Q330" s="286"/>
      <c r="R330" s="287"/>
      <c r="S330" s="280"/>
      <c r="T330" s="280"/>
      <c r="U330" s="280"/>
      <c r="V330" s="280"/>
      <c r="W330" s="280"/>
      <c r="X330" s="280"/>
      <c r="Y330" s="280"/>
      <c r="Z330" s="284"/>
      <c r="AA330" s="284"/>
      <c r="AB330" s="284"/>
      <c r="AC330" s="284"/>
      <c r="AD330" s="284"/>
      <c r="AE330" s="284"/>
      <c r="AF330" s="447"/>
      <c r="AG330" s="447"/>
      <c r="AH330" s="447"/>
      <c r="AI330" s="382"/>
      <c r="AJ330" s="382"/>
      <c r="AK330" s="382"/>
      <c r="AL330" s="382"/>
      <c r="AM330" s="382"/>
      <c r="AN330" s="382"/>
      <c r="AO330" s="382"/>
      <c r="AP330" s="382"/>
      <c r="AQ330" s="382"/>
      <c r="AR330" s="382"/>
      <c r="AS330" s="382"/>
      <c r="AT330" s="382"/>
      <c r="AU330" s="382"/>
      <c r="AV330" s="382"/>
      <c r="AW330" s="382"/>
      <c r="AX330" s="382"/>
      <c r="AY330" s="382"/>
      <c r="AZ330" s="382"/>
      <c r="BA330" s="382"/>
      <c r="BB330" s="382"/>
      <c r="BC330" s="382"/>
      <c r="BD330" s="382"/>
      <c r="BE330" s="382"/>
      <c r="BF330" s="382"/>
      <c r="BG330" s="382"/>
      <c r="BH330" s="382"/>
      <c r="BI330" s="382"/>
      <c r="BJ330" s="382"/>
      <c r="BK330" s="382"/>
      <c r="BL330" s="382"/>
      <c r="BM330" s="382"/>
      <c r="BN330" s="382"/>
      <c r="BO330" s="382"/>
    </row>
    <row r="331" spans="1:67" s="88" customFormat="1" ht="10.55" customHeight="1" x14ac:dyDescent="0.2">
      <c r="A331" s="1022" t="s">
        <v>430</v>
      </c>
      <c r="B331" s="2784"/>
      <c r="C331" s="2784"/>
      <c r="D331" s="2785"/>
      <c r="E331" s="2810">
        <f>SUM(E333:E345)</f>
        <v>0</v>
      </c>
      <c r="F331" s="2811"/>
      <c r="G331" s="2747"/>
      <c r="H331" s="2748"/>
      <c r="I331" s="1435">
        <f>IF(E331=0,0,J331/E331)</f>
        <v>0</v>
      </c>
      <c r="J331" s="1423">
        <f>SUM(J333:J345)</f>
        <v>0</v>
      </c>
      <c r="K331" s="2749">
        <f>IF(E331=0,0,M331/E331*100)</f>
        <v>0</v>
      </c>
      <c r="L331" s="2750"/>
      <c r="M331" s="1430">
        <f>SUM(M333:M345)</f>
        <v>0</v>
      </c>
      <c r="N331" s="1111"/>
      <c r="O331" s="387">
        <f>IF(H331="",G331,H331)</f>
        <v>0</v>
      </c>
      <c r="P331" s="682"/>
      <c r="Q331" s="286"/>
      <c r="R331" s="287"/>
      <c r="S331" s="280"/>
      <c r="T331" s="280"/>
      <c r="U331" s="280"/>
      <c r="V331" s="280"/>
      <c r="W331" s="280"/>
      <c r="X331" s="280"/>
      <c r="Y331" s="280"/>
      <c r="Z331" s="284"/>
      <c r="AA331" s="284"/>
      <c r="AB331" s="284"/>
      <c r="AC331" s="284"/>
      <c r="AD331" s="284"/>
      <c r="AE331" s="284"/>
      <c r="AF331" s="447"/>
      <c r="AG331" s="447"/>
      <c r="AH331" s="447"/>
      <c r="AI331" s="382"/>
      <c r="AJ331" s="382"/>
      <c r="AK331" s="382"/>
      <c r="AL331" s="382"/>
      <c r="AM331" s="382"/>
      <c r="AN331" s="382"/>
      <c r="AO331" s="382"/>
      <c r="AP331" s="382"/>
      <c r="AQ331" s="382"/>
      <c r="AR331" s="382"/>
      <c r="AS331" s="382"/>
      <c r="AT331" s="382"/>
      <c r="AU331" s="382"/>
      <c r="AV331" s="382"/>
      <c r="AW331" s="382"/>
      <c r="AX331" s="382"/>
      <c r="AY331" s="382"/>
      <c r="AZ331" s="382"/>
      <c r="BA331" s="382"/>
      <c r="BB331" s="382"/>
      <c r="BC331" s="382"/>
      <c r="BD331" s="382"/>
      <c r="BE331" s="382"/>
      <c r="BF331" s="382"/>
      <c r="BG331" s="382"/>
      <c r="BH331" s="382"/>
      <c r="BI331" s="382"/>
      <c r="BJ331" s="382"/>
      <c r="BK331" s="382"/>
      <c r="BL331" s="382"/>
      <c r="BM331" s="382"/>
      <c r="BN331" s="382"/>
      <c r="BO331" s="382"/>
    </row>
    <row r="332" spans="1:67" s="706" customFormat="1" ht="10.55" customHeight="1" x14ac:dyDescent="0.2">
      <c r="A332" s="1023"/>
      <c r="B332" s="1330"/>
      <c r="C332" s="1330"/>
      <c r="D332" s="1331"/>
      <c r="E332" s="1417"/>
      <c r="F332" s="1418"/>
      <c r="G332" s="1010"/>
      <c r="H332" s="1024"/>
      <c r="I332" s="1438"/>
      <c r="J332" s="1424"/>
      <c r="K332" s="729"/>
      <c r="L332" s="730"/>
      <c r="M332" s="1432"/>
      <c r="N332" s="339"/>
      <c r="O332" s="702"/>
      <c r="P332" s="703"/>
      <c r="Q332" s="286"/>
      <c r="R332" s="287"/>
      <c r="S332" s="280"/>
      <c r="T332" s="280"/>
      <c r="U332" s="280"/>
      <c r="V332" s="280"/>
      <c r="W332" s="280"/>
      <c r="X332" s="280"/>
      <c r="Y332" s="280"/>
      <c r="Z332" s="280"/>
      <c r="AA332" s="280"/>
      <c r="AB332" s="280"/>
      <c r="AC332" s="280"/>
      <c r="AD332" s="280"/>
      <c r="AE332" s="280"/>
      <c r="AF332" s="704"/>
      <c r="AG332" s="704"/>
      <c r="AH332" s="704"/>
      <c r="AI332" s="705"/>
      <c r="AJ332" s="705"/>
      <c r="AK332" s="705"/>
      <c r="AL332" s="705"/>
      <c r="AM332" s="705"/>
      <c r="AN332" s="705"/>
      <c r="AO332" s="705"/>
      <c r="AP332" s="705"/>
      <c r="AQ332" s="705"/>
      <c r="AR332" s="705"/>
      <c r="AS332" s="705"/>
      <c r="AT332" s="705"/>
      <c r="AU332" s="705"/>
      <c r="AV332" s="705"/>
      <c r="AW332" s="705"/>
      <c r="AX332" s="705"/>
      <c r="AY332" s="705"/>
      <c r="AZ332" s="705"/>
      <c r="BA332" s="705"/>
      <c r="BB332" s="705"/>
      <c r="BC332" s="705"/>
      <c r="BD332" s="705"/>
      <c r="BE332" s="705"/>
      <c r="BF332" s="705"/>
      <c r="BG332" s="705"/>
      <c r="BH332" s="705"/>
      <c r="BI332" s="705"/>
      <c r="BJ332" s="705"/>
      <c r="BK332" s="705"/>
      <c r="BL332" s="705"/>
      <c r="BM332" s="705"/>
      <c r="BN332" s="705"/>
      <c r="BO332" s="705"/>
    </row>
    <row r="333" spans="1:67" s="88" customFormat="1" ht="10.55" customHeight="1" x14ac:dyDescent="0.2">
      <c r="A333" s="823" t="s">
        <v>508</v>
      </c>
      <c r="B333" s="1324"/>
      <c r="C333" s="1324"/>
      <c r="D333" s="1325">
        <v>0</v>
      </c>
      <c r="E333" s="2812">
        <f>ROUND(SUM(E44,E59,E74,E89,E106,E121,E136,E151,E166,E181,E241,E256,E271,E301,E316)*D333,-2)</f>
        <v>0</v>
      </c>
      <c r="F333" s="2813"/>
      <c r="G333" s="1785">
        <v>20</v>
      </c>
      <c r="H333" s="524"/>
      <c r="I333" s="1409">
        <f t="shared" ref="I333:I346" si="80">IF($O333&gt;0,-PMT(($I$9),$O333,1),0)</f>
        <v>6.4147128734474465E-2</v>
      </c>
      <c r="J333" s="1421">
        <f t="shared" ref="J333:J345" si="81">ROUND(E333*I333,0)</f>
        <v>0</v>
      </c>
      <c r="K333" s="687">
        <v>2</v>
      </c>
      <c r="L333" s="1003"/>
      <c r="M333" s="1428">
        <f t="shared" ref="M333:M360" si="82">ROUND(E333/100*IF(ISBLANK(L333),K333,L333),0)</f>
        <v>0</v>
      </c>
      <c r="N333" s="1111"/>
      <c r="O333" s="674">
        <f t="shared" ref="O333:O346" si="83">IF(ISBLANK(H333),G333,H333)</f>
        <v>20</v>
      </c>
      <c r="P333" s="682"/>
      <c r="Q333" s="286"/>
      <c r="R333" s="287"/>
      <c r="S333" s="280"/>
      <c r="T333" s="280"/>
      <c r="U333" s="280"/>
      <c r="V333" s="280"/>
      <c r="W333" s="280"/>
      <c r="X333" s="280"/>
      <c r="Y333" s="280"/>
      <c r="Z333" s="284"/>
      <c r="AA333" s="284"/>
      <c r="AB333" s="284"/>
      <c r="AC333" s="284"/>
      <c r="AD333" s="284"/>
      <c r="AE333" s="284"/>
      <c r="AF333" s="447"/>
      <c r="AG333" s="447"/>
      <c r="AH333" s="447"/>
      <c r="AI333" s="382"/>
      <c r="AJ333" s="382"/>
      <c r="AK333" s="382"/>
      <c r="AL333" s="382"/>
      <c r="AM333" s="382"/>
      <c r="AN333" s="382"/>
      <c r="AO333" s="382"/>
      <c r="AP333" s="382"/>
      <c r="AQ333" s="382"/>
      <c r="AR333" s="382"/>
      <c r="AS333" s="382"/>
      <c r="AT333" s="382"/>
      <c r="AU333" s="382"/>
      <c r="AV333" s="382"/>
      <c r="AW333" s="382"/>
      <c r="AX333" s="382"/>
      <c r="AY333" s="382"/>
      <c r="AZ333" s="382"/>
      <c r="BA333" s="382"/>
      <c r="BB333" s="382"/>
      <c r="BC333" s="382"/>
      <c r="BD333" s="382"/>
      <c r="BE333" s="382"/>
      <c r="BF333" s="382"/>
      <c r="BG333" s="382"/>
      <c r="BH333" s="382"/>
      <c r="BI333" s="382"/>
      <c r="BJ333" s="382"/>
      <c r="BK333" s="382"/>
      <c r="BL333" s="382"/>
      <c r="BM333" s="382"/>
      <c r="BN333" s="382"/>
      <c r="BO333" s="382"/>
    </row>
    <row r="334" spans="1:67" s="88" customFormat="1" ht="10.55" customHeight="1" x14ac:dyDescent="0.2">
      <c r="A334" s="731"/>
      <c r="B334" s="2808"/>
      <c r="C334" s="2808"/>
      <c r="D334" s="2809"/>
      <c r="E334" s="2561"/>
      <c r="F334" s="2562"/>
      <c r="G334" s="1015"/>
      <c r="H334" s="524"/>
      <c r="I334" s="1409">
        <f t="shared" si="80"/>
        <v>0</v>
      </c>
      <c r="J334" s="1421">
        <f t="shared" si="81"/>
        <v>0</v>
      </c>
      <c r="K334" s="679"/>
      <c r="L334" s="1002"/>
      <c r="M334" s="1428">
        <f t="shared" si="82"/>
        <v>0</v>
      </c>
      <c r="N334" s="1111"/>
      <c r="O334" s="674">
        <f t="shared" si="83"/>
        <v>0</v>
      </c>
      <c r="P334" s="682"/>
      <c r="Q334" s="286"/>
      <c r="R334" s="287"/>
      <c r="S334" s="280"/>
      <c r="T334" s="280"/>
      <c r="U334" s="280"/>
      <c r="V334" s="280"/>
      <c r="W334" s="280"/>
      <c r="X334" s="280"/>
      <c r="Y334" s="280"/>
      <c r="Z334" s="284"/>
      <c r="AA334" s="284"/>
      <c r="AB334" s="284"/>
      <c r="AC334" s="284"/>
      <c r="AD334" s="284"/>
      <c r="AE334" s="284"/>
      <c r="AF334" s="447"/>
      <c r="AG334" s="447"/>
      <c r="AH334" s="447"/>
      <c r="AI334" s="382"/>
      <c r="AJ334" s="382"/>
      <c r="AK334" s="382"/>
      <c r="AL334" s="382"/>
      <c r="AM334" s="382"/>
      <c r="AN334" s="382"/>
      <c r="AO334" s="382"/>
      <c r="AP334" s="382"/>
      <c r="AQ334" s="382"/>
      <c r="AR334" s="382"/>
      <c r="AS334" s="382"/>
      <c r="AT334" s="382"/>
      <c r="AU334" s="382"/>
      <c r="AV334" s="382"/>
      <c r="AW334" s="382"/>
      <c r="AX334" s="382"/>
      <c r="AY334" s="382"/>
      <c r="AZ334" s="382"/>
      <c r="BA334" s="382"/>
      <c r="BB334" s="382"/>
      <c r="BC334" s="382"/>
      <c r="BD334" s="382"/>
      <c r="BE334" s="382"/>
      <c r="BF334" s="382"/>
      <c r="BG334" s="382"/>
      <c r="BH334" s="382"/>
      <c r="BI334" s="382"/>
      <c r="BJ334" s="382"/>
      <c r="BK334" s="382"/>
      <c r="BL334" s="382"/>
      <c r="BM334" s="382"/>
      <c r="BN334" s="382"/>
      <c r="BO334" s="382"/>
    </row>
    <row r="335" spans="1:67" s="88" customFormat="1" ht="10.55" customHeight="1" x14ac:dyDescent="0.2">
      <c r="A335" s="731"/>
      <c r="B335" s="2808"/>
      <c r="C335" s="2808"/>
      <c r="D335" s="2809"/>
      <c r="E335" s="2561"/>
      <c r="F335" s="2562"/>
      <c r="G335" s="1015"/>
      <c r="H335" s="524"/>
      <c r="I335" s="1409">
        <f t="shared" si="80"/>
        <v>0</v>
      </c>
      <c r="J335" s="1421">
        <f t="shared" si="81"/>
        <v>0</v>
      </c>
      <c r="K335" s="679"/>
      <c r="L335" s="1002"/>
      <c r="M335" s="1428">
        <f t="shared" si="82"/>
        <v>0</v>
      </c>
      <c r="N335" s="1111"/>
      <c r="O335" s="674">
        <f t="shared" si="83"/>
        <v>0</v>
      </c>
      <c r="P335" s="682"/>
      <c r="Q335" s="286"/>
      <c r="R335" s="287"/>
      <c r="S335" s="280"/>
      <c r="T335" s="280"/>
      <c r="U335" s="280"/>
      <c r="V335" s="280"/>
      <c r="W335" s="280"/>
      <c r="X335" s="280"/>
      <c r="Y335" s="280"/>
      <c r="Z335" s="284"/>
      <c r="AA335" s="284"/>
      <c r="AB335" s="284"/>
      <c r="AC335" s="284"/>
      <c r="AD335" s="284"/>
      <c r="AE335" s="284"/>
      <c r="AF335" s="447"/>
      <c r="AG335" s="447"/>
      <c r="AH335" s="447"/>
      <c r="AI335" s="382"/>
      <c r="AJ335" s="382"/>
      <c r="AK335" s="382"/>
      <c r="AL335" s="382"/>
      <c r="AM335" s="382"/>
      <c r="AN335" s="382"/>
      <c r="AO335" s="382"/>
      <c r="AP335" s="382"/>
      <c r="AQ335" s="382"/>
      <c r="AR335" s="382"/>
      <c r="AS335" s="382"/>
      <c r="AT335" s="382"/>
      <c r="AU335" s="382"/>
      <c r="AV335" s="382"/>
      <c r="AW335" s="382"/>
      <c r="AX335" s="382"/>
      <c r="AY335" s="382"/>
      <c r="AZ335" s="382"/>
      <c r="BA335" s="382"/>
      <c r="BB335" s="382"/>
      <c r="BC335" s="382"/>
      <c r="BD335" s="382"/>
      <c r="BE335" s="382"/>
      <c r="BF335" s="382"/>
      <c r="BG335" s="382"/>
      <c r="BH335" s="382"/>
      <c r="BI335" s="382"/>
      <c r="BJ335" s="382"/>
      <c r="BK335" s="382"/>
      <c r="BL335" s="382"/>
      <c r="BM335" s="382"/>
      <c r="BN335" s="382"/>
      <c r="BO335" s="382"/>
    </row>
    <row r="336" spans="1:67" s="88" customFormat="1" ht="10.55" customHeight="1" x14ac:dyDescent="0.2">
      <c r="A336" s="731"/>
      <c r="B336" s="2808"/>
      <c r="C336" s="2808"/>
      <c r="D336" s="2809"/>
      <c r="E336" s="2561"/>
      <c r="F336" s="2562"/>
      <c r="G336" s="1015"/>
      <c r="H336" s="524"/>
      <c r="I336" s="1409">
        <f t="shared" si="80"/>
        <v>0</v>
      </c>
      <c r="J336" s="1421">
        <f t="shared" si="81"/>
        <v>0</v>
      </c>
      <c r="K336" s="679"/>
      <c r="L336" s="1002"/>
      <c r="M336" s="1428">
        <f t="shared" si="82"/>
        <v>0</v>
      </c>
      <c r="N336" s="1111"/>
      <c r="O336" s="674">
        <f t="shared" si="83"/>
        <v>0</v>
      </c>
      <c r="P336" s="682"/>
      <c r="Q336" s="286"/>
      <c r="R336" s="287"/>
      <c r="S336" s="280"/>
      <c r="T336" s="280"/>
      <c r="U336" s="280"/>
      <c r="V336" s="280"/>
      <c r="W336" s="280"/>
      <c r="X336" s="280"/>
      <c r="Y336" s="280"/>
      <c r="Z336" s="284"/>
      <c r="AA336" s="284"/>
      <c r="AB336" s="284"/>
      <c r="AC336" s="284"/>
      <c r="AD336" s="284"/>
      <c r="AE336" s="284"/>
      <c r="AF336" s="447"/>
      <c r="AG336" s="447"/>
      <c r="AH336" s="447"/>
      <c r="AI336" s="382"/>
      <c r="AJ336" s="382"/>
      <c r="AK336" s="382"/>
      <c r="AL336" s="382"/>
      <c r="AM336" s="382"/>
      <c r="AN336" s="382"/>
      <c r="AO336" s="382"/>
      <c r="AP336" s="382"/>
      <c r="AQ336" s="382"/>
      <c r="AR336" s="382"/>
      <c r="AS336" s="382"/>
      <c r="AT336" s="382"/>
      <c r="AU336" s="382"/>
      <c r="AV336" s="382"/>
      <c r="AW336" s="382"/>
      <c r="AX336" s="382"/>
      <c r="AY336" s="382"/>
      <c r="AZ336" s="382"/>
      <c r="BA336" s="382"/>
      <c r="BB336" s="382"/>
      <c r="BC336" s="382"/>
      <c r="BD336" s="382"/>
      <c r="BE336" s="382"/>
      <c r="BF336" s="382"/>
      <c r="BG336" s="382"/>
      <c r="BH336" s="382"/>
      <c r="BI336" s="382"/>
      <c r="BJ336" s="382"/>
      <c r="BK336" s="382"/>
      <c r="BL336" s="382"/>
      <c r="BM336" s="382"/>
      <c r="BN336" s="382"/>
      <c r="BO336" s="382"/>
    </row>
    <row r="337" spans="1:67" s="88" customFormat="1" ht="10.55" customHeight="1" x14ac:dyDescent="0.2">
      <c r="A337" s="731"/>
      <c r="B337" s="2808"/>
      <c r="C337" s="2808"/>
      <c r="D337" s="2809"/>
      <c r="E337" s="2561"/>
      <c r="F337" s="2562"/>
      <c r="G337" s="1015"/>
      <c r="H337" s="524"/>
      <c r="I337" s="1409">
        <f t="shared" si="80"/>
        <v>0</v>
      </c>
      <c r="J337" s="1421">
        <f t="shared" si="81"/>
        <v>0</v>
      </c>
      <c r="K337" s="679"/>
      <c r="L337" s="1002"/>
      <c r="M337" s="1428">
        <f t="shared" si="82"/>
        <v>0</v>
      </c>
      <c r="N337" s="1111"/>
      <c r="O337" s="674">
        <f t="shared" si="83"/>
        <v>0</v>
      </c>
      <c r="P337" s="682"/>
      <c r="Q337" s="286"/>
      <c r="R337" s="287"/>
      <c r="S337" s="280"/>
      <c r="T337" s="280"/>
      <c r="U337" s="280"/>
      <c r="V337" s="280"/>
      <c r="W337" s="280"/>
      <c r="X337" s="280"/>
      <c r="Y337" s="280"/>
      <c r="Z337" s="284"/>
      <c r="AA337" s="284"/>
      <c r="AB337" s="284"/>
      <c r="AC337" s="284"/>
      <c r="AD337" s="284"/>
      <c r="AE337" s="284"/>
      <c r="AF337" s="447"/>
      <c r="AG337" s="447"/>
      <c r="AH337" s="447"/>
      <c r="AI337" s="382"/>
      <c r="AJ337" s="382"/>
      <c r="AK337" s="382"/>
      <c r="AL337" s="382"/>
      <c r="AM337" s="382"/>
      <c r="AN337" s="382"/>
      <c r="AO337" s="382"/>
      <c r="AP337" s="382"/>
      <c r="AQ337" s="382"/>
      <c r="AR337" s="382"/>
      <c r="AS337" s="382"/>
      <c r="AT337" s="382"/>
      <c r="AU337" s="382"/>
      <c r="AV337" s="382"/>
      <c r="AW337" s="382"/>
      <c r="AX337" s="382"/>
      <c r="AY337" s="382"/>
      <c r="AZ337" s="382"/>
      <c r="BA337" s="382"/>
      <c r="BB337" s="382"/>
      <c r="BC337" s="382"/>
      <c r="BD337" s="382"/>
      <c r="BE337" s="382"/>
      <c r="BF337" s="382"/>
      <c r="BG337" s="382"/>
      <c r="BH337" s="382"/>
      <c r="BI337" s="382"/>
      <c r="BJ337" s="382"/>
      <c r="BK337" s="382"/>
      <c r="BL337" s="382"/>
      <c r="BM337" s="382"/>
      <c r="BN337" s="382"/>
      <c r="BO337" s="382"/>
    </row>
    <row r="338" spans="1:67" s="88" customFormat="1" ht="10.55" customHeight="1" x14ac:dyDescent="0.2">
      <c r="A338" s="731"/>
      <c r="B338" s="2808"/>
      <c r="C338" s="2808"/>
      <c r="D338" s="2809"/>
      <c r="E338" s="2561"/>
      <c r="F338" s="2562"/>
      <c r="G338" s="1015"/>
      <c r="H338" s="524"/>
      <c r="I338" s="1409">
        <f t="shared" si="80"/>
        <v>0</v>
      </c>
      <c r="J338" s="1421">
        <f t="shared" si="81"/>
        <v>0</v>
      </c>
      <c r="K338" s="679"/>
      <c r="L338" s="1002"/>
      <c r="M338" s="1428">
        <f t="shared" si="82"/>
        <v>0</v>
      </c>
      <c r="N338" s="1111"/>
      <c r="O338" s="674">
        <f t="shared" si="83"/>
        <v>0</v>
      </c>
      <c r="P338" s="682"/>
      <c r="Q338" s="286"/>
      <c r="R338" s="287"/>
      <c r="S338" s="280"/>
      <c r="T338" s="280"/>
      <c r="U338" s="280"/>
      <c r="V338" s="280"/>
      <c r="W338" s="280"/>
      <c r="X338" s="280"/>
      <c r="Y338" s="280"/>
      <c r="Z338" s="284"/>
      <c r="AA338" s="284"/>
      <c r="AB338" s="284"/>
      <c r="AC338" s="284"/>
      <c r="AD338" s="284"/>
      <c r="AE338" s="284"/>
      <c r="AF338" s="447"/>
      <c r="AG338" s="447"/>
      <c r="AH338" s="447"/>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2"/>
      <c r="BL338" s="382"/>
      <c r="BM338" s="382"/>
      <c r="BN338" s="382"/>
      <c r="BO338" s="382"/>
    </row>
    <row r="339" spans="1:67" s="88" customFormat="1" ht="10.55" customHeight="1" x14ac:dyDescent="0.2">
      <c r="A339" s="1025"/>
      <c r="B339" s="1332"/>
      <c r="C339" s="1332"/>
      <c r="D339" s="1333"/>
      <c r="E339" s="2814"/>
      <c r="F339" s="2815"/>
      <c r="G339" s="1026"/>
      <c r="H339" s="694"/>
      <c r="I339" s="1439">
        <f t="shared" si="80"/>
        <v>0</v>
      </c>
      <c r="J339" s="1425">
        <f t="shared" si="81"/>
        <v>0</v>
      </c>
      <c r="K339" s="695"/>
      <c r="L339" s="1005"/>
      <c r="M339" s="1429">
        <f t="shared" si="82"/>
        <v>0</v>
      </c>
      <c r="N339" s="1111"/>
      <c r="O339" s="674">
        <f t="shared" si="83"/>
        <v>0</v>
      </c>
      <c r="P339" s="682"/>
      <c r="Q339" s="286"/>
      <c r="R339" s="287"/>
      <c r="S339" s="280"/>
      <c r="T339" s="280"/>
      <c r="U339" s="280"/>
      <c r="V339" s="280"/>
      <c r="W339" s="280"/>
      <c r="X339" s="280"/>
      <c r="Y339" s="280"/>
      <c r="Z339" s="284"/>
      <c r="AA339" s="284"/>
      <c r="AB339" s="284"/>
      <c r="AC339" s="284"/>
      <c r="AD339" s="284"/>
      <c r="AE339" s="284"/>
      <c r="AF339" s="447"/>
      <c r="AG339" s="447"/>
      <c r="AH339" s="447"/>
      <c r="AI339" s="382"/>
      <c r="AJ339" s="382"/>
      <c r="AK339" s="382"/>
      <c r="AL339" s="382"/>
      <c r="AM339" s="382"/>
      <c r="AN339" s="382"/>
      <c r="AO339" s="382"/>
      <c r="AP339" s="382"/>
      <c r="AQ339" s="382"/>
      <c r="AR339" s="382"/>
      <c r="AS339" s="382"/>
      <c r="AT339" s="382"/>
      <c r="AU339" s="382"/>
      <c r="AV339" s="382"/>
      <c r="AW339" s="382"/>
      <c r="AX339" s="382"/>
      <c r="AY339" s="382"/>
      <c r="AZ339" s="382"/>
      <c r="BA339" s="382"/>
      <c r="BB339" s="382"/>
      <c r="BC339" s="382"/>
      <c r="BD339" s="382"/>
      <c r="BE339" s="382"/>
      <c r="BF339" s="382"/>
      <c r="BG339" s="382"/>
      <c r="BH339" s="382"/>
      <c r="BI339" s="382"/>
      <c r="BJ339" s="382"/>
      <c r="BK339" s="382"/>
      <c r="BL339" s="382"/>
      <c r="BM339" s="382"/>
      <c r="BN339" s="382"/>
      <c r="BO339" s="382"/>
    </row>
    <row r="340" spans="1:67" s="88" customFormat="1" ht="10.55" customHeight="1" x14ac:dyDescent="0.2">
      <c r="A340" s="1027" t="s">
        <v>509</v>
      </c>
      <c r="B340" s="1324"/>
      <c r="C340" s="1324"/>
      <c r="D340" s="1325">
        <v>0</v>
      </c>
      <c r="E340" s="2812">
        <f>ROUND(SUM(E44,E196,E211,E226,E286)*D340,-2)</f>
        <v>0</v>
      </c>
      <c r="F340" s="2813"/>
      <c r="G340" s="1785">
        <v>20</v>
      </c>
      <c r="H340" s="524"/>
      <c r="I340" s="1409">
        <f t="shared" si="80"/>
        <v>6.4147128734474465E-2</v>
      </c>
      <c r="J340" s="1421">
        <f t="shared" si="81"/>
        <v>0</v>
      </c>
      <c r="K340" s="687">
        <v>1</v>
      </c>
      <c r="L340" s="1003"/>
      <c r="M340" s="1428">
        <f t="shared" si="82"/>
        <v>0</v>
      </c>
      <c r="N340" s="1111"/>
      <c r="O340" s="674">
        <f t="shared" si="83"/>
        <v>20</v>
      </c>
      <c r="P340" s="682"/>
      <c r="Q340" s="286"/>
      <c r="R340" s="287"/>
      <c r="S340" s="280"/>
      <c r="T340" s="280"/>
      <c r="U340" s="280"/>
      <c r="V340" s="280"/>
      <c r="W340" s="280"/>
      <c r="X340" s="280"/>
      <c r="Y340" s="280"/>
      <c r="Z340" s="284"/>
      <c r="AA340" s="284"/>
      <c r="AB340" s="284"/>
      <c r="AC340" s="284"/>
      <c r="AD340" s="284"/>
      <c r="AE340" s="284"/>
      <c r="AF340" s="447"/>
      <c r="AG340" s="447"/>
      <c r="AH340" s="447"/>
      <c r="AI340" s="382"/>
      <c r="AJ340" s="382"/>
      <c r="AK340" s="382"/>
      <c r="AL340" s="382"/>
      <c r="AM340" s="382"/>
      <c r="AN340" s="382"/>
      <c r="AO340" s="382"/>
      <c r="AP340" s="382"/>
      <c r="AQ340" s="382"/>
      <c r="AR340" s="382"/>
      <c r="AS340" s="382"/>
      <c r="AT340" s="382"/>
      <c r="AU340" s="382"/>
      <c r="AV340" s="382"/>
      <c r="AW340" s="382"/>
      <c r="AX340" s="382"/>
      <c r="AY340" s="382"/>
      <c r="AZ340" s="382"/>
      <c r="BA340" s="382"/>
      <c r="BB340" s="382"/>
      <c r="BC340" s="382"/>
      <c r="BD340" s="382"/>
      <c r="BE340" s="382"/>
      <c r="BF340" s="382"/>
      <c r="BG340" s="382"/>
      <c r="BH340" s="382"/>
      <c r="BI340" s="382"/>
      <c r="BJ340" s="382"/>
      <c r="BK340" s="382"/>
      <c r="BL340" s="382"/>
      <c r="BM340" s="382"/>
      <c r="BN340" s="382"/>
      <c r="BO340" s="382"/>
    </row>
    <row r="341" spans="1:67" s="88" customFormat="1" ht="10.55" customHeight="1" x14ac:dyDescent="0.2">
      <c r="A341" s="731"/>
      <c r="B341" s="2808"/>
      <c r="C341" s="2808"/>
      <c r="D341" s="2809"/>
      <c r="E341" s="2561"/>
      <c r="F341" s="2562"/>
      <c r="G341" s="1015"/>
      <c r="H341" s="524"/>
      <c r="I341" s="1409">
        <f t="shared" si="80"/>
        <v>0</v>
      </c>
      <c r="J341" s="1421">
        <f t="shared" si="81"/>
        <v>0</v>
      </c>
      <c r="K341" s="679"/>
      <c r="L341" s="1002"/>
      <c r="M341" s="1428">
        <f t="shared" si="82"/>
        <v>0</v>
      </c>
      <c r="N341" s="1111"/>
      <c r="O341" s="674">
        <f t="shared" si="83"/>
        <v>0</v>
      </c>
      <c r="P341" s="682"/>
      <c r="Q341" s="286"/>
      <c r="R341" s="287"/>
      <c r="S341" s="280"/>
      <c r="T341" s="280"/>
      <c r="U341" s="280"/>
      <c r="V341" s="280"/>
      <c r="W341" s="280"/>
      <c r="X341" s="280"/>
      <c r="Y341" s="280"/>
      <c r="Z341" s="284"/>
      <c r="AA341" s="284"/>
      <c r="AB341" s="284"/>
      <c r="AC341" s="284"/>
      <c r="AD341" s="284"/>
      <c r="AE341" s="284"/>
      <c r="AF341" s="447"/>
      <c r="AG341" s="447"/>
      <c r="AH341" s="447"/>
      <c r="AI341" s="382"/>
      <c r="AJ341" s="382"/>
      <c r="AK341" s="382"/>
      <c r="AL341" s="382"/>
      <c r="AM341" s="382"/>
      <c r="AN341" s="382"/>
      <c r="AO341" s="382"/>
      <c r="AP341" s="382"/>
      <c r="AQ341" s="382"/>
      <c r="AR341" s="382"/>
      <c r="AS341" s="382"/>
      <c r="AT341" s="382"/>
      <c r="AU341" s="382"/>
      <c r="AV341" s="382"/>
      <c r="AW341" s="382"/>
      <c r="AX341" s="382"/>
      <c r="AY341" s="382"/>
      <c r="AZ341" s="382"/>
      <c r="BA341" s="382"/>
      <c r="BB341" s="382"/>
      <c r="BC341" s="382"/>
      <c r="BD341" s="382"/>
      <c r="BE341" s="382"/>
      <c r="BF341" s="382"/>
      <c r="BG341" s="382"/>
      <c r="BH341" s="382"/>
      <c r="BI341" s="382"/>
      <c r="BJ341" s="382"/>
      <c r="BK341" s="382"/>
      <c r="BL341" s="382"/>
      <c r="BM341" s="382"/>
      <c r="BN341" s="382"/>
      <c r="BO341" s="382"/>
    </row>
    <row r="342" spans="1:67" s="88" customFormat="1" ht="10.55" customHeight="1" x14ac:dyDescent="0.2">
      <c r="A342" s="731"/>
      <c r="B342" s="2808"/>
      <c r="C342" s="2808"/>
      <c r="D342" s="2809"/>
      <c r="E342" s="2561"/>
      <c r="F342" s="2562"/>
      <c r="G342" s="1015"/>
      <c r="H342" s="524"/>
      <c r="I342" s="1409">
        <f t="shared" si="80"/>
        <v>0</v>
      </c>
      <c r="J342" s="1421">
        <f t="shared" si="81"/>
        <v>0</v>
      </c>
      <c r="K342" s="679"/>
      <c r="L342" s="1002"/>
      <c r="M342" s="1428">
        <f t="shared" si="82"/>
        <v>0</v>
      </c>
      <c r="N342" s="1111"/>
      <c r="O342" s="674">
        <f t="shared" si="83"/>
        <v>0</v>
      </c>
      <c r="P342" s="682"/>
      <c r="Q342" s="286"/>
      <c r="R342" s="287"/>
      <c r="S342" s="280"/>
      <c r="T342" s="280"/>
      <c r="U342" s="280"/>
      <c r="V342" s="280"/>
      <c r="W342" s="280"/>
      <c r="X342" s="280"/>
      <c r="Y342" s="280"/>
      <c r="Z342" s="284"/>
      <c r="AA342" s="284"/>
      <c r="AB342" s="284"/>
      <c r="AC342" s="284"/>
      <c r="AD342" s="284"/>
      <c r="AE342" s="284"/>
      <c r="AF342" s="447"/>
      <c r="AG342" s="447"/>
      <c r="AH342" s="447"/>
      <c r="AI342" s="382"/>
      <c r="AJ342" s="382"/>
      <c r="AK342" s="382"/>
      <c r="AL342" s="382"/>
      <c r="AM342" s="382"/>
      <c r="AN342" s="382"/>
      <c r="AO342" s="382"/>
      <c r="AP342" s="382"/>
      <c r="AQ342" s="382"/>
      <c r="AR342" s="382"/>
      <c r="AS342" s="382"/>
      <c r="AT342" s="382"/>
      <c r="AU342" s="382"/>
      <c r="AV342" s="382"/>
      <c r="AW342" s="382"/>
      <c r="AX342" s="382"/>
      <c r="AY342" s="382"/>
      <c r="AZ342" s="382"/>
      <c r="BA342" s="382"/>
      <c r="BB342" s="382"/>
      <c r="BC342" s="382"/>
      <c r="BD342" s="382"/>
      <c r="BE342" s="382"/>
      <c r="BF342" s="382"/>
      <c r="BG342" s="382"/>
      <c r="BH342" s="382"/>
      <c r="BI342" s="382"/>
      <c r="BJ342" s="382"/>
      <c r="BK342" s="382"/>
      <c r="BL342" s="382"/>
      <c r="BM342" s="382"/>
      <c r="BN342" s="382"/>
      <c r="BO342" s="382"/>
    </row>
    <row r="343" spans="1:67" s="88" customFormat="1" ht="10.55" customHeight="1" x14ac:dyDescent="0.2">
      <c r="A343" s="731"/>
      <c r="B343" s="2808"/>
      <c r="C343" s="2808"/>
      <c r="D343" s="2809"/>
      <c r="E343" s="2561"/>
      <c r="F343" s="2562"/>
      <c r="G343" s="1015"/>
      <c r="H343" s="524"/>
      <c r="I343" s="1409">
        <f t="shared" si="80"/>
        <v>0</v>
      </c>
      <c r="J343" s="1421">
        <f t="shared" si="81"/>
        <v>0</v>
      </c>
      <c r="K343" s="679"/>
      <c r="L343" s="1002"/>
      <c r="M343" s="1428">
        <f t="shared" si="82"/>
        <v>0</v>
      </c>
      <c r="N343" s="1111"/>
      <c r="O343" s="674">
        <f t="shared" si="83"/>
        <v>0</v>
      </c>
      <c r="P343" s="682"/>
      <c r="Q343" s="286"/>
      <c r="R343" s="287"/>
      <c r="S343" s="280"/>
      <c r="T343" s="280"/>
      <c r="U343" s="280"/>
      <c r="V343" s="280"/>
      <c r="W343" s="280"/>
      <c r="X343" s="280"/>
      <c r="Y343" s="280"/>
      <c r="Z343" s="284"/>
      <c r="AA343" s="284"/>
      <c r="AB343" s="284"/>
      <c r="AC343" s="284"/>
      <c r="AD343" s="284"/>
      <c r="AE343" s="284"/>
      <c r="AF343" s="447"/>
      <c r="AG343" s="447"/>
      <c r="AH343" s="447"/>
      <c r="AI343" s="382"/>
      <c r="AJ343" s="382"/>
      <c r="AK343" s="382"/>
      <c r="AL343" s="382"/>
      <c r="AM343" s="382"/>
      <c r="AN343" s="382"/>
      <c r="AO343" s="382"/>
      <c r="AP343" s="382"/>
      <c r="AQ343" s="382"/>
      <c r="AR343" s="382"/>
      <c r="AS343" s="382"/>
      <c r="AT343" s="382"/>
      <c r="AU343" s="382"/>
      <c r="AV343" s="382"/>
      <c r="AW343" s="382"/>
      <c r="AX343" s="382"/>
      <c r="AY343" s="382"/>
      <c r="AZ343" s="382"/>
      <c r="BA343" s="382"/>
      <c r="BB343" s="382"/>
      <c r="BC343" s="382"/>
      <c r="BD343" s="382"/>
      <c r="BE343" s="382"/>
      <c r="BF343" s="382"/>
      <c r="BG343" s="382"/>
      <c r="BH343" s="382"/>
      <c r="BI343" s="382"/>
      <c r="BJ343" s="382"/>
      <c r="BK343" s="382"/>
      <c r="BL343" s="382"/>
      <c r="BM343" s="382"/>
      <c r="BN343" s="382"/>
      <c r="BO343" s="382"/>
    </row>
    <row r="344" spans="1:67" s="88" customFormat="1" ht="10.55" customHeight="1" x14ac:dyDescent="0.2">
      <c r="A344" s="731"/>
      <c r="B344" s="2808"/>
      <c r="C344" s="2808"/>
      <c r="D344" s="2809"/>
      <c r="E344" s="2561"/>
      <c r="F344" s="2562"/>
      <c r="G344" s="1015"/>
      <c r="H344" s="524"/>
      <c r="I344" s="1409">
        <f t="shared" si="80"/>
        <v>0</v>
      </c>
      <c r="J344" s="1421">
        <f t="shared" si="81"/>
        <v>0</v>
      </c>
      <c r="K344" s="679"/>
      <c r="L344" s="1002"/>
      <c r="M344" s="1428">
        <f t="shared" si="82"/>
        <v>0</v>
      </c>
      <c r="N344" s="1111"/>
      <c r="O344" s="674">
        <f t="shared" si="83"/>
        <v>0</v>
      </c>
      <c r="P344" s="682"/>
      <c r="Q344" s="286"/>
      <c r="R344" s="287"/>
      <c r="S344" s="280"/>
      <c r="T344" s="280"/>
      <c r="U344" s="280"/>
      <c r="V344" s="280"/>
      <c r="W344" s="280"/>
      <c r="X344" s="280"/>
      <c r="Y344" s="280"/>
      <c r="Z344" s="284"/>
      <c r="AA344" s="284"/>
      <c r="AB344" s="284"/>
      <c r="AC344" s="284"/>
      <c r="AD344" s="284"/>
      <c r="AE344" s="284"/>
      <c r="AF344" s="447"/>
      <c r="AG344" s="447"/>
      <c r="AH344" s="447"/>
      <c r="AI344" s="382"/>
      <c r="AJ344" s="382"/>
      <c r="AK344" s="382"/>
      <c r="AL344" s="382"/>
      <c r="AM344" s="382"/>
      <c r="AN344" s="382"/>
      <c r="AO344" s="382"/>
      <c r="AP344" s="382"/>
      <c r="AQ344" s="382"/>
      <c r="AR344" s="382"/>
      <c r="AS344" s="382"/>
      <c r="AT344" s="382"/>
      <c r="AU344" s="382"/>
      <c r="AV344" s="382"/>
      <c r="AW344" s="382"/>
      <c r="AX344" s="382"/>
      <c r="AY344" s="382"/>
      <c r="AZ344" s="382"/>
      <c r="BA344" s="382"/>
      <c r="BB344" s="382"/>
      <c r="BC344" s="382"/>
      <c r="BD344" s="382"/>
      <c r="BE344" s="382"/>
      <c r="BF344" s="382"/>
      <c r="BG344" s="382"/>
      <c r="BH344" s="382"/>
      <c r="BI344" s="382"/>
      <c r="BJ344" s="382"/>
      <c r="BK344" s="382"/>
      <c r="BL344" s="382"/>
      <c r="BM344" s="382"/>
      <c r="BN344" s="382"/>
      <c r="BO344" s="382"/>
    </row>
    <row r="345" spans="1:67" s="88" customFormat="1" ht="10.55" customHeight="1" x14ac:dyDescent="0.2">
      <c r="A345" s="731"/>
      <c r="B345" s="2808"/>
      <c r="C345" s="2808"/>
      <c r="D345" s="2809"/>
      <c r="E345" s="2561"/>
      <c r="F345" s="2562"/>
      <c r="G345" s="1015"/>
      <c r="H345" s="524"/>
      <c r="I345" s="1409">
        <f t="shared" si="80"/>
        <v>0</v>
      </c>
      <c r="J345" s="1421">
        <f t="shared" si="81"/>
        <v>0</v>
      </c>
      <c r="K345" s="679"/>
      <c r="L345" s="1002"/>
      <c r="M345" s="1428">
        <f t="shared" si="82"/>
        <v>0</v>
      </c>
      <c r="N345" s="1111"/>
      <c r="O345" s="674">
        <f t="shared" si="83"/>
        <v>0</v>
      </c>
      <c r="P345" s="682"/>
      <c r="Q345" s="286"/>
      <c r="R345" s="287"/>
      <c r="S345" s="280"/>
      <c r="T345" s="280"/>
      <c r="U345" s="280"/>
      <c r="V345" s="280"/>
      <c r="W345" s="280"/>
      <c r="X345" s="280"/>
      <c r="Y345" s="280"/>
      <c r="Z345" s="284"/>
      <c r="AA345" s="284"/>
      <c r="AB345" s="284"/>
      <c r="AC345" s="284"/>
      <c r="AD345" s="284"/>
      <c r="AE345" s="284"/>
      <c r="AF345" s="447"/>
      <c r="AG345" s="447"/>
      <c r="AH345" s="447"/>
      <c r="AI345" s="382"/>
      <c r="AJ345" s="382"/>
      <c r="AK345" s="382"/>
      <c r="AL345" s="382"/>
      <c r="AM345" s="382"/>
      <c r="AN345" s="382"/>
      <c r="AO345" s="382"/>
      <c r="AP345" s="382"/>
      <c r="AQ345" s="382"/>
      <c r="AR345" s="382"/>
      <c r="AS345" s="382"/>
      <c r="AT345" s="382"/>
      <c r="AU345" s="382"/>
      <c r="AV345" s="382"/>
      <c r="AW345" s="382"/>
      <c r="AX345" s="382"/>
      <c r="AY345" s="382"/>
      <c r="AZ345" s="382"/>
      <c r="BA345" s="382"/>
      <c r="BB345" s="382"/>
      <c r="BC345" s="382"/>
      <c r="BD345" s="382"/>
      <c r="BE345" s="382"/>
      <c r="BF345" s="382"/>
      <c r="BG345" s="382"/>
      <c r="BH345" s="382"/>
      <c r="BI345" s="382"/>
      <c r="BJ345" s="382"/>
      <c r="BK345" s="382"/>
      <c r="BL345" s="382"/>
      <c r="BM345" s="382"/>
      <c r="BN345" s="382"/>
      <c r="BO345" s="382"/>
    </row>
    <row r="346" spans="1:67" s="88" customFormat="1" ht="10.55" customHeight="1" x14ac:dyDescent="0.2">
      <c r="A346" s="1028"/>
      <c r="B346" s="1301"/>
      <c r="C346" s="1301"/>
      <c r="D346" s="1302"/>
      <c r="E346" s="2793"/>
      <c r="F346" s="2794"/>
      <c r="G346" s="1086"/>
      <c r="H346" s="1087"/>
      <c r="I346" s="1437">
        <f t="shared" si="80"/>
        <v>0</v>
      </c>
      <c r="J346" s="1413"/>
      <c r="K346" s="1088"/>
      <c r="L346" s="1089"/>
      <c r="M346" s="1431">
        <f t="shared" si="82"/>
        <v>0</v>
      </c>
      <c r="N346" s="1111"/>
      <c r="O346" s="674">
        <f t="shared" si="83"/>
        <v>0</v>
      </c>
      <c r="P346" s="682"/>
      <c r="Q346" s="286"/>
      <c r="R346" s="287"/>
      <c r="S346" s="280"/>
      <c r="T346" s="280"/>
      <c r="U346" s="280"/>
      <c r="V346" s="280"/>
      <c r="W346" s="280"/>
      <c r="X346" s="280"/>
      <c r="Y346" s="280"/>
      <c r="Z346" s="284"/>
      <c r="AA346" s="284"/>
      <c r="AB346" s="284"/>
      <c r="AC346" s="284"/>
      <c r="AD346" s="284"/>
      <c r="AE346" s="284"/>
      <c r="AF346" s="447"/>
      <c r="AG346" s="447"/>
      <c r="AH346" s="447"/>
      <c r="AI346" s="382"/>
      <c r="AJ346" s="382"/>
      <c r="AK346" s="382"/>
      <c r="AL346" s="382"/>
      <c r="AM346" s="382"/>
      <c r="AN346" s="382"/>
      <c r="AO346" s="382"/>
      <c r="AP346" s="382"/>
      <c r="AQ346" s="382"/>
      <c r="AR346" s="382"/>
      <c r="AS346" s="382"/>
      <c r="AT346" s="382"/>
      <c r="AU346" s="382"/>
      <c r="AV346" s="382"/>
      <c r="AW346" s="382"/>
      <c r="AX346" s="382"/>
      <c r="AY346" s="382"/>
      <c r="AZ346" s="382"/>
      <c r="BA346" s="382"/>
      <c r="BB346" s="382"/>
      <c r="BC346" s="382"/>
      <c r="BD346" s="382"/>
      <c r="BE346" s="382"/>
      <c r="BF346" s="382"/>
      <c r="BG346" s="382"/>
      <c r="BH346" s="382"/>
      <c r="BI346" s="382"/>
      <c r="BJ346" s="382"/>
      <c r="BK346" s="382"/>
      <c r="BL346" s="382"/>
      <c r="BM346" s="382"/>
      <c r="BN346" s="382"/>
      <c r="BO346" s="382"/>
    </row>
    <row r="347" spans="1:67" s="88" customFormat="1" ht="10.55" customHeight="1" x14ac:dyDescent="0.2">
      <c r="A347" s="1122" t="s">
        <v>431</v>
      </c>
      <c r="B347" s="2783"/>
      <c r="C347" s="2784"/>
      <c r="D347" s="2785"/>
      <c r="E347" s="2810">
        <f>SUM(E348:E360)</f>
        <v>0</v>
      </c>
      <c r="F347" s="2811"/>
      <c r="G347" s="2747"/>
      <c r="H347" s="2748"/>
      <c r="I347" s="1435">
        <f>IF(E347=0,0,J347/E347)</f>
        <v>0</v>
      </c>
      <c r="J347" s="1423">
        <f>SUM(J348:J360)</f>
        <v>0</v>
      </c>
      <c r="K347" s="2749"/>
      <c r="L347" s="2750"/>
      <c r="M347" s="1430">
        <f t="shared" si="82"/>
        <v>0</v>
      </c>
      <c r="N347" s="1111"/>
      <c r="O347" s="387">
        <f>IF(H347="",G347,H347)</f>
        <v>0</v>
      </c>
      <c r="P347" s="682"/>
      <c r="Q347" s="286"/>
      <c r="R347" s="287"/>
      <c r="S347" s="280"/>
      <c r="T347" s="280"/>
      <c r="U347" s="280"/>
      <c r="V347" s="280"/>
      <c r="W347" s="280"/>
      <c r="X347" s="280"/>
      <c r="Y347" s="280"/>
      <c r="Z347" s="284"/>
      <c r="AA347" s="284"/>
      <c r="AB347" s="284"/>
      <c r="AC347" s="284"/>
      <c r="AD347" s="284"/>
      <c r="AE347" s="284"/>
      <c r="AF347" s="447"/>
      <c r="AG347" s="447"/>
      <c r="AH347" s="447"/>
      <c r="AI347" s="382"/>
      <c r="AJ347" s="382"/>
      <c r="AK347" s="382"/>
      <c r="AL347" s="382"/>
      <c r="AM347" s="382"/>
      <c r="AN347" s="382"/>
      <c r="AO347" s="382"/>
      <c r="AP347" s="382"/>
      <c r="AQ347" s="382"/>
      <c r="AR347" s="382"/>
      <c r="AS347" s="382"/>
      <c r="AT347" s="382"/>
      <c r="AU347" s="382"/>
      <c r="AV347" s="382"/>
      <c r="AW347" s="382"/>
      <c r="AX347" s="382"/>
      <c r="AY347" s="382"/>
      <c r="AZ347" s="382"/>
      <c r="BA347" s="382"/>
      <c r="BB347" s="382"/>
      <c r="BC347" s="382"/>
      <c r="BD347" s="382"/>
      <c r="BE347" s="382"/>
      <c r="BF347" s="382"/>
      <c r="BG347" s="382"/>
      <c r="BH347" s="382"/>
      <c r="BI347" s="382"/>
      <c r="BJ347" s="382"/>
      <c r="BK347" s="382"/>
      <c r="BL347" s="382"/>
      <c r="BM347" s="382"/>
      <c r="BN347" s="382"/>
      <c r="BO347" s="382"/>
    </row>
    <row r="348" spans="1:67" s="88" customFormat="1" ht="10.55" customHeight="1" x14ac:dyDescent="0.2">
      <c r="A348" s="1029" t="s">
        <v>510</v>
      </c>
      <c r="B348" s="2881"/>
      <c r="C348" s="2882"/>
      <c r="D348" s="2883"/>
      <c r="E348" s="2816">
        <f>IF(E350=0,ROUND(E375,-2),0)</f>
        <v>0</v>
      </c>
      <c r="F348" s="2817" t="e">
        <f>IF(F350=0,ROUND(#REF!,-2),0)</f>
        <v>#REF!</v>
      </c>
      <c r="G348" s="1785">
        <v>20</v>
      </c>
      <c r="H348" s="524"/>
      <c r="I348" s="1440">
        <f t="shared" ref="I348:I360" si="84">IF($O348&gt;0,-PMT(($I$9),$O348,1),0)</f>
        <v>6.4147128734474465E-2</v>
      </c>
      <c r="J348" s="1426">
        <f t="shared" ref="J348:J360" si="85">ROUND(E348*I348,0)</f>
        <v>0</v>
      </c>
      <c r="K348" s="733"/>
      <c r="L348" s="734"/>
      <c r="M348" s="1433">
        <f t="shared" si="82"/>
        <v>0</v>
      </c>
      <c r="N348" s="1111"/>
      <c r="O348" s="674">
        <f t="shared" ref="O348:O356" si="86">IF(ISBLANK(H348),G348,H348)</f>
        <v>20</v>
      </c>
      <c r="P348" s="682"/>
      <c r="Q348" s="286"/>
      <c r="R348" s="287"/>
      <c r="S348" s="280"/>
      <c r="T348" s="280"/>
      <c r="U348" s="280"/>
      <c r="V348" s="280"/>
      <c r="W348" s="280"/>
      <c r="X348" s="280"/>
      <c r="Y348" s="280"/>
      <c r="Z348" s="284"/>
      <c r="AA348" s="284"/>
      <c r="AB348" s="284"/>
      <c r="AC348" s="284"/>
      <c r="AD348" s="284"/>
      <c r="AE348" s="284"/>
      <c r="AF348" s="447"/>
      <c r="AG348" s="447"/>
      <c r="AH348" s="447"/>
      <c r="AI348" s="382"/>
      <c r="AJ348" s="382"/>
      <c r="AK348" s="382"/>
      <c r="AL348" s="382"/>
      <c r="AM348" s="382"/>
      <c r="AN348" s="382"/>
      <c r="AO348" s="382"/>
      <c r="AP348" s="382"/>
      <c r="AQ348" s="382"/>
      <c r="AR348" s="382"/>
      <c r="AS348" s="382"/>
      <c r="AT348" s="382"/>
      <c r="AU348" s="382"/>
      <c r="AV348" s="382"/>
      <c r="AW348" s="382"/>
      <c r="AX348" s="382"/>
      <c r="AY348" s="382"/>
      <c r="AZ348" s="382"/>
      <c r="BA348" s="382"/>
      <c r="BB348" s="382"/>
      <c r="BC348" s="382"/>
      <c r="BD348" s="382"/>
      <c r="BE348" s="382"/>
      <c r="BF348" s="382"/>
      <c r="BG348" s="382"/>
      <c r="BH348" s="382"/>
      <c r="BI348" s="382"/>
      <c r="BJ348" s="382"/>
      <c r="BK348" s="382"/>
      <c r="BL348" s="382"/>
      <c r="BM348" s="382"/>
      <c r="BN348" s="382"/>
      <c r="BO348" s="382"/>
    </row>
    <row r="349" spans="1:67" s="88" customFormat="1" ht="10.55" customHeight="1" x14ac:dyDescent="0.2">
      <c r="A349" s="1030" t="s">
        <v>511</v>
      </c>
      <c r="B349" s="2818"/>
      <c r="C349" s="2819"/>
      <c r="D349" s="2820"/>
      <c r="E349" s="2751">
        <f>IF(E351=0,ROUND(E388,-2),0)</f>
        <v>0</v>
      </c>
      <c r="F349" s="2752">
        <f>IF(F351=0,ROUND(F406,-2),0)</f>
        <v>0</v>
      </c>
      <c r="G349" s="1785">
        <v>20</v>
      </c>
      <c r="H349" s="524"/>
      <c r="I349" s="1441">
        <f t="shared" si="84"/>
        <v>6.4147128734474465E-2</v>
      </c>
      <c r="J349" s="1427">
        <f t="shared" si="85"/>
        <v>0</v>
      </c>
      <c r="K349" s="684"/>
      <c r="L349" s="685"/>
      <c r="M349" s="1434">
        <f t="shared" si="82"/>
        <v>0</v>
      </c>
      <c r="N349" s="1111"/>
      <c r="O349" s="674">
        <f t="shared" si="86"/>
        <v>20</v>
      </c>
      <c r="P349" s="682"/>
      <c r="Q349" s="286"/>
      <c r="R349" s="287"/>
      <c r="S349" s="280"/>
      <c r="T349" s="280"/>
      <c r="U349" s="280"/>
      <c r="V349" s="280"/>
      <c r="W349" s="280"/>
      <c r="X349" s="280"/>
      <c r="Y349" s="280"/>
      <c r="Z349" s="284"/>
      <c r="AA349" s="284"/>
      <c r="AB349" s="284"/>
      <c r="AC349" s="284"/>
      <c r="AD349" s="284"/>
      <c r="AE349" s="284"/>
      <c r="AF349" s="447"/>
      <c r="AG349" s="447"/>
      <c r="AH349" s="447"/>
      <c r="AI349" s="382"/>
      <c r="AJ349" s="382"/>
      <c r="AK349" s="382"/>
      <c r="AL349" s="382"/>
      <c r="AM349" s="382"/>
      <c r="AN349" s="382"/>
      <c r="AO349" s="382"/>
      <c r="AP349" s="382"/>
      <c r="AQ349" s="382"/>
      <c r="AR349" s="382"/>
      <c r="AS349" s="382"/>
      <c r="AT349" s="382"/>
      <c r="AU349" s="382"/>
      <c r="AV349" s="382"/>
      <c r="AW349" s="382"/>
      <c r="AX349" s="382"/>
      <c r="AY349" s="382"/>
      <c r="AZ349" s="382"/>
      <c r="BA349" s="382"/>
      <c r="BB349" s="382"/>
      <c r="BC349" s="382"/>
      <c r="BD349" s="382"/>
      <c r="BE349" s="382"/>
      <c r="BF349" s="382"/>
      <c r="BG349" s="382"/>
      <c r="BH349" s="382"/>
      <c r="BI349" s="382"/>
      <c r="BJ349" s="382"/>
      <c r="BK349" s="382"/>
      <c r="BL349" s="382"/>
      <c r="BM349" s="382"/>
      <c r="BN349" s="382"/>
      <c r="BO349" s="382"/>
    </row>
    <row r="350" spans="1:67" s="88" customFormat="1" ht="10.55" customHeight="1" x14ac:dyDescent="0.2">
      <c r="A350" s="1030" t="s">
        <v>432</v>
      </c>
      <c r="B350" s="2818"/>
      <c r="C350" s="2819"/>
      <c r="D350" s="2820"/>
      <c r="E350" s="2751">
        <f>E398</f>
        <v>0</v>
      </c>
      <c r="F350" s="2752"/>
      <c r="G350" s="1785">
        <v>20</v>
      </c>
      <c r="H350" s="524"/>
      <c r="I350" s="1441">
        <f t="shared" si="84"/>
        <v>6.4147128734474465E-2</v>
      </c>
      <c r="J350" s="1427">
        <f t="shared" si="85"/>
        <v>0</v>
      </c>
      <c r="K350" s="684"/>
      <c r="L350" s="685"/>
      <c r="M350" s="1434">
        <f t="shared" si="82"/>
        <v>0</v>
      </c>
      <c r="N350" s="1111"/>
      <c r="O350" s="674">
        <f t="shared" si="86"/>
        <v>20</v>
      </c>
      <c r="P350" s="682"/>
      <c r="Q350" s="286"/>
      <c r="R350" s="287"/>
      <c r="S350" s="280"/>
      <c r="T350" s="280"/>
      <c r="U350" s="280"/>
      <c r="V350" s="280"/>
      <c r="W350" s="280"/>
      <c r="X350" s="280"/>
      <c r="Y350" s="280"/>
      <c r="Z350" s="284"/>
      <c r="AA350" s="284"/>
      <c r="AB350" s="284"/>
      <c r="AC350" s="284"/>
      <c r="AD350" s="284"/>
      <c r="AE350" s="284"/>
      <c r="AF350" s="447"/>
      <c r="AG350" s="447"/>
      <c r="AH350" s="447"/>
      <c r="AI350" s="382"/>
      <c r="AJ350" s="382"/>
      <c r="AK350" s="382"/>
      <c r="AL350" s="382"/>
      <c r="AM350" s="382"/>
      <c r="AN350" s="382"/>
      <c r="AO350" s="382"/>
      <c r="AP350" s="382"/>
      <c r="AQ350" s="382"/>
      <c r="AR350" s="382"/>
      <c r="AS350" s="382"/>
      <c r="AT350" s="382"/>
      <c r="AU350" s="382"/>
      <c r="AV350" s="382"/>
      <c r="AW350" s="382"/>
      <c r="AX350" s="382"/>
      <c r="AY350" s="382"/>
      <c r="AZ350" s="382"/>
      <c r="BA350" s="382"/>
      <c r="BB350" s="382"/>
      <c r="BC350" s="382"/>
      <c r="BD350" s="382"/>
      <c r="BE350" s="382"/>
      <c r="BF350" s="382"/>
      <c r="BG350" s="382"/>
      <c r="BH350" s="382"/>
      <c r="BI350" s="382"/>
      <c r="BJ350" s="382"/>
      <c r="BK350" s="382"/>
      <c r="BL350" s="382"/>
      <c r="BM350" s="382"/>
      <c r="BN350" s="382"/>
      <c r="BO350" s="382"/>
    </row>
    <row r="351" spans="1:67" s="88" customFormat="1" ht="10.55" customHeight="1" x14ac:dyDescent="0.2">
      <c r="A351" s="1030" t="s">
        <v>433</v>
      </c>
      <c r="B351" s="2818"/>
      <c r="C351" s="2819"/>
      <c r="D351" s="2820"/>
      <c r="E351" s="2751">
        <f>E406</f>
        <v>0</v>
      </c>
      <c r="F351" s="2752"/>
      <c r="G351" s="1785">
        <v>20</v>
      </c>
      <c r="H351" s="524"/>
      <c r="I351" s="1441">
        <f t="shared" si="84"/>
        <v>6.4147128734474465E-2</v>
      </c>
      <c r="J351" s="1427">
        <f t="shared" si="85"/>
        <v>0</v>
      </c>
      <c r="K351" s="684"/>
      <c r="L351" s="685"/>
      <c r="M351" s="1434">
        <f t="shared" si="82"/>
        <v>0</v>
      </c>
      <c r="N351" s="1111"/>
      <c r="O351" s="674">
        <f t="shared" si="86"/>
        <v>20</v>
      </c>
      <c r="P351" s="682"/>
      <c r="Q351" s="286"/>
      <c r="R351" s="287"/>
      <c r="S351" s="280"/>
      <c r="T351" s="280"/>
      <c r="U351" s="280"/>
      <c r="V351" s="280"/>
      <c r="W351" s="280"/>
      <c r="X351" s="280"/>
      <c r="Y351" s="280"/>
      <c r="Z351" s="284"/>
      <c r="AA351" s="284"/>
      <c r="AB351" s="284"/>
      <c r="AC351" s="284"/>
      <c r="AD351" s="284"/>
      <c r="AE351" s="284"/>
      <c r="AF351" s="447"/>
      <c r="AG351" s="447"/>
      <c r="AH351" s="447"/>
      <c r="AI351" s="382"/>
      <c r="AJ351" s="382"/>
      <c r="AK351" s="382"/>
      <c r="AL351" s="382"/>
      <c r="AM351" s="382"/>
      <c r="AN351" s="382"/>
      <c r="AO351" s="382"/>
      <c r="AP351" s="382"/>
      <c r="AQ351" s="382"/>
      <c r="AR351" s="382"/>
      <c r="AS351" s="382"/>
      <c r="AT351" s="382"/>
      <c r="AU351" s="382"/>
      <c r="AV351" s="382"/>
      <c r="AW351" s="382"/>
      <c r="AX351" s="382"/>
      <c r="AY351" s="382"/>
      <c r="AZ351" s="382"/>
      <c r="BA351" s="382"/>
      <c r="BB351" s="382"/>
      <c r="BC351" s="382"/>
      <c r="BD351" s="382"/>
      <c r="BE351" s="382"/>
      <c r="BF351" s="382"/>
      <c r="BG351" s="382"/>
      <c r="BH351" s="382"/>
      <c r="BI351" s="382"/>
      <c r="BJ351" s="382"/>
      <c r="BK351" s="382"/>
      <c r="BL351" s="382"/>
      <c r="BM351" s="382"/>
      <c r="BN351" s="382"/>
      <c r="BO351" s="382"/>
    </row>
    <row r="352" spans="1:67" s="88" customFormat="1" ht="10.55" customHeight="1" x14ac:dyDescent="0.2">
      <c r="A352" s="1030" t="s">
        <v>490</v>
      </c>
      <c r="B352" s="2818"/>
      <c r="C352" s="2819"/>
      <c r="D352" s="2820"/>
      <c r="E352" s="2561"/>
      <c r="F352" s="2562"/>
      <c r="G352" s="1785">
        <v>20</v>
      </c>
      <c r="H352" s="524"/>
      <c r="I352" s="1441">
        <f t="shared" si="84"/>
        <v>6.4147128734474465E-2</v>
      </c>
      <c r="J352" s="1427">
        <f t="shared" si="85"/>
        <v>0</v>
      </c>
      <c r="K352" s="684"/>
      <c r="L352" s="685"/>
      <c r="M352" s="1434">
        <f t="shared" si="82"/>
        <v>0</v>
      </c>
      <c r="N352" s="1111"/>
      <c r="O352" s="674">
        <f t="shared" si="86"/>
        <v>20</v>
      </c>
      <c r="P352" s="682"/>
      <c r="Q352" s="286"/>
      <c r="R352" s="287"/>
      <c r="S352" s="280"/>
      <c r="T352" s="280"/>
      <c r="U352" s="280"/>
      <c r="V352" s="280"/>
      <c r="W352" s="280"/>
      <c r="X352" s="280"/>
      <c r="Y352" s="280"/>
      <c r="Z352" s="284"/>
      <c r="AA352" s="284"/>
      <c r="AB352" s="284"/>
      <c r="AC352" s="284"/>
      <c r="AD352" s="284"/>
      <c r="AE352" s="284"/>
      <c r="AF352" s="447"/>
      <c r="AG352" s="447"/>
      <c r="AH352" s="447"/>
      <c r="AI352" s="382"/>
      <c r="AJ352" s="382"/>
      <c r="AK352" s="382"/>
      <c r="AL352" s="382"/>
      <c r="AM352" s="382"/>
      <c r="AN352" s="382"/>
      <c r="AO352" s="382"/>
      <c r="AP352" s="382"/>
      <c r="AQ352" s="382"/>
      <c r="AR352" s="382"/>
      <c r="AS352" s="382"/>
      <c r="AT352" s="382"/>
      <c r="AU352" s="382"/>
      <c r="AV352" s="382"/>
      <c r="AW352" s="382"/>
      <c r="AX352" s="382"/>
      <c r="AY352" s="382"/>
      <c r="AZ352" s="382"/>
      <c r="BA352" s="382"/>
      <c r="BB352" s="382"/>
      <c r="BC352" s="382"/>
      <c r="BD352" s="382"/>
      <c r="BE352" s="382"/>
      <c r="BF352" s="382"/>
      <c r="BG352" s="382"/>
      <c r="BH352" s="382"/>
      <c r="BI352" s="382"/>
      <c r="BJ352" s="382"/>
      <c r="BK352" s="382"/>
      <c r="BL352" s="382"/>
      <c r="BM352" s="382"/>
      <c r="BN352" s="382"/>
      <c r="BO352" s="382"/>
    </row>
    <row r="353" spans="1:67" s="88" customFormat="1" ht="10.55" customHeight="1" x14ac:dyDescent="0.2">
      <c r="A353" s="1030" t="s">
        <v>512</v>
      </c>
      <c r="B353" s="2818"/>
      <c r="C353" s="2819"/>
      <c r="D353" s="2820"/>
      <c r="E353" s="2561"/>
      <c r="F353" s="2562"/>
      <c r="G353" s="1785">
        <v>20</v>
      </c>
      <c r="H353" s="524"/>
      <c r="I353" s="1441">
        <f t="shared" si="84"/>
        <v>6.4147128734474465E-2</v>
      </c>
      <c r="J353" s="1427">
        <f t="shared" si="85"/>
        <v>0</v>
      </c>
      <c r="K353" s="684"/>
      <c r="L353" s="685"/>
      <c r="M353" s="1434">
        <f t="shared" si="82"/>
        <v>0</v>
      </c>
      <c r="N353" s="1111"/>
      <c r="O353" s="674">
        <f t="shared" si="86"/>
        <v>20</v>
      </c>
      <c r="P353" s="682"/>
      <c r="Q353" s="286"/>
      <c r="R353" s="287"/>
      <c r="S353" s="280"/>
      <c r="T353" s="280"/>
      <c r="U353" s="280"/>
      <c r="V353" s="280"/>
      <c r="W353" s="280"/>
      <c r="X353" s="280"/>
      <c r="Y353" s="280"/>
      <c r="Z353" s="284"/>
      <c r="AA353" s="284"/>
      <c r="AB353" s="284"/>
      <c r="AC353" s="284"/>
      <c r="AD353" s="284"/>
      <c r="AE353" s="284"/>
      <c r="AF353" s="447"/>
      <c r="AG353" s="447"/>
      <c r="AH353" s="447"/>
      <c r="AI353" s="382"/>
      <c r="AJ353" s="382"/>
      <c r="AK353" s="382"/>
      <c r="AL353" s="382"/>
      <c r="AM353" s="382"/>
      <c r="AN353" s="382"/>
      <c r="AO353" s="382"/>
      <c r="AP353" s="382"/>
      <c r="AQ353" s="382"/>
      <c r="AR353" s="382"/>
      <c r="AS353" s="382"/>
      <c r="AT353" s="382"/>
      <c r="AU353" s="382"/>
      <c r="AV353" s="382"/>
      <c r="AW353" s="382"/>
      <c r="AX353" s="382"/>
      <c r="AY353" s="382"/>
      <c r="AZ353" s="382"/>
      <c r="BA353" s="382"/>
      <c r="BB353" s="382"/>
      <c r="BC353" s="382"/>
      <c r="BD353" s="382"/>
      <c r="BE353" s="382"/>
      <c r="BF353" s="382"/>
      <c r="BG353" s="382"/>
      <c r="BH353" s="382"/>
      <c r="BI353" s="382"/>
      <c r="BJ353" s="382"/>
      <c r="BK353" s="382"/>
      <c r="BL353" s="382"/>
      <c r="BM353" s="382"/>
      <c r="BN353" s="382"/>
      <c r="BO353" s="382"/>
    </row>
    <row r="354" spans="1:67" s="88" customFormat="1" ht="10.55" customHeight="1" x14ac:dyDescent="0.2">
      <c r="A354" s="1030" t="s">
        <v>434</v>
      </c>
      <c r="B354" s="2818"/>
      <c r="C354" s="2819"/>
      <c r="D354" s="2820"/>
      <c r="E354" s="2561"/>
      <c r="F354" s="2562"/>
      <c r="G354" s="1785">
        <v>20</v>
      </c>
      <c r="H354" s="524"/>
      <c r="I354" s="1441">
        <f t="shared" si="84"/>
        <v>6.4147128734474465E-2</v>
      </c>
      <c r="J354" s="1427">
        <f t="shared" si="85"/>
        <v>0</v>
      </c>
      <c r="K354" s="684"/>
      <c r="L354" s="685"/>
      <c r="M354" s="1434">
        <f t="shared" si="82"/>
        <v>0</v>
      </c>
      <c r="N354" s="1111"/>
      <c r="O354" s="674">
        <f t="shared" si="86"/>
        <v>20</v>
      </c>
      <c r="P354" s="682"/>
      <c r="Q354" s="286"/>
      <c r="R354" s="287"/>
      <c r="S354" s="280"/>
      <c r="T354" s="280"/>
      <c r="U354" s="280"/>
      <c r="V354" s="280"/>
      <c r="W354" s="280"/>
      <c r="X354" s="280"/>
      <c r="Y354" s="280"/>
      <c r="Z354" s="284"/>
      <c r="AA354" s="284"/>
      <c r="AB354" s="284"/>
      <c r="AC354" s="284"/>
      <c r="AD354" s="284"/>
      <c r="AE354" s="284"/>
      <c r="AF354" s="447"/>
      <c r="AG354" s="447"/>
      <c r="AH354" s="447"/>
      <c r="AI354" s="382"/>
      <c r="AJ354" s="382"/>
      <c r="AK354" s="382"/>
      <c r="AL354" s="382"/>
      <c r="AM354" s="382"/>
      <c r="AN354" s="382"/>
      <c r="AO354" s="382"/>
      <c r="AP354" s="382"/>
      <c r="AQ354" s="382"/>
      <c r="AR354" s="382"/>
      <c r="AS354" s="382"/>
      <c r="AT354" s="382"/>
      <c r="AU354" s="382"/>
      <c r="AV354" s="382"/>
      <c r="AW354" s="382"/>
      <c r="AX354" s="382"/>
      <c r="AY354" s="382"/>
      <c r="AZ354" s="382"/>
      <c r="BA354" s="382"/>
      <c r="BB354" s="382"/>
      <c r="BC354" s="382"/>
      <c r="BD354" s="382"/>
      <c r="BE354" s="382"/>
      <c r="BF354" s="382"/>
      <c r="BG354" s="382"/>
      <c r="BH354" s="382"/>
      <c r="BI354" s="382"/>
      <c r="BJ354" s="382"/>
      <c r="BK354" s="382"/>
      <c r="BL354" s="382"/>
      <c r="BM354" s="382"/>
      <c r="BN354" s="382"/>
      <c r="BO354" s="382"/>
    </row>
    <row r="355" spans="1:67" s="88" customFormat="1" ht="10.55" customHeight="1" x14ac:dyDescent="0.2">
      <c r="A355" s="1030" t="s">
        <v>513</v>
      </c>
      <c r="B355" s="2818"/>
      <c r="C355" s="2819"/>
      <c r="D355" s="2820"/>
      <c r="E355" s="2561"/>
      <c r="F355" s="2562"/>
      <c r="G355" s="1785">
        <v>20</v>
      </c>
      <c r="H355" s="524"/>
      <c r="I355" s="1441">
        <f t="shared" si="84"/>
        <v>6.4147128734474465E-2</v>
      </c>
      <c r="J355" s="1427">
        <f t="shared" si="85"/>
        <v>0</v>
      </c>
      <c r="K355" s="684"/>
      <c r="L355" s="685"/>
      <c r="M355" s="1434">
        <f t="shared" si="82"/>
        <v>0</v>
      </c>
      <c r="N355" s="1111"/>
      <c r="O355" s="674">
        <f t="shared" si="86"/>
        <v>20</v>
      </c>
      <c r="P355" s="682"/>
      <c r="Q355" s="286"/>
      <c r="R355" s="287"/>
      <c r="S355" s="280"/>
      <c r="T355" s="280"/>
      <c r="U355" s="280"/>
      <c r="V355" s="280"/>
      <c r="W355" s="280"/>
      <c r="X355" s="280"/>
      <c r="Y355" s="280"/>
      <c r="Z355" s="284"/>
      <c r="AA355" s="284"/>
      <c r="AB355" s="284"/>
      <c r="AC355" s="284"/>
      <c r="AD355" s="284"/>
      <c r="AE355" s="284"/>
      <c r="AF355" s="447"/>
      <c r="AG355" s="447"/>
      <c r="AH355" s="447"/>
      <c r="AI355" s="382"/>
      <c r="AJ355" s="382"/>
      <c r="AK355" s="382"/>
      <c r="AL355" s="382"/>
      <c r="AM355" s="382"/>
      <c r="AN355" s="382"/>
      <c r="AO355" s="382"/>
      <c r="AP355" s="382"/>
      <c r="AQ355" s="382"/>
      <c r="AR355" s="382"/>
      <c r="AS355" s="382"/>
      <c r="AT355" s="382"/>
      <c r="AU355" s="382"/>
      <c r="AV355" s="382"/>
      <c r="AW355" s="382"/>
      <c r="AX355" s="382"/>
      <c r="AY355" s="382"/>
      <c r="AZ355" s="382"/>
      <c r="BA355" s="382"/>
      <c r="BB355" s="382"/>
      <c r="BC355" s="382"/>
      <c r="BD355" s="382"/>
      <c r="BE355" s="382"/>
      <c r="BF355" s="382"/>
      <c r="BG355" s="382"/>
      <c r="BH355" s="382"/>
      <c r="BI355" s="382"/>
      <c r="BJ355" s="382"/>
      <c r="BK355" s="382"/>
      <c r="BL355" s="382"/>
      <c r="BM355" s="382"/>
      <c r="BN355" s="382"/>
      <c r="BO355" s="382"/>
    </row>
    <row r="356" spans="1:67" s="88" customFormat="1" ht="10.55" customHeight="1" x14ac:dyDescent="0.2">
      <c r="A356" s="1030" t="s">
        <v>435</v>
      </c>
      <c r="B356" s="2818"/>
      <c r="C356" s="2819"/>
      <c r="D356" s="2820"/>
      <c r="E356" s="2561"/>
      <c r="F356" s="2562"/>
      <c r="G356" s="1785">
        <v>20</v>
      </c>
      <c r="H356" s="524"/>
      <c r="I356" s="1441">
        <f t="shared" si="84"/>
        <v>6.4147128734474465E-2</v>
      </c>
      <c r="J356" s="1427">
        <f t="shared" si="85"/>
        <v>0</v>
      </c>
      <c r="K356" s="684"/>
      <c r="L356" s="685"/>
      <c r="M356" s="1434">
        <f t="shared" si="82"/>
        <v>0</v>
      </c>
      <c r="N356" s="1111"/>
      <c r="O356" s="674">
        <f t="shared" si="86"/>
        <v>20</v>
      </c>
      <c r="P356" s="682"/>
      <c r="Q356" s="286"/>
      <c r="R356" s="287"/>
      <c r="S356" s="280"/>
      <c r="T356" s="280"/>
      <c r="U356" s="280"/>
      <c r="V356" s="280"/>
      <c r="W356" s="280"/>
      <c r="X356" s="280"/>
      <c r="Y356" s="280"/>
      <c r="Z356" s="284"/>
      <c r="AA356" s="284"/>
      <c r="AB356" s="284"/>
      <c r="AC356" s="284"/>
      <c r="AD356" s="284"/>
      <c r="AE356" s="284"/>
      <c r="AF356" s="447"/>
      <c r="AG356" s="447"/>
      <c r="AH356" s="447"/>
      <c r="AI356" s="382"/>
      <c r="AJ356" s="382"/>
      <c r="AK356" s="382"/>
      <c r="AL356" s="382"/>
      <c r="AM356" s="382"/>
      <c r="AN356" s="382"/>
      <c r="AO356" s="382"/>
      <c r="AP356" s="382"/>
      <c r="AQ356" s="382"/>
      <c r="AR356" s="382"/>
      <c r="AS356" s="382"/>
      <c r="AT356" s="382"/>
      <c r="AU356" s="382"/>
      <c r="AV356" s="382"/>
      <c r="AW356" s="382"/>
      <c r="AX356" s="382"/>
      <c r="AY356" s="382"/>
      <c r="AZ356" s="382"/>
      <c r="BA356" s="382"/>
      <c r="BB356" s="382"/>
      <c r="BC356" s="382"/>
      <c r="BD356" s="382"/>
      <c r="BE356" s="382"/>
      <c r="BF356" s="382"/>
      <c r="BG356" s="382"/>
      <c r="BH356" s="382"/>
      <c r="BI356" s="382"/>
      <c r="BJ356" s="382"/>
      <c r="BK356" s="382"/>
      <c r="BL356" s="382"/>
      <c r="BM356" s="382"/>
      <c r="BN356" s="382"/>
      <c r="BO356" s="382"/>
    </row>
    <row r="357" spans="1:67" s="88" customFormat="1" ht="10.55" customHeight="1" x14ac:dyDescent="0.2">
      <c r="A357" s="1030" t="s">
        <v>436</v>
      </c>
      <c r="B357" s="2818"/>
      <c r="C357" s="2819"/>
      <c r="D357" s="2820"/>
      <c r="E357" s="2561"/>
      <c r="F357" s="2562"/>
      <c r="G357" s="1785">
        <v>20</v>
      </c>
      <c r="H357" s="524"/>
      <c r="I357" s="1441">
        <f t="shared" si="84"/>
        <v>6.4147128734474465E-2</v>
      </c>
      <c r="J357" s="1427">
        <f t="shared" si="85"/>
        <v>0</v>
      </c>
      <c r="K357" s="684"/>
      <c r="L357" s="685"/>
      <c r="M357" s="1434">
        <f t="shared" si="82"/>
        <v>0</v>
      </c>
      <c r="N357" s="1111"/>
      <c r="O357" s="674">
        <f>IF(ISBLANK(H357),G357,H357)</f>
        <v>20</v>
      </c>
      <c r="P357" s="682"/>
      <c r="Q357" s="286"/>
      <c r="R357" s="287"/>
      <c r="S357" s="280"/>
      <c r="T357" s="280"/>
      <c r="U357" s="280"/>
      <c r="V357" s="280"/>
      <c r="W357" s="280"/>
      <c r="X357" s="280"/>
      <c r="Y357" s="280"/>
      <c r="Z357" s="284"/>
      <c r="AA357" s="284"/>
      <c r="AB357" s="284"/>
      <c r="AC357" s="284"/>
      <c r="AD357" s="284"/>
      <c r="AE357" s="284"/>
      <c r="AF357" s="447"/>
      <c r="AG357" s="447"/>
      <c r="AH357" s="447"/>
      <c r="AI357" s="382"/>
      <c r="AJ357" s="382"/>
      <c r="AK357" s="382"/>
      <c r="AL357" s="382"/>
      <c r="AM357" s="382"/>
      <c r="AN357" s="382"/>
      <c r="AO357" s="382"/>
      <c r="AP357" s="382"/>
      <c r="AQ357" s="382"/>
      <c r="AR357" s="382"/>
      <c r="AS357" s="382"/>
      <c r="AT357" s="382"/>
      <c r="AU357" s="382"/>
      <c r="AV357" s="382"/>
      <c r="AW357" s="382"/>
      <c r="AX357" s="382"/>
      <c r="AY357" s="382"/>
      <c r="AZ357" s="382"/>
      <c r="BA357" s="382"/>
      <c r="BB357" s="382"/>
      <c r="BC357" s="382"/>
      <c r="BD357" s="382"/>
      <c r="BE357" s="382"/>
      <c r="BF357" s="382"/>
      <c r="BG357" s="382"/>
      <c r="BH357" s="382"/>
      <c r="BI357" s="382"/>
      <c r="BJ357" s="382"/>
      <c r="BK357" s="382"/>
      <c r="BL357" s="382"/>
      <c r="BM357" s="382"/>
      <c r="BN357" s="382"/>
      <c r="BO357" s="382"/>
    </row>
    <row r="358" spans="1:67" s="88" customFormat="1" ht="10.55" customHeight="1" x14ac:dyDescent="0.2">
      <c r="A358" s="1030" t="s">
        <v>437</v>
      </c>
      <c r="B358" s="2818"/>
      <c r="C358" s="2819"/>
      <c r="D358" s="2820"/>
      <c r="E358" s="2561"/>
      <c r="F358" s="2562"/>
      <c r="G358" s="1785">
        <v>20</v>
      </c>
      <c r="H358" s="524"/>
      <c r="I358" s="1441">
        <f t="shared" si="84"/>
        <v>6.4147128734474465E-2</v>
      </c>
      <c r="J358" s="1427">
        <f t="shared" si="85"/>
        <v>0</v>
      </c>
      <c r="K358" s="684"/>
      <c r="L358" s="685"/>
      <c r="M358" s="1434">
        <f t="shared" si="82"/>
        <v>0</v>
      </c>
      <c r="N358" s="1111"/>
      <c r="O358" s="674">
        <f>IF(ISBLANK(H358),G358,H358)</f>
        <v>20</v>
      </c>
      <c r="P358" s="682"/>
      <c r="Q358" s="286"/>
      <c r="R358" s="287"/>
      <c r="S358" s="280"/>
      <c r="T358" s="280"/>
      <c r="U358" s="280"/>
      <c r="V358" s="280"/>
      <c r="W358" s="280"/>
      <c r="X358" s="280"/>
      <c r="Y358" s="280"/>
      <c r="Z358" s="284"/>
      <c r="AA358" s="284"/>
      <c r="AB358" s="284"/>
      <c r="AC358" s="284"/>
      <c r="AD358" s="284"/>
      <c r="AE358" s="284"/>
      <c r="AF358" s="447"/>
      <c r="AG358" s="447"/>
      <c r="AH358" s="447"/>
      <c r="AI358" s="382"/>
      <c r="AJ358" s="382"/>
      <c r="AK358" s="382"/>
      <c r="AL358" s="382"/>
      <c r="AM358" s="382"/>
      <c r="AN358" s="382"/>
      <c r="AO358" s="382"/>
      <c r="AP358" s="382"/>
      <c r="AQ358" s="382"/>
      <c r="AR358" s="382"/>
      <c r="AS358" s="382"/>
      <c r="AT358" s="382"/>
      <c r="AU358" s="382"/>
      <c r="AV358" s="382"/>
      <c r="AW358" s="382"/>
      <c r="AX358" s="382"/>
      <c r="AY358" s="382"/>
      <c r="AZ358" s="382"/>
      <c r="BA358" s="382"/>
      <c r="BB358" s="382"/>
      <c r="BC358" s="382"/>
      <c r="BD358" s="382"/>
      <c r="BE358" s="382"/>
      <c r="BF358" s="382"/>
      <c r="BG358" s="382"/>
      <c r="BH358" s="382"/>
      <c r="BI358" s="382"/>
      <c r="BJ358" s="382"/>
      <c r="BK358" s="382"/>
      <c r="BL358" s="382"/>
      <c r="BM358" s="382"/>
      <c r="BN358" s="382"/>
      <c r="BO358" s="382"/>
    </row>
    <row r="359" spans="1:67" s="88" customFormat="1" ht="10.55" customHeight="1" x14ac:dyDescent="0.2">
      <c r="A359" s="732"/>
      <c r="B359" s="2818"/>
      <c r="C359" s="2819"/>
      <c r="D359" s="2820"/>
      <c r="E359" s="2561"/>
      <c r="F359" s="2562"/>
      <c r="G359" s="1015"/>
      <c r="H359" s="524"/>
      <c r="I359" s="1441">
        <f t="shared" si="84"/>
        <v>0</v>
      </c>
      <c r="J359" s="1427">
        <f t="shared" si="85"/>
        <v>0</v>
      </c>
      <c r="K359" s="684"/>
      <c r="L359" s="685"/>
      <c r="M359" s="1434">
        <f t="shared" si="82"/>
        <v>0</v>
      </c>
      <c r="N359" s="1111"/>
      <c r="O359" s="674">
        <f>IF(ISBLANK(H359),G359,H359)</f>
        <v>0</v>
      </c>
      <c r="P359" s="682"/>
      <c r="Q359" s="286"/>
      <c r="R359" s="287"/>
      <c r="S359" s="280"/>
      <c r="T359" s="280"/>
      <c r="U359" s="280"/>
      <c r="V359" s="280"/>
      <c r="W359" s="280"/>
      <c r="X359" s="280"/>
      <c r="Y359" s="280"/>
      <c r="Z359" s="284"/>
      <c r="AA359" s="284"/>
      <c r="AB359" s="284"/>
      <c r="AC359" s="284"/>
      <c r="AD359" s="284"/>
      <c r="AE359" s="284"/>
      <c r="AF359" s="447"/>
      <c r="AG359" s="447"/>
      <c r="AH359" s="447"/>
      <c r="AI359" s="382"/>
      <c r="AJ359" s="382"/>
      <c r="AK359" s="382"/>
      <c r="AL359" s="382"/>
      <c r="AM359" s="382"/>
      <c r="AN359" s="382"/>
      <c r="AO359" s="382"/>
      <c r="AP359" s="382"/>
      <c r="AQ359" s="382"/>
      <c r="AR359" s="382"/>
      <c r="AS359" s="382"/>
      <c r="AT359" s="382"/>
      <c r="AU359" s="382"/>
      <c r="AV359" s="382"/>
      <c r="AW359" s="382"/>
      <c r="AX359" s="382"/>
      <c r="AY359" s="382"/>
      <c r="AZ359" s="382"/>
      <c r="BA359" s="382"/>
      <c r="BB359" s="382"/>
      <c r="BC359" s="382"/>
      <c r="BD359" s="382"/>
      <c r="BE359" s="382"/>
      <c r="BF359" s="382"/>
      <c r="BG359" s="382"/>
      <c r="BH359" s="382"/>
      <c r="BI359" s="382"/>
      <c r="BJ359" s="382"/>
      <c r="BK359" s="382"/>
      <c r="BL359" s="382"/>
      <c r="BM359" s="382"/>
      <c r="BN359" s="382"/>
      <c r="BO359" s="382"/>
    </row>
    <row r="360" spans="1:67" s="88" customFormat="1" ht="10.55" customHeight="1" x14ac:dyDescent="0.2">
      <c r="A360" s="732"/>
      <c r="B360" s="2818"/>
      <c r="C360" s="2819"/>
      <c r="D360" s="2820"/>
      <c r="E360" s="2561"/>
      <c r="F360" s="2562"/>
      <c r="G360" s="1015"/>
      <c r="H360" s="524"/>
      <c r="I360" s="1441">
        <f t="shared" si="84"/>
        <v>0</v>
      </c>
      <c r="J360" s="1427">
        <f t="shared" si="85"/>
        <v>0</v>
      </c>
      <c r="K360" s="684"/>
      <c r="L360" s="685"/>
      <c r="M360" s="1434">
        <f t="shared" si="82"/>
        <v>0</v>
      </c>
      <c r="N360" s="1111"/>
      <c r="O360" s="674">
        <f>IF(ISBLANK(H360),G360,H360)</f>
        <v>0</v>
      </c>
      <c r="P360" s="682"/>
      <c r="Q360" s="286"/>
      <c r="R360" s="287"/>
      <c r="S360" s="280"/>
      <c r="T360" s="280"/>
      <c r="U360" s="280"/>
      <c r="V360" s="280"/>
      <c r="W360" s="280"/>
      <c r="X360" s="280"/>
      <c r="Y360" s="280"/>
      <c r="Z360" s="284"/>
      <c r="AA360" s="284"/>
      <c r="AB360" s="284"/>
      <c r="AC360" s="284"/>
      <c r="AD360" s="284"/>
      <c r="AE360" s="284"/>
      <c r="AF360" s="447"/>
      <c r="AG360" s="447"/>
      <c r="AH360" s="447"/>
      <c r="AI360" s="382"/>
      <c r="AJ360" s="382"/>
      <c r="AK360" s="382"/>
      <c r="AL360" s="382"/>
      <c r="AM360" s="382"/>
      <c r="AN360" s="382"/>
      <c r="AO360" s="382"/>
      <c r="AP360" s="382"/>
      <c r="AQ360" s="382"/>
      <c r="AR360" s="382"/>
      <c r="AS360" s="382"/>
      <c r="AT360" s="382"/>
      <c r="AU360" s="382"/>
      <c r="AV360" s="382"/>
      <c r="AW360" s="382"/>
      <c r="AX360" s="382"/>
      <c r="AY360" s="382"/>
      <c r="AZ360" s="382"/>
      <c r="BA360" s="382"/>
      <c r="BB360" s="382"/>
      <c r="BC360" s="382"/>
      <c r="BD360" s="382"/>
      <c r="BE360" s="382"/>
      <c r="BF360" s="382"/>
      <c r="BG360" s="382"/>
      <c r="BH360" s="382"/>
      <c r="BI360" s="382"/>
      <c r="BJ360" s="382"/>
      <c r="BK360" s="382"/>
      <c r="BL360" s="382"/>
      <c r="BM360" s="382"/>
      <c r="BN360" s="382"/>
      <c r="BO360" s="382"/>
    </row>
    <row r="361" spans="1:67" s="706" customFormat="1" ht="10.55" customHeight="1" x14ac:dyDescent="0.2">
      <c r="A361" s="1031"/>
      <c r="B361" s="1032"/>
      <c r="C361" s="1032"/>
      <c r="D361" s="1033"/>
      <c r="E361" s="1419"/>
      <c r="F361" s="1420"/>
      <c r="G361" s="1313"/>
      <c r="H361" s="1087"/>
      <c r="I361" s="1437"/>
      <c r="J361" s="1413"/>
      <c r="K361" s="1314"/>
      <c r="L361" s="1315"/>
      <c r="M361" s="1431"/>
      <c r="N361" s="339"/>
      <c r="O361" s="702"/>
      <c r="P361" s="703"/>
      <c r="Q361" s="286"/>
      <c r="R361" s="287"/>
      <c r="S361" s="280"/>
      <c r="T361" s="280"/>
      <c r="U361" s="280"/>
      <c r="V361" s="280"/>
      <c r="W361" s="280"/>
      <c r="X361" s="280"/>
      <c r="Y361" s="280"/>
      <c r="Z361" s="280"/>
      <c r="AA361" s="280"/>
      <c r="AB361" s="280"/>
      <c r="AC361" s="280"/>
      <c r="AD361" s="280"/>
      <c r="AE361" s="280"/>
      <c r="AF361" s="704"/>
      <c r="AG361" s="704"/>
      <c r="AH361" s="704"/>
      <c r="AI361" s="705"/>
      <c r="AJ361" s="705"/>
      <c r="AK361" s="705"/>
      <c r="AL361" s="705"/>
      <c r="AM361" s="705"/>
      <c r="AN361" s="705"/>
      <c r="AO361" s="705"/>
      <c r="AP361" s="705"/>
      <c r="AQ361" s="705"/>
      <c r="AR361" s="705"/>
      <c r="AS361" s="705"/>
      <c r="AT361" s="705"/>
      <c r="AU361" s="705"/>
      <c r="AV361" s="705"/>
      <c r="AW361" s="705"/>
      <c r="AX361" s="705"/>
      <c r="AY361" s="705"/>
      <c r="AZ361" s="705"/>
      <c r="BA361" s="705"/>
      <c r="BB361" s="705"/>
      <c r="BC361" s="705"/>
      <c r="BD361" s="705"/>
      <c r="BE361" s="705"/>
      <c r="BF361" s="705"/>
      <c r="BG361" s="705"/>
      <c r="BH361" s="705"/>
      <c r="BI361" s="705"/>
      <c r="BJ361" s="705"/>
      <c r="BK361" s="705"/>
      <c r="BL361" s="705"/>
      <c r="BM361" s="705"/>
      <c r="BN361" s="705"/>
      <c r="BO361" s="705"/>
    </row>
    <row r="362" spans="1:67" s="706" customFormat="1" ht="10.55" customHeight="1" x14ac:dyDescent="0.2">
      <c r="A362" s="824" t="s">
        <v>438</v>
      </c>
      <c r="B362" s="370"/>
      <c r="C362" s="370"/>
      <c r="D362" s="369"/>
      <c r="E362" s="1073"/>
      <c r="F362" s="371"/>
      <c r="G362" s="371"/>
      <c r="H362" s="1075"/>
      <c r="I362" s="736"/>
      <c r="J362" s="737"/>
      <c r="K362" s="738"/>
      <c r="L362" s="739"/>
      <c r="M362" s="1035"/>
      <c r="N362" s="339"/>
      <c r="O362" s="702"/>
      <c r="P362" s="703"/>
      <c r="Q362" s="286"/>
      <c r="R362" s="287"/>
      <c r="S362" s="280"/>
      <c r="T362" s="280"/>
      <c r="U362" s="280"/>
      <c r="V362" s="280"/>
      <c r="W362" s="280"/>
      <c r="X362" s="280"/>
      <c r="Y362" s="280"/>
      <c r="Z362" s="280"/>
      <c r="AA362" s="280"/>
      <c r="AB362" s="280"/>
      <c r="AC362" s="280"/>
      <c r="AD362" s="280"/>
      <c r="AE362" s="280"/>
      <c r="AF362" s="704"/>
      <c r="AG362" s="704"/>
      <c r="AH362" s="704"/>
      <c r="AI362" s="705"/>
      <c r="AJ362" s="705"/>
      <c r="AK362" s="705"/>
      <c r="AL362" s="705"/>
      <c r="AM362" s="705"/>
      <c r="AN362" s="705"/>
      <c r="AO362" s="705"/>
      <c r="AP362" s="705"/>
      <c r="AQ362" s="705"/>
      <c r="AR362" s="705"/>
      <c r="AS362" s="705"/>
      <c r="AT362" s="705"/>
      <c r="AU362" s="705"/>
      <c r="AV362" s="705"/>
      <c r="AW362" s="705"/>
      <c r="AX362" s="705"/>
      <c r="AY362" s="705"/>
      <c r="AZ362" s="705"/>
      <c r="BA362" s="705"/>
      <c r="BB362" s="705"/>
      <c r="BC362" s="705"/>
      <c r="BD362" s="705"/>
      <c r="BE362" s="705"/>
      <c r="BF362" s="705"/>
      <c r="BG362" s="705"/>
      <c r="BH362" s="705"/>
      <c r="BI362" s="705"/>
      <c r="BJ362" s="705"/>
      <c r="BK362" s="705"/>
      <c r="BL362" s="705"/>
      <c r="BM362" s="705"/>
      <c r="BN362" s="705"/>
      <c r="BO362" s="705"/>
    </row>
    <row r="363" spans="1:67" s="706" customFormat="1" ht="10.55" customHeight="1" x14ac:dyDescent="0.2">
      <c r="A363" s="825"/>
      <c r="B363" s="367"/>
      <c r="C363" s="367"/>
      <c r="D363" s="735"/>
      <c r="E363" s="372"/>
      <c r="F363" s="720"/>
      <c r="G363" s="740"/>
      <c r="H363" s="741"/>
      <c r="I363" s="742"/>
      <c r="J363" s="743"/>
      <c r="K363" s="744"/>
      <c r="L363" s="745"/>
      <c r="M363" s="1036"/>
      <c r="N363" s="339"/>
      <c r="O363" s="702"/>
      <c r="P363" s="703"/>
      <c r="Q363" s="286"/>
      <c r="R363" s="287"/>
      <c r="S363" s="280"/>
      <c r="T363" s="280"/>
      <c r="U363" s="280"/>
      <c r="V363" s="280"/>
      <c r="W363" s="280"/>
      <c r="X363" s="280"/>
      <c r="Y363" s="280"/>
      <c r="Z363" s="280"/>
      <c r="AA363" s="280"/>
      <c r="AB363" s="280"/>
      <c r="AC363" s="280"/>
      <c r="AD363" s="280"/>
      <c r="AE363" s="280"/>
      <c r="AF363" s="704"/>
      <c r="AG363" s="704"/>
      <c r="AH363" s="704"/>
      <c r="AI363" s="705"/>
      <c r="AJ363" s="705"/>
      <c r="AK363" s="705"/>
      <c r="AL363" s="705"/>
      <c r="AM363" s="705"/>
      <c r="AN363" s="705"/>
      <c r="AO363" s="705"/>
      <c r="AP363" s="705"/>
      <c r="AQ363" s="705"/>
      <c r="AR363" s="705"/>
      <c r="AS363" s="705"/>
      <c r="AT363" s="705"/>
      <c r="AU363" s="705"/>
      <c r="AV363" s="705"/>
      <c r="AW363" s="705"/>
      <c r="AX363" s="705"/>
      <c r="AY363" s="705"/>
      <c r="AZ363" s="705"/>
      <c r="BA363" s="705"/>
      <c r="BB363" s="705"/>
      <c r="BC363" s="705"/>
      <c r="BD363" s="705"/>
      <c r="BE363" s="705"/>
      <c r="BF363" s="705"/>
      <c r="BG363" s="705"/>
      <c r="BH363" s="705"/>
      <c r="BI363" s="705"/>
      <c r="BJ363" s="705"/>
      <c r="BK363" s="705"/>
      <c r="BL363" s="705"/>
      <c r="BM363" s="705"/>
      <c r="BN363" s="705"/>
      <c r="BO363" s="705"/>
    </row>
    <row r="364" spans="1:67" s="706" customFormat="1" ht="10.55" customHeight="1" x14ac:dyDescent="0.2">
      <c r="A364" s="826" t="s">
        <v>439</v>
      </c>
      <c r="B364" s="378"/>
      <c r="C364" s="378"/>
      <c r="D364" s="377"/>
      <c r="E364" s="374"/>
      <c r="F364" s="720"/>
      <c r="G364" s="740"/>
      <c r="H364" s="741"/>
      <c r="I364" s="742"/>
      <c r="J364" s="743"/>
      <c r="K364" s="744"/>
      <c r="L364" s="745"/>
      <c r="M364" s="1036"/>
      <c r="N364" s="339"/>
      <c r="O364" s="702"/>
      <c r="P364" s="703"/>
      <c r="Q364" s="286"/>
      <c r="R364" s="287"/>
      <c r="S364" s="281"/>
      <c r="T364" s="280"/>
      <c r="U364" s="280"/>
      <c r="V364" s="280"/>
      <c r="W364" s="280"/>
      <c r="X364" s="280"/>
      <c r="Y364" s="280"/>
      <c r="Z364" s="280"/>
      <c r="AA364" s="280"/>
      <c r="AB364" s="280"/>
      <c r="AC364" s="280"/>
      <c r="AD364" s="280"/>
      <c r="AE364" s="280"/>
      <c r="AF364" s="704"/>
      <c r="AG364" s="704"/>
      <c r="AH364" s="704"/>
      <c r="AI364" s="705"/>
      <c r="AJ364" s="705"/>
      <c r="AK364" s="705"/>
      <c r="AL364" s="705"/>
      <c r="AM364" s="705"/>
      <c r="AN364" s="705"/>
      <c r="AO364" s="705"/>
      <c r="AP364" s="705"/>
      <c r="AQ364" s="705"/>
      <c r="AR364" s="705"/>
      <c r="AS364" s="705"/>
      <c r="AT364" s="705"/>
      <c r="AU364" s="705"/>
      <c r="AV364" s="705"/>
      <c r="AW364" s="705"/>
      <c r="AX364" s="705"/>
      <c r="AY364" s="705"/>
      <c r="AZ364" s="705"/>
      <c r="BA364" s="705"/>
      <c r="BB364" s="705"/>
      <c r="BC364" s="705"/>
      <c r="BD364" s="705"/>
      <c r="BE364" s="705"/>
      <c r="BF364" s="705"/>
      <c r="BG364" s="705"/>
      <c r="BH364" s="705"/>
      <c r="BI364" s="705"/>
      <c r="BJ364" s="705"/>
      <c r="BK364" s="705"/>
      <c r="BL364" s="705"/>
      <c r="BM364" s="705"/>
      <c r="BN364" s="705"/>
      <c r="BO364" s="705"/>
    </row>
    <row r="365" spans="1:67" s="706" customFormat="1" ht="10.55" customHeight="1" x14ac:dyDescent="0.2">
      <c r="A365" s="827" t="s">
        <v>440</v>
      </c>
      <c r="B365" s="367"/>
      <c r="C365" s="367"/>
      <c r="D365" s="373" t="s">
        <v>441</v>
      </c>
      <c r="E365" s="2821">
        <f>SUM(E59,E74,E89,E106,E121,E136,E151,E166,E181,E241,E256,E271,E301,E316)</f>
        <v>0</v>
      </c>
      <c r="F365" s="2822"/>
      <c r="G365" s="746"/>
      <c r="H365" s="747"/>
      <c r="I365" s="742"/>
      <c r="J365" s="743"/>
      <c r="K365" s="744"/>
      <c r="L365" s="745"/>
      <c r="M365" s="1036"/>
      <c r="N365" s="339"/>
      <c r="O365" s="702"/>
      <c r="P365" s="703"/>
      <c r="Q365" s="286"/>
      <c r="R365" s="287"/>
      <c r="S365" s="280"/>
      <c r="T365" s="280"/>
      <c r="U365" s="280"/>
      <c r="V365" s="280"/>
      <c r="W365" s="280"/>
      <c r="X365" s="280"/>
      <c r="Y365" s="280"/>
      <c r="Z365" s="280"/>
      <c r="AA365" s="280"/>
      <c r="AB365" s="280"/>
      <c r="AC365" s="280"/>
      <c r="AD365" s="280"/>
      <c r="AE365" s="280"/>
      <c r="AF365" s="704"/>
      <c r="AG365" s="704"/>
      <c r="AH365" s="704"/>
      <c r="AI365" s="705"/>
      <c r="AJ365" s="705"/>
      <c r="AK365" s="705"/>
      <c r="AL365" s="705"/>
      <c r="AM365" s="705"/>
      <c r="AN365" s="705"/>
      <c r="AO365" s="705"/>
      <c r="AP365" s="705"/>
      <c r="AQ365" s="705"/>
      <c r="AR365" s="705"/>
      <c r="AS365" s="705"/>
      <c r="AT365" s="705"/>
      <c r="AU365" s="705"/>
      <c r="AV365" s="705"/>
      <c r="AW365" s="705"/>
      <c r="AX365" s="705"/>
      <c r="AY365" s="705"/>
      <c r="AZ365" s="705"/>
      <c r="BA365" s="705"/>
      <c r="BB365" s="705"/>
      <c r="BC365" s="705"/>
      <c r="BD365" s="705"/>
      <c r="BE365" s="705"/>
      <c r="BF365" s="705"/>
      <c r="BG365" s="705"/>
      <c r="BH365" s="705"/>
      <c r="BI365" s="705"/>
      <c r="BJ365" s="705"/>
      <c r="BK365" s="705"/>
      <c r="BL365" s="705"/>
      <c r="BM365" s="705"/>
      <c r="BN365" s="705"/>
      <c r="BO365" s="705"/>
    </row>
    <row r="366" spans="1:67" s="706" customFormat="1" ht="10.55" customHeight="1" x14ac:dyDescent="0.2">
      <c r="A366" s="827" t="s">
        <v>495</v>
      </c>
      <c r="B366" s="367"/>
      <c r="C366" s="367"/>
      <c r="D366" s="373" t="s">
        <v>442</v>
      </c>
      <c r="E366" s="712">
        <f>IF(E365=0,0,E369+E370/(E365^(1/3)))</f>
        <v>0</v>
      </c>
      <c r="F366" s="721"/>
      <c r="G366" s="748"/>
      <c r="H366" s="741"/>
      <c r="I366" s="742"/>
      <c r="J366" s="743"/>
      <c r="K366" s="744"/>
      <c r="L366" s="745"/>
      <c r="M366" s="1036"/>
      <c r="N366" s="339"/>
      <c r="O366" s="702"/>
      <c r="P366" s="703"/>
      <c r="Q366" s="286"/>
      <c r="R366" s="287"/>
      <c r="S366" s="280"/>
      <c r="T366" s="280"/>
      <c r="U366" s="280"/>
      <c r="V366" s="280"/>
      <c r="W366" s="280"/>
      <c r="X366" s="280"/>
      <c r="Y366" s="280"/>
      <c r="Z366" s="280"/>
      <c r="AA366" s="280"/>
      <c r="AB366" s="280"/>
      <c r="AC366" s="280"/>
      <c r="AD366" s="280"/>
      <c r="AE366" s="280"/>
      <c r="AF366" s="704"/>
      <c r="AG366" s="704"/>
      <c r="AH366" s="704"/>
      <c r="AI366" s="705"/>
      <c r="AJ366" s="705"/>
      <c r="AK366" s="705"/>
      <c r="AL366" s="705"/>
      <c r="AM366" s="705"/>
      <c r="AN366" s="705"/>
      <c r="AO366" s="705"/>
      <c r="AP366" s="705"/>
      <c r="AQ366" s="705"/>
      <c r="AR366" s="705"/>
      <c r="AS366" s="705"/>
      <c r="AT366" s="705"/>
      <c r="AU366" s="705"/>
      <c r="AV366" s="705"/>
      <c r="AW366" s="705"/>
      <c r="AX366" s="705"/>
      <c r="AY366" s="705"/>
      <c r="AZ366" s="705"/>
      <c r="BA366" s="705"/>
      <c r="BB366" s="705"/>
      <c r="BC366" s="705"/>
      <c r="BD366" s="705"/>
      <c r="BE366" s="705"/>
      <c r="BF366" s="705"/>
      <c r="BG366" s="705"/>
      <c r="BH366" s="705"/>
      <c r="BI366" s="705"/>
      <c r="BJ366" s="705"/>
      <c r="BK366" s="705"/>
      <c r="BL366" s="705"/>
      <c r="BM366" s="705"/>
      <c r="BN366" s="705"/>
      <c r="BO366" s="705"/>
    </row>
    <row r="367" spans="1:67" s="706" customFormat="1" ht="10.55" customHeight="1" x14ac:dyDescent="0.2">
      <c r="A367" s="827" t="s">
        <v>443</v>
      </c>
      <c r="B367" s="367"/>
      <c r="C367" s="367"/>
      <c r="D367" s="373" t="s">
        <v>444</v>
      </c>
      <c r="E367" s="726">
        <v>0.9</v>
      </c>
      <c r="F367" s="721"/>
      <c r="G367" s="748"/>
      <c r="H367" s="741"/>
      <c r="I367" s="742"/>
      <c r="J367" s="743"/>
      <c r="K367" s="744"/>
      <c r="L367" s="745"/>
      <c r="M367" s="1036"/>
      <c r="N367" s="339"/>
      <c r="O367" s="702"/>
      <c r="P367" s="703"/>
      <c r="Q367" s="286"/>
      <c r="R367" s="287"/>
      <c r="S367" s="280"/>
      <c r="T367" s="280"/>
      <c r="U367" s="280"/>
      <c r="V367" s="280"/>
      <c r="W367" s="280"/>
      <c r="X367" s="280"/>
      <c r="Y367" s="280"/>
      <c r="Z367" s="280"/>
      <c r="AA367" s="280"/>
      <c r="AB367" s="280"/>
      <c r="AC367" s="280"/>
      <c r="AD367" s="280"/>
      <c r="AE367" s="280"/>
      <c r="AF367" s="704"/>
      <c r="AG367" s="704"/>
      <c r="AH367" s="704"/>
      <c r="AI367" s="705"/>
      <c r="AJ367" s="705"/>
      <c r="AK367" s="705"/>
      <c r="AL367" s="705"/>
      <c r="AM367" s="705"/>
      <c r="AN367" s="705"/>
      <c r="AO367" s="705"/>
      <c r="AP367" s="705"/>
      <c r="AQ367" s="705"/>
      <c r="AR367" s="705"/>
      <c r="AS367" s="705"/>
      <c r="AT367" s="705"/>
      <c r="AU367" s="705"/>
      <c r="AV367" s="705"/>
      <c r="AW367" s="705"/>
      <c r="AX367" s="705"/>
      <c r="AY367" s="705"/>
      <c r="AZ367" s="705"/>
      <c r="BA367" s="705"/>
      <c r="BB367" s="705"/>
      <c r="BC367" s="705"/>
      <c r="BD367" s="705"/>
      <c r="BE367" s="705"/>
      <c r="BF367" s="705"/>
      <c r="BG367" s="705"/>
      <c r="BH367" s="705"/>
      <c r="BI367" s="705"/>
      <c r="BJ367" s="705"/>
      <c r="BK367" s="705"/>
      <c r="BL367" s="705"/>
      <c r="BM367" s="705"/>
      <c r="BN367" s="705"/>
      <c r="BO367" s="705"/>
    </row>
    <row r="368" spans="1:67" s="706" customFormat="1" ht="10.55" customHeight="1" x14ac:dyDescent="0.2">
      <c r="A368" s="827" t="s">
        <v>500</v>
      </c>
      <c r="B368" s="367"/>
      <c r="C368" s="367"/>
      <c r="D368" s="373" t="s">
        <v>494</v>
      </c>
      <c r="E368" s="726">
        <v>1</v>
      </c>
      <c r="F368" s="721"/>
      <c r="G368" s="748"/>
      <c r="H368" s="741"/>
      <c r="I368" s="742"/>
      <c r="J368" s="743"/>
      <c r="K368" s="744"/>
      <c r="L368" s="745"/>
      <c r="M368" s="1036"/>
      <c r="N368" s="339"/>
      <c r="O368" s="702"/>
      <c r="P368" s="703"/>
      <c r="Q368" s="286"/>
      <c r="R368" s="287"/>
      <c r="S368" s="280"/>
      <c r="T368" s="280"/>
      <c r="U368" s="280"/>
      <c r="V368" s="280"/>
      <c r="W368" s="280"/>
      <c r="X368" s="280"/>
      <c r="Y368" s="280"/>
      <c r="Z368" s="280"/>
      <c r="AA368" s="280"/>
      <c r="AB368" s="280"/>
      <c r="AC368" s="280"/>
      <c r="AD368" s="280"/>
      <c r="AE368" s="280"/>
      <c r="AF368" s="704"/>
      <c r="AG368" s="704"/>
      <c r="AH368" s="704"/>
      <c r="AI368" s="705"/>
      <c r="AJ368" s="705"/>
      <c r="AK368" s="705"/>
      <c r="AL368" s="705"/>
      <c r="AM368" s="705"/>
      <c r="AN368" s="705"/>
      <c r="AO368" s="705"/>
      <c r="AP368" s="705"/>
      <c r="AQ368" s="705"/>
      <c r="AR368" s="705"/>
      <c r="AS368" s="705"/>
      <c r="AT368" s="705"/>
      <c r="AU368" s="705"/>
      <c r="AV368" s="705"/>
      <c r="AW368" s="705"/>
      <c r="AX368" s="705"/>
      <c r="AY368" s="705"/>
      <c r="AZ368" s="705"/>
      <c r="BA368" s="705"/>
      <c r="BB368" s="705"/>
      <c r="BC368" s="705"/>
      <c r="BD368" s="705"/>
      <c r="BE368" s="705"/>
      <c r="BF368" s="705"/>
      <c r="BG368" s="705"/>
      <c r="BH368" s="705"/>
      <c r="BI368" s="705"/>
      <c r="BJ368" s="705"/>
      <c r="BK368" s="705"/>
      <c r="BL368" s="705"/>
      <c r="BM368" s="705"/>
      <c r="BN368" s="705"/>
      <c r="BO368" s="705"/>
    </row>
    <row r="369" spans="1:67" s="706" customFormat="1" ht="10.55" customHeight="1" x14ac:dyDescent="0.2">
      <c r="A369" s="827" t="s">
        <v>501</v>
      </c>
      <c r="B369" s="2823" t="s">
        <v>837</v>
      </c>
      <c r="C369" s="2823"/>
      <c r="D369" s="373" t="s">
        <v>492</v>
      </c>
      <c r="E369" s="727">
        <v>6.6000000000000003E-2</v>
      </c>
      <c r="F369" s="721"/>
      <c r="G369" s="2824"/>
      <c r="H369" s="2825"/>
      <c r="I369" s="742"/>
      <c r="J369" s="743"/>
      <c r="K369" s="744"/>
      <c r="L369" s="745"/>
      <c r="M369" s="1036"/>
      <c r="N369" s="339"/>
      <c r="O369" s="702"/>
      <c r="P369" s="703"/>
      <c r="Q369" s="286"/>
      <c r="R369" s="287"/>
      <c r="S369" s="280"/>
      <c r="T369" s="280"/>
      <c r="U369" s="280"/>
      <c r="V369" s="280"/>
      <c r="W369" s="280"/>
      <c r="X369" s="280"/>
      <c r="Y369" s="280"/>
      <c r="Z369" s="280"/>
      <c r="AA369" s="280"/>
      <c r="AB369" s="280"/>
      <c r="AC369" s="280"/>
      <c r="AD369" s="280"/>
      <c r="AE369" s="280"/>
      <c r="AF369" s="704"/>
      <c r="AG369" s="704"/>
      <c r="AH369" s="704"/>
      <c r="AI369" s="705"/>
      <c r="AJ369" s="705"/>
      <c r="AK369" s="705"/>
      <c r="AL369" s="705"/>
      <c r="AM369" s="705"/>
      <c r="AN369" s="705"/>
      <c r="AO369" s="705"/>
      <c r="AP369" s="705"/>
      <c r="AQ369" s="705"/>
      <c r="AR369" s="705"/>
      <c r="AS369" s="705"/>
      <c r="AT369" s="705"/>
      <c r="AU369" s="705"/>
      <c r="AV369" s="705"/>
      <c r="AW369" s="705"/>
      <c r="AX369" s="705"/>
      <c r="AY369" s="705"/>
      <c r="AZ369" s="705"/>
      <c r="BA369" s="705"/>
      <c r="BB369" s="705"/>
      <c r="BC369" s="705"/>
      <c r="BD369" s="705"/>
      <c r="BE369" s="705"/>
      <c r="BF369" s="705"/>
      <c r="BG369" s="705"/>
      <c r="BH369" s="705"/>
      <c r="BI369" s="705"/>
      <c r="BJ369" s="705"/>
      <c r="BK369" s="705"/>
      <c r="BL369" s="705"/>
      <c r="BM369" s="705"/>
      <c r="BN369" s="705"/>
      <c r="BO369" s="705"/>
    </row>
    <row r="370" spans="1:67" s="706" customFormat="1" ht="10.55" customHeight="1" x14ac:dyDescent="0.2">
      <c r="A370" s="827" t="s">
        <v>502</v>
      </c>
      <c r="B370" s="2823" t="s">
        <v>837</v>
      </c>
      <c r="C370" s="2823"/>
      <c r="D370" s="373" t="s">
        <v>493</v>
      </c>
      <c r="E370" s="727">
        <v>11.28</v>
      </c>
      <c r="F370" s="721"/>
      <c r="G370" s="2824"/>
      <c r="H370" s="2825"/>
      <c r="I370" s="742"/>
      <c r="J370" s="743"/>
      <c r="K370" s="744"/>
      <c r="L370" s="745"/>
      <c r="M370" s="1036"/>
      <c r="N370" s="339"/>
      <c r="O370" s="702"/>
      <c r="P370" s="703"/>
      <c r="Q370" s="286"/>
      <c r="R370" s="287"/>
      <c r="S370" s="280"/>
      <c r="T370" s="280"/>
      <c r="U370" s="280"/>
      <c r="V370" s="280"/>
      <c r="W370" s="280"/>
      <c r="X370" s="280"/>
      <c r="Y370" s="280"/>
      <c r="Z370" s="280"/>
      <c r="AA370" s="280"/>
      <c r="AB370" s="280"/>
      <c r="AC370" s="280"/>
      <c r="AD370" s="280"/>
      <c r="AE370" s="280"/>
      <c r="AF370" s="704"/>
      <c r="AG370" s="704"/>
      <c r="AH370" s="704"/>
      <c r="AI370" s="705"/>
      <c r="AJ370" s="705"/>
      <c r="AK370" s="705"/>
      <c r="AL370" s="705"/>
      <c r="AM370" s="705"/>
      <c r="AN370" s="705"/>
      <c r="AO370" s="705"/>
      <c r="AP370" s="705"/>
      <c r="AQ370" s="705"/>
      <c r="AR370" s="705"/>
      <c r="AS370" s="705"/>
      <c r="AT370" s="705"/>
      <c r="AU370" s="705"/>
      <c r="AV370" s="705"/>
      <c r="AW370" s="705"/>
      <c r="AX370" s="705"/>
      <c r="AY370" s="705"/>
      <c r="AZ370" s="705"/>
      <c r="BA370" s="705"/>
      <c r="BB370" s="705"/>
      <c r="BC370" s="705"/>
      <c r="BD370" s="705"/>
      <c r="BE370" s="705"/>
      <c r="BF370" s="705"/>
      <c r="BG370" s="705"/>
      <c r="BH370" s="705"/>
      <c r="BI370" s="705"/>
      <c r="BJ370" s="705"/>
      <c r="BK370" s="705"/>
      <c r="BL370" s="705"/>
      <c r="BM370" s="705"/>
      <c r="BN370" s="705"/>
      <c r="BO370" s="705"/>
    </row>
    <row r="371" spans="1:67" s="706" customFormat="1" ht="10.55" customHeight="1" x14ac:dyDescent="0.2">
      <c r="A371" s="827" t="s">
        <v>498</v>
      </c>
      <c r="B371" s="367"/>
      <c r="C371" s="367"/>
      <c r="D371" s="373" t="s">
        <v>499</v>
      </c>
      <c r="E371" s="727">
        <v>100</v>
      </c>
      <c r="F371" s="1037"/>
      <c r="G371" s="1038"/>
      <c r="H371" s="1039"/>
      <c r="I371" s="742"/>
      <c r="J371" s="743"/>
      <c r="K371" s="744"/>
      <c r="L371" s="745"/>
      <c r="M371" s="1036"/>
      <c r="N371" s="339"/>
      <c r="O371" s="702"/>
      <c r="P371" s="703"/>
      <c r="Q371" s="286"/>
      <c r="R371" s="287"/>
      <c r="S371" s="280"/>
      <c r="T371" s="280"/>
      <c r="U371" s="280"/>
      <c r="V371" s="280"/>
      <c r="W371" s="280"/>
      <c r="X371" s="280"/>
      <c r="Y371" s="280"/>
      <c r="Z371" s="280"/>
      <c r="AA371" s="280"/>
      <c r="AB371" s="280"/>
      <c r="AC371" s="280"/>
      <c r="AD371" s="280"/>
      <c r="AE371" s="280"/>
      <c r="AF371" s="704"/>
      <c r="AG371" s="704"/>
      <c r="AH371" s="704"/>
      <c r="AI371" s="705"/>
      <c r="AJ371" s="705"/>
      <c r="AK371" s="705"/>
      <c r="AL371" s="705"/>
      <c r="AM371" s="705"/>
      <c r="AN371" s="705"/>
      <c r="AO371" s="705"/>
      <c r="AP371" s="705"/>
      <c r="AQ371" s="705"/>
      <c r="AR371" s="705"/>
      <c r="AS371" s="705"/>
      <c r="AT371" s="705"/>
      <c r="AU371" s="705"/>
      <c r="AV371" s="705"/>
      <c r="AW371" s="705"/>
      <c r="AX371" s="705"/>
      <c r="AY371" s="705"/>
      <c r="AZ371" s="705"/>
      <c r="BA371" s="705"/>
      <c r="BB371" s="705"/>
      <c r="BC371" s="705"/>
      <c r="BD371" s="705"/>
      <c r="BE371" s="705"/>
      <c r="BF371" s="705"/>
      <c r="BG371" s="705"/>
      <c r="BH371" s="705"/>
      <c r="BI371" s="705"/>
      <c r="BJ371" s="705"/>
      <c r="BK371" s="705"/>
      <c r="BL371" s="705"/>
      <c r="BM371" s="705"/>
      <c r="BN371" s="705"/>
      <c r="BO371" s="705"/>
    </row>
    <row r="372" spans="1:67" s="706" customFormat="1" ht="10.55" customHeight="1" x14ac:dyDescent="0.2">
      <c r="A372" s="827" t="s">
        <v>496</v>
      </c>
      <c r="B372" s="367"/>
      <c r="C372" s="367"/>
      <c r="D372" s="373" t="s">
        <v>497</v>
      </c>
      <c r="E372" s="726">
        <v>1</v>
      </c>
      <c r="F372" s="1040"/>
      <c r="G372" s="1038"/>
      <c r="H372" s="1039"/>
      <c r="I372" s="742"/>
      <c r="J372" s="743"/>
      <c r="K372" s="744"/>
      <c r="L372" s="745"/>
      <c r="M372" s="1036"/>
      <c r="N372" s="339"/>
      <c r="O372" s="702"/>
      <c r="P372" s="703"/>
      <c r="Q372" s="286"/>
      <c r="R372" s="287"/>
      <c r="S372" s="280"/>
      <c r="T372" s="280"/>
      <c r="U372" s="280"/>
      <c r="V372" s="280"/>
      <c r="W372" s="280"/>
      <c r="X372" s="280"/>
      <c r="Y372" s="280"/>
      <c r="Z372" s="280"/>
      <c r="AA372" s="280"/>
      <c r="AB372" s="280"/>
      <c r="AC372" s="280"/>
      <c r="AD372" s="280"/>
      <c r="AE372" s="280"/>
      <c r="AF372" s="704"/>
      <c r="AG372" s="704"/>
      <c r="AH372" s="704"/>
      <c r="AI372" s="705"/>
      <c r="AJ372" s="705"/>
      <c r="AK372" s="705"/>
      <c r="AL372" s="705"/>
      <c r="AM372" s="705"/>
      <c r="AN372" s="705"/>
      <c r="AO372" s="705"/>
      <c r="AP372" s="705"/>
      <c r="AQ372" s="705"/>
      <c r="AR372" s="705"/>
      <c r="AS372" s="705"/>
      <c r="AT372" s="705"/>
      <c r="AU372" s="705"/>
      <c r="AV372" s="705"/>
      <c r="AW372" s="705"/>
      <c r="AX372" s="705"/>
      <c r="AY372" s="705"/>
      <c r="AZ372" s="705"/>
      <c r="BA372" s="705"/>
      <c r="BB372" s="705"/>
      <c r="BC372" s="705"/>
      <c r="BD372" s="705"/>
      <c r="BE372" s="705"/>
      <c r="BF372" s="705"/>
      <c r="BG372" s="705"/>
      <c r="BH372" s="705"/>
      <c r="BI372" s="705"/>
      <c r="BJ372" s="705"/>
      <c r="BK372" s="705"/>
      <c r="BL372" s="705"/>
      <c r="BM372" s="705"/>
      <c r="BN372" s="705"/>
      <c r="BO372" s="705"/>
    </row>
    <row r="373" spans="1:67" s="706" customFormat="1" ht="10.55" customHeight="1" x14ac:dyDescent="0.2">
      <c r="A373" s="827" t="s">
        <v>503</v>
      </c>
      <c r="B373" s="367"/>
      <c r="C373" s="367"/>
      <c r="D373" s="373" t="s">
        <v>505</v>
      </c>
      <c r="E373" s="726">
        <v>1</v>
      </c>
      <c r="F373" s="1040"/>
      <c r="G373" s="1038"/>
      <c r="H373" s="1039"/>
      <c r="I373" s="742"/>
      <c r="J373" s="743"/>
      <c r="K373" s="744"/>
      <c r="L373" s="745"/>
      <c r="M373" s="1036"/>
      <c r="N373" s="339"/>
      <c r="O373" s="702"/>
      <c r="P373" s="703"/>
      <c r="Q373" s="286"/>
      <c r="R373" s="287"/>
      <c r="S373" s="280"/>
      <c r="T373" s="280"/>
      <c r="U373" s="280"/>
      <c r="V373" s="280"/>
      <c r="W373" s="280"/>
      <c r="X373" s="280"/>
      <c r="Y373" s="280"/>
      <c r="Z373" s="280"/>
      <c r="AA373" s="280"/>
      <c r="AB373" s="280"/>
      <c r="AC373" s="280"/>
      <c r="AD373" s="280"/>
      <c r="AE373" s="280"/>
      <c r="AF373" s="704"/>
      <c r="AG373" s="704"/>
      <c r="AH373" s="704"/>
      <c r="AI373" s="705"/>
      <c r="AJ373" s="705"/>
      <c r="AK373" s="705"/>
      <c r="AL373" s="705"/>
      <c r="AM373" s="705"/>
      <c r="AN373" s="705"/>
      <c r="AO373" s="705"/>
      <c r="AP373" s="705"/>
      <c r="AQ373" s="705"/>
      <c r="AR373" s="705"/>
      <c r="AS373" s="705"/>
      <c r="AT373" s="705"/>
      <c r="AU373" s="705"/>
      <c r="AV373" s="705"/>
      <c r="AW373" s="705"/>
      <c r="AX373" s="705"/>
      <c r="AY373" s="705"/>
      <c r="AZ373" s="705"/>
      <c r="BA373" s="705"/>
      <c r="BB373" s="705"/>
      <c r="BC373" s="705"/>
      <c r="BD373" s="705"/>
      <c r="BE373" s="705"/>
      <c r="BF373" s="705"/>
      <c r="BG373" s="705"/>
      <c r="BH373" s="705"/>
      <c r="BI373" s="705"/>
      <c r="BJ373" s="705"/>
      <c r="BK373" s="705"/>
      <c r="BL373" s="705"/>
      <c r="BM373" s="705"/>
      <c r="BN373" s="705"/>
      <c r="BO373" s="705"/>
    </row>
    <row r="374" spans="1:67" s="706" customFormat="1" ht="10.55" customHeight="1" x14ac:dyDescent="0.2">
      <c r="A374" s="827" t="s">
        <v>504</v>
      </c>
      <c r="B374" s="367"/>
      <c r="C374" s="367"/>
      <c r="D374" s="373" t="s">
        <v>506</v>
      </c>
      <c r="E374" s="728">
        <v>150</v>
      </c>
      <c r="F374" s="1040"/>
      <c r="G374" s="1038"/>
      <c r="H374" s="1039"/>
      <c r="I374" s="742"/>
      <c r="J374" s="743"/>
      <c r="K374" s="744"/>
      <c r="L374" s="745"/>
      <c r="M374" s="1036"/>
      <c r="N374" s="339"/>
      <c r="O374" s="702"/>
      <c r="P374" s="703"/>
      <c r="Q374" s="286"/>
      <c r="R374" s="287"/>
      <c r="S374" s="280"/>
      <c r="T374" s="280"/>
      <c r="U374" s="280"/>
      <c r="V374" s="280"/>
      <c r="W374" s="280"/>
      <c r="X374" s="280"/>
      <c r="Y374" s="280"/>
      <c r="Z374" s="280"/>
      <c r="AA374" s="280"/>
      <c r="AB374" s="280"/>
      <c r="AC374" s="280"/>
      <c r="AD374" s="280"/>
      <c r="AE374" s="280"/>
      <c r="AF374" s="704"/>
      <c r="AG374" s="704"/>
      <c r="AH374" s="704"/>
      <c r="AI374" s="705"/>
      <c r="AJ374" s="705"/>
      <c r="AK374" s="705"/>
      <c r="AL374" s="705"/>
      <c r="AM374" s="705"/>
      <c r="AN374" s="705"/>
      <c r="AO374" s="705"/>
      <c r="AP374" s="705"/>
      <c r="AQ374" s="705"/>
      <c r="AR374" s="705"/>
      <c r="AS374" s="705"/>
      <c r="AT374" s="705"/>
      <c r="AU374" s="705"/>
      <c r="AV374" s="705"/>
      <c r="AW374" s="705"/>
      <c r="AX374" s="705"/>
      <c r="AY374" s="705"/>
      <c r="AZ374" s="705"/>
      <c r="BA374" s="705"/>
      <c r="BB374" s="705"/>
      <c r="BC374" s="705"/>
      <c r="BD374" s="705"/>
      <c r="BE374" s="705"/>
      <c r="BF374" s="705"/>
      <c r="BG374" s="705"/>
      <c r="BH374" s="705"/>
      <c r="BI374" s="705"/>
      <c r="BJ374" s="705"/>
      <c r="BK374" s="705"/>
      <c r="BL374" s="705"/>
      <c r="BM374" s="705"/>
      <c r="BN374" s="705"/>
      <c r="BO374" s="705"/>
    </row>
    <row r="375" spans="1:67" s="706" customFormat="1" ht="10.55" customHeight="1" x14ac:dyDescent="0.2">
      <c r="A375" s="828" t="s">
        <v>507</v>
      </c>
      <c r="B375" s="370"/>
      <c r="C375" s="370"/>
      <c r="D375" s="715"/>
      <c r="E375" s="2810">
        <f>E365*E366/100*E367*E371/100*E368*E372*E373*E374</f>
        <v>0</v>
      </c>
      <c r="F375" s="2811"/>
      <c r="G375" s="1041"/>
      <c r="H375" s="1042"/>
      <c r="I375" s="736"/>
      <c r="J375" s="737"/>
      <c r="K375" s="738"/>
      <c r="L375" s="739"/>
      <c r="M375" s="1035"/>
      <c r="N375" s="339"/>
      <c r="O375" s="702"/>
      <c r="P375" s="703"/>
      <c r="Q375" s="286"/>
      <c r="R375" s="287"/>
      <c r="S375" s="280"/>
      <c r="T375" s="280"/>
      <c r="U375" s="280"/>
      <c r="V375" s="280"/>
      <c r="W375" s="280"/>
      <c r="X375" s="280"/>
      <c r="Y375" s="280"/>
      <c r="Z375" s="280"/>
      <c r="AA375" s="280"/>
      <c r="AB375" s="280"/>
      <c r="AC375" s="280"/>
      <c r="AD375" s="280"/>
      <c r="AE375" s="280"/>
      <c r="AF375" s="704"/>
      <c r="AG375" s="704"/>
      <c r="AH375" s="704"/>
      <c r="AI375" s="705"/>
      <c r="AJ375" s="705"/>
      <c r="AK375" s="705"/>
      <c r="AL375" s="705"/>
      <c r="AM375" s="705"/>
      <c r="AN375" s="705"/>
      <c r="AO375" s="705"/>
      <c r="AP375" s="705"/>
      <c r="AQ375" s="705"/>
      <c r="AR375" s="705"/>
      <c r="AS375" s="705"/>
      <c r="AT375" s="705"/>
      <c r="AU375" s="705"/>
      <c r="AV375" s="705"/>
      <c r="AW375" s="705"/>
      <c r="AX375" s="705"/>
      <c r="AY375" s="705"/>
      <c r="AZ375" s="705"/>
      <c r="BA375" s="705"/>
      <c r="BB375" s="705"/>
      <c r="BC375" s="705"/>
      <c r="BD375" s="705"/>
      <c r="BE375" s="705"/>
      <c r="BF375" s="705"/>
      <c r="BG375" s="705"/>
      <c r="BH375" s="705"/>
      <c r="BI375" s="705"/>
      <c r="BJ375" s="705"/>
      <c r="BK375" s="705"/>
      <c r="BL375" s="705"/>
      <c r="BM375" s="705"/>
      <c r="BN375" s="705"/>
      <c r="BO375" s="705"/>
    </row>
    <row r="376" spans="1:67" s="706" customFormat="1" ht="10.55" customHeight="1" x14ac:dyDescent="0.2">
      <c r="A376" s="827"/>
      <c r="B376" s="367"/>
      <c r="C376" s="367"/>
      <c r="D376" s="377"/>
      <c r="E376" s="716"/>
      <c r="F376" s="722"/>
      <c r="G376" s="740"/>
      <c r="H376" s="741"/>
      <c r="I376" s="742"/>
      <c r="J376" s="743"/>
      <c r="K376" s="744"/>
      <c r="L376" s="745"/>
      <c r="M376" s="1036"/>
      <c r="N376" s="339"/>
      <c r="O376" s="702"/>
      <c r="P376" s="703"/>
      <c r="Q376" s="286"/>
      <c r="R376" s="287"/>
      <c r="S376" s="280"/>
      <c r="T376" s="280"/>
      <c r="U376" s="280"/>
      <c r="V376" s="280"/>
      <c r="W376" s="280"/>
      <c r="X376" s="280"/>
      <c r="Y376" s="280"/>
      <c r="Z376" s="280"/>
      <c r="AA376" s="280"/>
      <c r="AB376" s="280"/>
      <c r="AC376" s="280"/>
      <c r="AD376" s="280"/>
      <c r="AE376" s="280"/>
      <c r="AF376" s="704"/>
      <c r="AG376" s="704"/>
      <c r="AH376" s="704"/>
      <c r="AI376" s="705"/>
      <c r="AJ376" s="705"/>
      <c r="AK376" s="705"/>
      <c r="AL376" s="705"/>
      <c r="AM376" s="705"/>
      <c r="AN376" s="705"/>
      <c r="AO376" s="705"/>
      <c r="AP376" s="705"/>
      <c r="AQ376" s="705"/>
      <c r="AR376" s="705"/>
      <c r="AS376" s="705"/>
      <c r="AT376" s="705"/>
      <c r="AU376" s="705"/>
      <c r="AV376" s="705"/>
      <c r="AW376" s="705"/>
      <c r="AX376" s="705"/>
      <c r="AY376" s="705"/>
      <c r="AZ376" s="705"/>
      <c r="BA376" s="705"/>
      <c r="BB376" s="705"/>
      <c r="BC376" s="705"/>
      <c r="BD376" s="705"/>
      <c r="BE376" s="705"/>
      <c r="BF376" s="705"/>
      <c r="BG376" s="705"/>
      <c r="BH376" s="705"/>
      <c r="BI376" s="705"/>
      <c r="BJ376" s="705"/>
      <c r="BK376" s="705"/>
      <c r="BL376" s="705"/>
      <c r="BM376" s="705"/>
      <c r="BN376" s="705"/>
      <c r="BO376" s="705"/>
    </row>
    <row r="377" spans="1:67" s="706" customFormat="1" ht="10.55" customHeight="1" x14ac:dyDescent="0.2">
      <c r="A377" s="826" t="s">
        <v>445</v>
      </c>
      <c r="B377" s="378"/>
      <c r="C377" s="378"/>
      <c r="D377" s="377"/>
      <c r="E377" s="372"/>
      <c r="F377" s="720"/>
      <c r="G377" s="740"/>
      <c r="H377" s="741"/>
      <c r="I377" s="742"/>
      <c r="J377" s="743"/>
      <c r="K377" s="744"/>
      <c r="L377" s="745"/>
      <c r="M377" s="1036"/>
      <c r="N377" s="339"/>
      <c r="O377" s="702"/>
      <c r="P377" s="703"/>
      <c r="Q377" s="286"/>
      <c r="R377" s="287"/>
      <c r="S377" s="280"/>
      <c r="T377" s="280"/>
      <c r="U377" s="280"/>
      <c r="V377" s="280"/>
      <c r="W377" s="280"/>
      <c r="X377" s="280"/>
      <c r="Y377" s="280"/>
      <c r="Z377" s="280"/>
      <c r="AA377" s="280"/>
      <c r="AB377" s="280"/>
      <c r="AC377" s="280"/>
      <c r="AD377" s="280"/>
      <c r="AE377" s="280"/>
      <c r="AF377" s="704"/>
      <c r="AG377" s="704"/>
      <c r="AH377" s="704"/>
      <c r="AI377" s="705"/>
      <c r="AJ377" s="705"/>
      <c r="AK377" s="705"/>
      <c r="AL377" s="705"/>
      <c r="AM377" s="705"/>
      <c r="AN377" s="705"/>
      <c r="AO377" s="705"/>
      <c r="AP377" s="705"/>
      <c r="AQ377" s="705"/>
      <c r="AR377" s="705"/>
      <c r="AS377" s="705"/>
      <c r="AT377" s="705"/>
      <c r="AU377" s="705"/>
      <c r="AV377" s="705"/>
      <c r="AW377" s="705"/>
      <c r="AX377" s="705"/>
      <c r="AY377" s="705"/>
      <c r="AZ377" s="705"/>
      <c r="BA377" s="705"/>
      <c r="BB377" s="705"/>
      <c r="BC377" s="705"/>
      <c r="BD377" s="705"/>
      <c r="BE377" s="705"/>
      <c r="BF377" s="705"/>
      <c r="BG377" s="705"/>
      <c r="BH377" s="705"/>
      <c r="BI377" s="705"/>
      <c r="BJ377" s="705"/>
      <c r="BK377" s="705"/>
      <c r="BL377" s="705"/>
      <c r="BM377" s="705"/>
      <c r="BN377" s="705"/>
      <c r="BO377" s="705"/>
    </row>
    <row r="378" spans="1:67" s="706" customFormat="1" ht="10.55" customHeight="1" x14ac:dyDescent="0.2">
      <c r="A378" s="827" t="s">
        <v>440</v>
      </c>
      <c r="B378" s="367"/>
      <c r="C378" s="367"/>
      <c r="D378" s="373" t="s">
        <v>441</v>
      </c>
      <c r="E378" s="2821">
        <f>SUM(E44,E196,E211,E226,E286)</f>
        <v>0</v>
      </c>
      <c r="F378" s="2822"/>
      <c r="G378" s="746"/>
      <c r="H378" s="747"/>
      <c r="I378" s="742"/>
      <c r="J378" s="743"/>
      <c r="K378" s="744"/>
      <c r="L378" s="745"/>
      <c r="M378" s="1036"/>
      <c r="N378" s="339"/>
      <c r="O378" s="702"/>
      <c r="P378" s="703"/>
      <c r="Q378" s="286"/>
      <c r="R378" s="287"/>
      <c r="S378" s="280"/>
      <c r="T378" s="280"/>
      <c r="U378" s="280"/>
      <c r="V378" s="280"/>
      <c r="W378" s="280"/>
      <c r="X378" s="280"/>
      <c r="Y378" s="280"/>
      <c r="Z378" s="280"/>
      <c r="AA378" s="280"/>
      <c r="AB378" s="280"/>
      <c r="AC378" s="280"/>
      <c r="AD378" s="280"/>
      <c r="AE378" s="280"/>
      <c r="AF378" s="704"/>
      <c r="AG378" s="704"/>
      <c r="AH378" s="704"/>
      <c r="AI378" s="705"/>
      <c r="AJ378" s="705"/>
      <c r="AK378" s="705"/>
      <c r="AL378" s="705"/>
      <c r="AM378" s="705"/>
      <c r="AN378" s="705"/>
      <c r="AO378" s="705"/>
      <c r="AP378" s="705"/>
      <c r="AQ378" s="705"/>
      <c r="AR378" s="705"/>
      <c r="AS378" s="705"/>
      <c r="AT378" s="705"/>
      <c r="AU378" s="705"/>
      <c r="AV378" s="705"/>
      <c r="AW378" s="705"/>
      <c r="AX378" s="705"/>
      <c r="AY378" s="705"/>
      <c r="AZ378" s="705"/>
      <c r="BA378" s="705"/>
      <c r="BB378" s="705"/>
      <c r="BC378" s="705"/>
      <c r="BD378" s="705"/>
      <c r="BE378" s="705"/>
      <c r="BF378" s="705"/>
      <c r="BG378" s="705"/>
      <c r="BH378" s="705"/>
      <c r="BI378" s="705"/>
      <c r="BJ378" s="705"/>
      <c r="BK378" s="705"/>
      <c r="BL378" s="705"/>
      <c r="BM378" s="705"/>
      <c r="BN378" s="705"/>
      <c r="BO378" s="705"/>
    </row>
    <row r="379" spans="1:67" s="706" customFormat="1" ht="10.55" customHeight="1" x14ac:dyDescent="0.2">
      <c r="A379" s="827" t="s">
        <v>495</v>
      </c>
      <c r="B379" s="367"/>
      <c r="C379" s="367"/>
      <c r="D379" s="373" t="s">
        <v>442</v>
      </c>
      <c r="E379" s="712">
        <f>IF(E378=0,0,E382+E383/(E378^(1/3)))</f>
        <v>0</v>
      </c>
      <c r="F379" s="721"/>
      <c r="G379" s="748"/>
      <c r="H379" s="741"/>
      <c r="I379" s="742"/>
      <c r="J379" s="743"/>
      <c r="K379" s="744"/>
      <c r="L379" s="745"/>
      <c r="M379" s="1036"/>
      <c r="N379" s="339"/>
      <c r="O379" s="702"/>
      <c r="P379" s="703"/>
      <c r="Q379" s="286"/>
      <c r="R379" s="287"/>
      <c r="S379" s="280"/>
      <c r="T379" s="280"/>
      <c r="U379" s="280"/>
      <c r="V379" s="280"/>
      <c r="W379" s="280"/>
      <c r="X379" s="280"/>
      <c r="Y379" s="280"/>
      <c r="Z379" s="280"/>
      <c r="AA379" s="280"/>
      <c r="AB379" s="280"/>
      <c r="AC379" s="280"/>
      <c r="AD379" s="280"/>
      <c r="AE379" s="280"/>
      <c r="AF379" s="704"/>
      <c r="AG379" s="704"/>
      <c r="AH379" s="704"/>
      <c r="AI379" s="705"/>
      <c r="AJ379" s="705"/>
      <c r="AK379" s="705"/>
      <c r="AL379" s="705"/>
      <c r="AM379" s="705"/>
      <c r="AN379" s="705"/>
      <c r="AO379" s="705"/>
      <c r="AP379" s="705"/>
      <c r="AQ379" s="705"/>
      <c r="AR379" s="705"/>
      <c r="AS379" s="705"/>
      <c r="AT379" s="705"/>
      <c r="AU379" s="705"/>
      <c r="AV379" s="705"/>
      <c r="AW379" s="705"/>
      <c r="AX379" s="705"/>
      <c r="AY379" s="705"/>
      <c r="AZ379" s="705"/>
      <c r="BA379" s="705"/>
      <c r="BB379" s="705"/>
      <c r="BC379" s="705"/>
      <c r="BD379" s="705"/>
      <c r="BE379" s="705"/>
      <c r="BF379" s="705"/>
      <c r="BG379" s="705"/>
      <c r="BH379" s="705"/>
      <c r="BI379" s="705"/>
      <c r="BJ379" s="705"/>
      <c r="BK379" s="705"/>
      <c r="BL379" s="705"/>
      <c r="BM379" s="705"/>
      <c r="BN379" s="705"/>
      <c r="BO379" s="705"/>
    </row>
    <row r="380" spans="1:67" s="706" customFormat="1" ht="10.55" customHeight="1" x14ac:dyDescent="0.2">
      <c r="A380" s="827" t="s">
        <v>443</v>
      </c>
      <c r="B380" s="367"/>
      <c r="C380" s="367"/>
      <c r="D380" s="373" t="s">
        <v>444</v>
      </c>
      <c r="E380" s="375">
        <v>0.9</v>
      </c>
      <c r="F380" s="721"/>
      <c r="G380" s="748"/>
      <c r="H380" s="741"/>
      <c r="I380" s="742"/>
      <c r="J380" s="743"/>
      <c r="K380" s="744"/>
      <c r="L380" s="745"/>
      <c r="M380" s="1036"/>
      <c r="N380" s="339"/>
      <c r="O380" s="702"/>
      <c r="P380" s="703"/>
      <c r="Q380" s="286"/>
      <c r="R380" s="287"/>
      <c r="S380" s="280"/>
      <c r="T380" s="280"/>
      <c r="U380" s="280"/>
      <c r="V380" s="280"/>
      <c r="W380" s="280"/>
      <c r="X380" s="280"/>
      <c r="Y380" s="280"/>
      <c r="Z380" s="280"/>
      <c r="AA380" s="280"/>
      <c r="AB380" s="280"/>
      <c r="AC380" s="280"/>
      <c r="AD380" s="280"/>
      <c r="AE380" s="280"/>
      <c r="AF380" s="704"/>
      <c r="AG380" s="704"/>
      <c r="AH380" s="704"/>
      <c r="AI380" s="705"/>
      <c r="AJ380" s="705"/>
      <c r="AK380" s="705"/>
      <c r="AL380" s="705"/>
      <c r="AM380" s="705"/>
      <c r="AN380" s="705"/>
      <c r="AO380" s="705"/>
      <c r="AP380" s="705"/>
      <c r="AQ380" s="705"/>
      <c r="AR380" s="705"/>
      <c r="AS380" s="705"/>
      <c r="AT380" s="705"/>
      <c r="AU380" s="705"/>
      <c r="AV380" s="705"/>
      <c r="AW380" s="705"/>
      <c r="AX380" s="705"/>
      <c r="AY380" s="705"/>
      <c r="AZ380" s="705"/>
      <c r="BA380" s="705"/>
      <c r="BB380" s="705"/>
      <c r="BC380" s="705"/>
      <c r="BD380" s="705"/>
      <c r="BE380" s="705"/>
      <c r="BF380" s="705"/>
      <c r="BG380" s="705"/>
      <c r="BH380" s="705"/>
      <c r="BI380" s="705"/>
      <c r="BJ380" s="705"/>
      <c r="BK380" s="705"/>
      <c r="BL380" s="705"/>
      <c r="BM380" s="705"/>
      <c r="BN380" s="705"/>
      <c r="BO380" s="705"/>
    </row>
    <row r="381" spans="1:67" s="706" customFormat="1" ht="10.55" customHeight="1" x14ac:dyDescent="0.2">
      <c r="A381" s="827" t="s">
        <v>500</v>
      </c>
      <c r="B381" s="367"/>
      <c r="C381" s="367"/>
      <c r="D381" s="373" t="s">
        <v>494</v>
      </c>
      <c r="E381" s="375">
        <v>1</v>
      </c>
      <c r="F381" s="721"/>
      <c r="G381" s="748"/>
      <c r="H381" s="741"/>
      <c r="I381" s="742"/>
      <c r="J381" s="743"/>
      <c r="K381" s="744"/>
      <c r="L381" s="745"/>
      <c r="M381" s="1036"/>
      <c r="N381" s="339"/>
      <c r="O381" s="702"/>
      <c r="P381" s="703"/>
      <c r="Q381" s="286"/>
      <c r="R381" s="287"/>
      <c r="S381" s="280"/>
      <c r="T381" s="280"/>
      <c r="U381" s="280"/>
      <c r="V381" s="280"/>
      <c r="W381" s="280"/>
      <c r="X381" s="280"/>
      <c r="Y381" s="280"/>
      <c r="Z381" s="280"/>
      <c r="AA381" s="280"/>
      <c r="AB381" s="280"/>
      <c r="AC381" s="280"/>
      <c r="AD381" s="280"/>
      <c r="AE381" s="280"/>
      <c r="AF381" s="704"/>
      <c r="AG381" s="704"/>
      <c r="AH381" s="704"/>
      <c r="AI381" s="705"/>
      <c r="AJ381" s="705"/>
      <c r="AK381" s="705"/>
      <c r="AL381" s="705"/>
      <c r="AM381" s="705"/>
      <c r="AN381" s="705"/>
      <c r="AO381" s="705"/>
      <c r="AP381" s="705"/>
      <c r="AQ381" s="705"/>
      <c r="AR381" s="705"/>
      <c r="AS381" s="705"/>
      <c r="AT381" s="705"/>
      <c r="AU381" s="705"/>
      <c r="AV381" s="705"/>
      <c r="AW381" s="705"/>
      <c r="AX381" s="705"/>
      <c r="AY381" s="705"/>
      <c r="AZ381" s="705"/>
      <c r="BA381" s="705"/>
      <c r="BB381" s="705"/>
      <c r="BC381" s="705"/>
      <c r="BD381" s="705"/>
      <c r="BE381" s="705"/>
      <c r="BF381" s="705"/>
      <c r="BG381" s="705"/>
      <c r="BH381" s="705"/>
      <c r="BI381" s="705"/>
      <c r="BJ381" s="705"/>
      <c r="BK381" s="705"/>
      <c r="BL381" s="705"/>
      <c r="BM381" s="705"/>
      <c r="BN381" s="705"/>
      <c r="BO381" s="705"/>
    </row>
    <row r="382" spans="1:67" s="706" customFormat="1" ht="10.55" customHeight="1" x14ac:dyDescent="0.2">
      <c r="A382" s="827" t="s">
        <v>501</v>
      </c>
      <c r="B382" s="2823" t="s">
        <v>837</v>
      </c>
      <c r="C382" s="2823"/>
      <c r="D382" s="373" t="s">
        <v>492</v>
      </c>
      <c r="E382" s="376">
        <v>6.2E-2</v>
      </c>
      <c r="F382" s="721"/>
      <c r="G382" s="2824"/>
      <c r="H382" s="2825"/>
      <c r="I382" s="742"/>
      <c r="J382" s="743"/>
      <c r="K382" s="744"/>
      <c r="L382" s="745"/>
      <c r="M382" s="1036"/>
      <c r="N382" s="339"/>
      <c r="O382" s="702"/>
      <c r="P382" s="703"/>
      <c r="Q382" s="286"/>
      <c r="R382" s="287"/>
      <c r="S382" s="280"/>
      <c r="T382" s="280"/>
      <c r="U382" s="280"/>
      <c r="V382" s="280"/>
      <c r="W382" s="280"/>
      <c r="X382" s="280"/>
      <c r="Y382" s="280"/>
      <c r="Z382" s="280"/>
      <c r="AA382" s="280"/>
      <c r="AB382" s="280"/>
      <c r="AC382" s="280"/>
      <c r="AD382" s="280"/>
      <c r="AE382" s="280"/>
      <c r="AF382" s="704"/>
      <c r="AG382" s="704"/>
      <c r="AH382" s="704"/>
      <c r="AI382" s="705"/>
      <c r="AJ382" s="705"/>
      <c r="AK382" s="705"/>
      <c r="AL382" s="705"/>
      <c r="AM382" s="705"/>
      <c r="AN382" s="705"/>
      <c r="AO382" s="705"/>
      <c r="AP382" s="705"/>
      <c r="AQ382" s="705"/>
      <c r="AR382" s="705"/>
      <c r="AS382" s="705"/>
      <c r="AT382" s="705"/>
      <c r="AU382" s="705"/>
      <c r="AV382" s="705"/>
      <c r="AW382" s="705"/>
      <c r="AX382" s="705"/>
      <c r="AY382" s="705"/>
      <c r="AZ382" s="705"/>
      <c r="BA382" s="705"/>
      <c r="BB382" s="705"/>
      <c r="BC382" s="705"/>
      <c r="BD382" s="705"/>
      <c r="BE382" s="705"/>
      <c r="BF382" s="705"/>
      <c r="BG382" s="705"/>
      <c r="BH382" s="705"/>
      <c r="BI382" s="705"/>
      <c r="BJ382" s="705"/>
      <c r="BK382" s="705"/>
      <c r="BL382" s="705"/>
      <c r="BM382" s="705"/>
      <c r="BN382" s="705"/>
      <c r="BO382" s="705"/>
    </row>
    <row r="383" spans="1:67" s="706" customFormat="1" ht="10.55" customHeight="1" x14ac:dyDescent="0.2">
      <c r="A383" s="827" t="s">
        <v>502</v>
      </c>
      <c r="B383" s="2823" t="s">
        <v>837</v>
      </c>
      <c r="C383" s="2823"/>
      <c r="D383" s="373" t="s">
        <v>493</v>
      </c>
      <c r="E383" s="376">
        <v>10.58</v>
      </c>
      <c r="F383" s="721"/>
      <c r="G383" s="2824"/>
      <c r="H383" s="2825"/>
      <c r="I383" s="742"/>
      <c r="J383" s="743"/>
      <c r="K383" s="744"/>
      <c r="L383" s="745"/>
      <c r="M383" s="1036"/>
      <c r="N383" s="339"/>
      <c r="O383" s="702"/>
      <c r="P383" s="703"/>
      <c r="Q383" s="286"/>
      <c r="R383" s="287"/>
      <c r="S383" s="280"/>
      <c r="T383" s="280"/>
      <c r="U383" s="280"/>
      <c r="V383" s="280"/>
      <c r="W383" s="280"/>
      <c r="X383" s="280"/>
      <c r="Y383" s="280"/>
      <c r="Z383" s="280"/>
      <c r="AA383" s="280"/>
      <c r="AB383" s="280"/>
      <c r="AC383" s="280"/>
      <c r="AD383" s="280"/>
      <c r="AE383" s="280"/>
      <c r="AF383" s="704"/>
      <c r="AG383" s="704"/>
      <c r="AH383" s="704"/>
      <c r="AI383" s="705"/>
      <c r="AJ383" s="705"/>
      <c r="AK383" s="705"/>
      <c r="AL383" s="705"/>
      <c r="AM383" s="705"/>
      <c r="AN383" s="705"/>
      <c r="AO383" s="705"/>
      <c r="AP383" s="705"/>
      <c r="AQ383" s="705"/>
      <c r="AR383" s="705"/>
      <c r="AS383" s="705"/>
      <c r="AT383" s="705"/>
      <c r="AU383" s="705"/>
      <c r="AV383" s="705"/>
      <c r="AW383" s="705"/>
      <c r="AX383" s="705"/>
      <c r="AY383" s="705"/>
      <c r="AZ383" s="705"/>
      <c r="BA383" s="705"/>
      <c r="BB383" s="705"/>
      <c r="BC383" s="705"/>
      <c r="BD383" s="705"/>
      <c r="BE383" s="705"/>
      <c r="BF383" s="705"/>
      <c r="BG383" s="705"/>
      <c r="BH383" s="705"/>
      <c r="BI383" s="705"/>
      <c r="BJ383" s="705"/>
      <c r="BK383" s="705"/>
      <c r="BL383" s="705"/>
      <c r="BM383" s="705"/>
      <c r="BN383" s="705"/>
      <c r="BO383" s="705"/>
    </row>
    <row r="384" spans="1:67" s="706" customFormat="1" ht="10.55" customHeight="1" x14ac:dyDescent="0.2">
      <c r="A384" s="827" t="s">
        <v>498</v>
      </c>
      <c r="B384" s="367"/>
      <c r="C384" s="367"/>
      <c r="D384" s="373" t="s">
        <v>499</v>
      </c>
      <c r="E384" s="376">
        <v>100</v>
      </c>
      <c r="F384" s="1037"/>
      <c r="G384" s="1038"/>
      <c r="H384" s="1039"/>
      <c r="I384" s="742"/>
      <c r="J384" s="743"/>
      <c r="K384" s="744"/>
      <c r="L384" s="745"/>
      <c r="M384" s="1036"/>
      <c r="N384" s="339"/>
      <c r="O384" s="702"/>
      <c r="P384" s="703"/>
      <c r="Q384" s="286"/>
      <c r="R384" s="287"/>
      <c r="S384" s="280"/>
      <c r="T384" s="280"/>
      <c r="U384" s="280"/>
      <c r="V384" s="280"/>
      <c r="W384" s="280"/>
      <c r="X384" s="280"/>
      <c r="Y384" s="280"/>
      <c r="Z384" s="280"/>
      <c r="AA384" s="280"/>
      <c r="AB384" s="280"/>
      <c r="AC384" s="280"/>
      <c r="AD384" s="280"/>
      <c r="AE384" s="280"/>
      <c r="AF384" s="704"/>
      <c r="AG384" s="704"/>
      <c r="AH384" s="704"/>
      <c r="AI384" s="705"/>
      <c r="AJ384" s="705"/>
      <c r="AK384" s="705"/>
      <c r="AL384" s="705"/>
      <c r="AM384" s="705"/>
      <c r="AN384" s="705"/>
      <c r="AO384" s="705"/>
      <c r="AP384" s="705"/>
      <c r="AQ384" s="705"/>
      <c r="AR384" s="705"/>
      <c r="AS384" s="705"/>
      <c r="AT384" s="705"/>
      <c r="AU384" s="705"/>
      <c r="AV384" s="705"/>
      <c r="AW384" s="705"/>
      <c r="AX384" s="705"/>
      <c r="AY384" s="705"/>
      <c r="AZ384" s="705"/>
      <c r="BA384" s="705"/>
      <c r="BB384" s="705"/>
      <c r="BC384" s="705"/>
      <c r="BD384" s="705"/>
      <c r="BE384" s="705"/>
      <c r="BF384" s="705"/>
      <c r="BG384" s="705"/>
      <c r="BH384" s="705"/>
      <c r="BI384" s="705"/>
      <c r="BJ384" s="705"/>
      <c r="BK384" s="705"/>
      <c r="BL384" s="705"/>
      <c r="BM384" s="705"/>
      <c r="BN384" s="705"/>
      <c r="BO384" s="705"/>
    </row>
    <row r="385" spans="1:67" s="706" customFormat="1" ht="10.55" customHeight="1" x14ac:dyDescent="0.2">
      <c r="A385" s="827" t="s">
        <v>496</v>
      </c>
      <c r="B385" s="367"/>
      <c r="C385" s="367"/>
      <c r="D385" s="373" t="s">
        <v>497</v>
      </c>
      <c r="E385" s="375">
        <v>1</v>
      </c>
      <c r="F385" s="1040"/>
      <c r="G385" s="1038"/>
      <c r="H385" s="1039"/>
      <c r="I385" s="742"/>
      <c r="J385" s="743"/>
      <c r="K385" s="744"/>
      <c r="L385" s="745"/>
      <c r="M385" s="1036"/>
      <c r="N385" s="339"/>
      <c r="O385" s="702"/>
      <c r="P385" s="703"/>
      <c r="Q385" s="286"/>
      <c r="R385" s="287"/>
      <c r="S385" s="280"/>
      <c r="T385" s="280"/>
      <c r="U385" s="280"/>
      <c r="V385" s="280"/>
      <c r="W385" s="280"/>
      <c r="X385" s="280"/>
      <c r="Y385" s="280"/>
      <c r="Z385" s="280"/>
      <c r="AA385" s="280"/>
      <c r="AB385" s="280"/>
      <c r="AC385" s="280"/>
      <c r="AD385" s="280"/>
      <c r="AE385" s="280"/>
      <c r="AF385" s="704"/>
      <c r="AG385" s="704"/>
      <c r="AH385" s="704"/>
      <c r="AI385" s="705"/>
      <c r="AJ385" s="705"/>
      <c r="AK385" s="705"/>
      <c r="AL385" s="705"/>
      <c r="AM385" s="705"/>
      <c r="AN385" s="705"/>
      <c r="AO385" s="705"/>
      <c r="AP385" s="705"/>
      <c r="AQ385" s="705"/>
      <c r="AR385" s="705"/>
      <c r="AS385" s="705"/>
      <c r="AT385" s="705"/>
      <c r="AU385" s="705"/>
      <c r="AV385" s="705"/>
      <c r="AW385" s="705"/>
      <c r="AX385" s="705"/>
      <c r="AY385" s="705"/>
      <c r="AZ385" s="705"/>
      <c r="BA385" s="705"/>
      <c r="BB385" s="705"/>
      <c r="BC385" s="705"/>
      <c r="BD385" s="705"/>
      <c r="BE385" s="705"/>
      <c r="BF385" s="705"/>
      <c r="BG385" s="705"/>
      <c r="BH385" s="705"/>
      <c r="BI385" s="705"/>
      <c r="BJ385" s="705"/>
      <c r="BK385" s="705"/>
      <c r="BL385" s="705"/>
      <c r="BM385" s="705"/>
      <c r="BN385" s="705"/>
      <c r="BO385" s="705"/>
    </row>
    <row r="386" spans="1:67" s="706" customFormat="1" ht="10.55" customHeight="1" x14ac:dyDescent="0.2">
      <c r="A386" s="827" t="s">
        <v>503</v>
      </c>
      <c r="B386" s="367"/>
      <c r="C386" s="367"/>
      <c r="D386" s="373" t="s">
        <v>505</v>
      </c>
      <c r="E386" s="375">
        <v>1</v>
      </c>
      <c r="F386" s="1040"/>
      <c r="G386" s="1038"/>
      <c r="H386" s="1039"/>
      <c r="I386" s="742"/>
      <c r="J386" s="743"/>
      <c r="K386" s="744"/>
      <c r="L386" s="745"/>
      <c r="M386" s="1036"/>
      <c r="N386" s="339"/>
      <c r="O386" s="702"/>
      <c r="P386" s="703"/>
      <c r="Q386" s="286"/>
      <c r="R386" s="287"/>
      <c r="S386" s="280"/>
      <c r="T386" s="280"/>
      <c r="U386" s="280"/>
      <c r="V386" s="280"/>
      <c r="W386" s="280"/>
      <c r="X386" s="280"/>
      <c r="Y386" s="280"/>
      <c r="Z386" s="280"/>
      <c r="AA386" s="280"/>
      <c r="AB386" s="280"/>
      <c r="AC386" s="280"/>
      <c r="AD386" s="280"/>
      <c r="AE386" s="280"/>
      <c r="AF386" s="704"/>
      <c r="AG386" s="704"/>
      <c r="AH386" s="704"/>
      <c r="AI386" s="705"/>
      <c r="AJ386" s="705"/>
      <c r="AK386" s="705"/>
      <c r="AL386" s="705"/>
      <c r="AM386" s="705"/>
      <c r="AN386" s="705"/>
      <c r="AO386" s="705"/>
      <c r="AP386" s="705"/>
      <c r="AQ386" s="705"/>
      <c r="AR386" s="705"/>
      <c r="AS386" s="705"/>
      <c r="AT386" s="705"/>
      <c r="AU386" s="705"/>
      <c r="AV386" s="705"/>
      <c r="AW386" s="705"/>
      <c r="AX386" s="705"/>
      <c r="AY386" s="705"/>
      <c r="AZ386" s="705"/>
      <c r="BA386" s="705"/>
      <c r="BB386" s="705"/>
      <c r="BC386" s="705"/>
      <c r="BD386" s="705"/>
      <c r="BE386" s="705"/>
      <c r="BF386" s="705"/>
      <c r="BG386" s="705"/>
      <c r="BH386" s="705"/>
      <c r="BI386" s="705"/>
      <c r="BJ386" s="705"/>
      <c r="BK386" s="705"/>
      <c r="BL386" s="705"/>
      <c r="BM386" s="705"/>
      <c r="BN386" s="705"/>
      <c r="BO386" s="705"/>
    </row>
    <row r="387" spans="1:67" s="706" customFormat="1" ht="10.55" customHeight="1" x14ac:dyDescent="0.2">
      <c r="A387" s="827" t="s">
        <v>504</v>
      </c>
      <c r="B387" s="367"/>
      <c r="C387" s="367"/>
      <c r="D387" s="373" t="s">
        <v>506</v>
      </c>
      <c r="E387" s="711">
        <v>150</v>
      </c>
      <c r="F387" s="1040"/>
      <c r="G387" s="1038"/>
      <c r="H387" s="1039"/>
      <c r="I387" s="742"/>
      <c r="J387" s="743"/>
      <c r="K387" s="744"/>
      <c r="L387" s="745"/>
      <c r="M387" s="1036"/>
      <c r="N387" s="339"/>
      <c r="O387" s="702"/>
      <c r="P387" s="703"/>
      <c r="Q387" s="286"/>
      <c r="R387" s="287"/>
      <c r="S387" s="280"/>
      <c r="T387" s="280"/>
      <c r="U387" s="280"/>
      <c r="V387" s="280"/>
      <c r="W387" s="280"/>
      <c r="X387" s="280"/>
      <c r="Y387" s="280"/>
      <c r="Z387" s="280"/>
      <c r="AA387" s="280"/>
      <c r="AB387" s="280"/>
      <c r="AC387" s="280"/>
      <c r="AD387" s="280"/>
      <c r="AE387" s="280"/>
      <c r="AF387" s="704"/>
      <c r="AG387" s="704"/>
      <c r="AH387" s="704"/>
      <c r="AI387" s="705"/>
      <c r="AJ387" s="705"/>
      <c r="AK387" s="705"/>
      <c r="AL387" s="705"/>
      <c r="AM387" s="705"/>
      <c r="AN387" s="705"/>
      <c r="AO387" s="705"/>
      <c r="AP387" s="705"/>
      <c r="AQ387" s="705"/>
      <c r="AR387" s="705"/>
      <c r="AS387" s="705"/>
      <c r="AT387" s="705"/>
      <c r="AU387" s="705"/>
      <c r="AV387" s="705"/>
      <c r="AW387" s="705"/>
      <c r="AX387" s="705"/>
      <c r="AY387" s="705"/>
      <c r="AZ387" s="705"/>
      <c r="BA387" s="705"/>
      <c r="BB387" s="705"/>
      <c r="BC387" s="705"/>
      <c r="BD387" s="705"/>
      <c r="BE387" s="705"/>
      <c r="BF387" s="705"/>
      <c r="BG387" s="705"/>
      <c r="BH387" s="705"/>
      <c r="BI387" s="705"/>
      <c r="BJ387" s="705"/>
      <c r="BK387" s="705"/>
      <c r="BL387" s="705"/>
      <c r="BM387" s="705"/>
      <c r="BN387" s="705"/>
      <c r="BO387" s="705"/>
    </row>
    <row r="388" spans="1:67" s="706" customFormat="1" ht="10.55" customHeight="1" x14ac:dyDescent="0.2">
      <c r="A388" s="828" t="s">
        <v>507</v>
      </c>
      <c r="B388" s="370"/>
      <c r="C388" s="370"/>
      <c r="D388" s="715"/>
      <c r="E388" s="2810">
        <f>E378*E379/100*E380*E384/100*E381*E385*E386*E387</f>
        <v>0</v>
      </c>
      <c r="F388" s="2811"/>
      <c r="G388" s="1041"/>
      <c r="H388" s="1042"/>
      <c r="I388" s="736"/>
      <c r="J388" s="737"/>
      <c r="K388" s="738"/>
      <c r="L388" s="739"/>
      <c r="M388" s="1035"/>
      <c r="N388" s="339"/>
      <c r="O388" s="702"/>
      <c r="P388" s="703"/>
      <c r="Q388" s="286"/>
      <c r="R388" s="287"/>
      <c r="S388" s="280"/>
      <c r="T388" s="280"/>
      <c r="U388" s="280"/>
      <c r="V388" s="280"/>
      <c r="W388" s="280"/>
      <c r="X388" s="280"/>
      <c r="Y388" s="280"/>
      <c r="Z388" s="280"/>
      <c r="AA388" s="280"/>
      <c r="AB388" s="280"/>
      <c r="AC388" s="280"/>
      <c r="AD388" s="280"/>
      <c r="AE388" s="280"/>
      <c r="AF388" s="704"/>
      <c r="AG388" s="704"/>
      <c r="AH388" s="704"/>
      <c r="AI388" s="705"/>
      <c r="AJ388" s="705"/>
      <c r="AK388" s="705"/>
      <c r="AL388" s="705"/>
      <c r="AM388" s="705"/>
      <c r="AN388" s="705"/>
      <c r="AO388" s="705"/>
      <c r="AP388" s="705"/>
      <c r="AQ388" s="705"/>
      <c r="AR388" s="705"/>
      <c r="AS388" s="705"/>
      <c r="AT388" s="705"/>
      <c r="AU388" s="705"/>
      <c r="AV388" s="705"/>
      <c r="AW388" s="705"/>
      <c r="AX388" s="705"/>
      <c r="AY388" s="705"/>
      <c r="AZ388" s="705"/>
      <c r="BA388" s="705"/>
      <c r="BB388" s="705"/>
      <c r="BC388" s="705"/>
      <c r="BD388" s="705"/>
      <c r="BE388" s="705"/>
      <c r="BF388" s="705"/>
      <c r="BG388" s="705"/>
      <c r="BH388" s="705"/>
      <c r="BI388" s="705"/>
      <c r="BJ388" s="705"/>
      <c r="BK388" s="705"/>
      <c r="BL388" s="705"/>
      <c r="BM388" s="705"/>
      <c r="BN388" s="705"/>
      <c r="BO388" s="705"/>
    </row>
    <row r="389" spans="1:67" s="706" customFormat="1" ht="10.55" customHeight="1" x14ac:dyDescent="0.2">
      <c r="A389" s="1043"/>
      <c r="B389" s="378"/>
      <c r="C389" s="378"/>
      <c r="D389" s="735"/>
      <c r="E389" s="1044"/>
      <c r="F389" s="1045"/>
      <c r="G389" s="1046"/>
      <c r="H389" s="1047"/>
      <c r="I389" s="700"/>
      <c r="J389" s="701"/>
      <c r="K389" s="717"/>
      <c r="L389" s="718"/>
      <c r="M389" s="1034"/>
      <c r="N389" s="339"/>
      <c r="O389" s="702"/>
      <c r="P389" s="703"/>
      <c r="Q389" s="286"/>
      <c r="R389" s="287"/>
      <c r="S389" s="280"/>
      <c r="T389" s="280"/>
      <c r="U389" s="280"/>
      <c r="V389" s="280"/>
      <c r="W389" s="280"/>
      <c r="X389" s="280"/>
      <c r="Y389" s="280"/>
      <c r="Z389" s="280"/>
      <c r="AA389" s="280"/>
      <c r="AB389" s="280"/>
      <c r="AC389" s="280"/>
      <c r="AD389" s="280"/>
      <c r="AE389" s="280"/>
      <c r="AF389" s="704"/>
      <c r="AG389" s="704"/>
      <c r="AH389" s="704"/>
      <c r="AI389" s="705"/>
      <c r="AJ389" s="705"/>
      <c r="AK389" s="705"/>
      <c r="AL389" s="705"/>
      <c r="AM389" s="705"/>
      <c r="AN389" s="705"/>
      <c r="AO389" s="705"/>
      <c r="AP389" s="705"/>
      <c r="AQ389" s="705"/>
      <c r="AR389" s="705"/>
      <c r="AS389" s="705"/>
      <c r="AT389" s="705"/>
      <c r="AU389" s="705"/>
      <c r="AV389" s="705"/>
      <c r="AW389" s="705"/>
      <c r="AX389" s="705"/>
      <c r="AY389" s="705"/>
      <c r="AZ389" s="705"/>
      <c r="BA389" s="705"/>
      <c r="BB389" s="705"/>
      <c r="BC389" s="705"/>
      <c r="BD389" s="705"/>
      <c r="BE389" s="705"/>
      <c r="BF389" s="705"/>
      <c r="BG389" s="705"/>
      <c r="BH389" s="705"/>
      <c r="BI389" s="705"/>
      <c r="BJ389" s="705"/>
      <c r="BK389" s="705"/>
      <c r="BL389" s="705"/>
      <c r="BM389" s="705"/>
      <c r="BN389" s="705"/>
      <c r="BO389" s="705"/>
    </row>
    <row r="390" spans="1:67" s="706" customFormat="1" ht="10.55" customHeight="1" x14ac:dyDescent="0.2">
      <c r="A390" s="824" t="s">
        <v>446</v>
      </c>
      <c r="B390" s="370"/>
      <c r="C390" s="370"/>
      <c r="D390" s="379"/>
      <c r="E390" s="1073"/>
      <c r="F390" s="725"/>
      <c r="G390" s="371"/>
      <c r="H390" s="1075"/>
      <c r="I390" s="736"/>
      <c r="J390" s="737"/>
      <c r="K390" s="738"/>
      <c r="L390" s="739"/>
      <c r="M390" s="1035"/>
      <c r="N390" s="339"/>
      <c r="O390" s="702"/>
      <c r="P390" s="703"/>
      <c r="Q390" s="286"/>
      <c r="R390" s="287"/>
      <c r="S390" s="280"/>
      <c r="T390" s="280"/>
      <c r="U390" s="280"/>
      <c r="V390" s="280"/>
      <c r="W390" s="280"/>
      <c r="X390" s="280"/>
      <c r="Y390" s="280"/>
      <c r="Z390" s="280"/>
      <c r="AA390" s="280"/>
      <c r="AB390" s="280"/>
      <c r="AC390" s="280"/>
      <c r="AD390" s="280"/>
      <c r="AE390" s="280"/>
      <c r="AF390" s="704"/>
      <c r="AG390" s="704"/>
      <c r="AH390" s="704"/>
      <c r="AI390" s="705"/>
      <c r="AJ390" s="705"/>
      <c r="AK390" s="705"/>
      <c r="AL390" s="705"/>
      <c r="AM390" s="705"/>
      <c r="AN390" s="705"/>
      <c r="AO390" s="705"/>
      <c r="AP390" s="705"/>
      <c r="AQ390" s="705"/>
      <c r="AR390" s="705"/>
      <c r="AS390" s="705"/>
      <c r="AT390" s="705"/>
      <c r="AU390" s="705"/>
      <c r="AV390" s="705"/>
      <c r="AW390" s="705"/>
      <c r="AX390" s="705"/>
      <c r="AY390" s="705"/>
      <c r="AZ390" s="705"/>
      <c r="BA390" s="705"/>
      <c r="BB390" s="705"/>
      <c r="BC390" s="705"/>
      <c r="BD390" s="705"/>
      <c r="BE390" s="705"/>
      <c r="BF390" s="705"/>
      <c r="BG390" s="705"/>
      <c r="BH390" s="705"/>
      <c r="BI390" s="705"/>
      <c r="BJ390" s="705"/>
      <c r="BK390" s="705"/>
      <c r="BL390" s="705"/>
      <c r="BM390" s="705"/>
      <c r="BN390" s="705"/>
      <c r="BO390" s="705"/>
    </row>
    <row r="391" spans="1:67" s="706" customFormat="1" ht="10.55" customHeight="1" x14ac:dyDescent="0.2">
      <c r="A391" s="825"/>
      <c r="B391" s="367"/>
      <c r="C391" s="367"/>
      <c r="D391" s="377"/>
      <c r="E391" s="716"/>
      <c r="F391" s="719"/>
      <c r="G391" s="740"/>
      <c r="H391" s="741"/>
      <c r="I391" s="742"/>
      <c r="J391" s="743"/>
      <c r="K391" s="744"/>
      <c r="L391" s="745"/>
      <c r="M391" s="1036"/>
      <c r="N391" s="339"/>
      <c r="O391" s="702"/>
      <c r="P391" s="703"/>
      <c r="Q391" s="286"/>
      <c r="R391" s="287"/>
      <c r="S391" s="280"/>
      <c r="T391" s="280"/>
      <c r="U391" s="280"/>
      <c r="V391" s="280"/>
      <c r="W391" s="280"/>
      <c r="X391" s="280"/>
      <c r="Y391" s="280"/>
      <c r="Z391" s="280"/>
      <c r="AA391" s="280"/>
      <c r="AB391" s="280"/>
      <c r="AC391" s="280"/>
      <c r="AD391" s="280"/>
      <c r="AE391" s="280"/>
      <c r="AF391" s="704"/>
      <c r="AG391" s="704"/>
      <c r="AH391" s="704"/>
      <c r="AI391" s="705"/>
      <c r="AJ391" s="705"/>
      <c r="AK391" s="705"/>
      <c r="AL391" s="705"/>
      <c r="AM391" s="705"/>
      <c r="AN391" s="705"/>
      <c r="AO391" s="705"/>
      <c r="AP391" s="705"/>
      <c r="AQ391" s="705"/>
      <c r="AR391" s="705"/>
      <c r="AS391" s="705"/>
      <c r="AT391" s="705"/>
      <c r="AU391" s="705"/>
      <c r="AV391" s="705"/>
      <c r="AW391" s="705"/>
      <c r="AX391" s="705"/>
      <c r="AY391" s="705"/>
      <c r="AZ391" s="705"/>
      <c r="BA391" s="705"/>
      <c r="BB391" s="705"/>
      <c r="BC391" s="705"/>
      <c r="BD391" s="705"/>
      <c r="BE391" s="705"/>
      <c r="BF391" s="705"/>
      <c r="BG391" s="705"/>
      <c r="BH391" s="705"/>
      <c r="BI391" s="705"/>
      <c r="BJ391" s="705"/>
      <c r="BK391" s="705"/>
      <c r="BL391" s="705"/>
      <c r="BM391" s="705"/>
      <c r="BN391" s="705"/>
      <c r="BO391" s="705"/>
    </row>
    <row r="392" spans="1:67" s="706" customFormat="1" ht="10.55" customHeight="1" x14ac:dyDescent="0.2">
      <c r="A392" s="826" t="s">
        <v>447</v>
      </c>
      <c r="B392" s="378"/>
      <c r="C392" s="378"/>
      <c r="D392" s="377"/>
      <c r="E392" s="372"/>
      <c r="F392" s="720"/>
      <c r="G392" s="740"/>
      <c r="H392" s="741"/>
      <c r="I392" s="742"/>
      <c r="J392" s="743"/>
      <c r="K392" s="744"/>
      <c r="L392" s="745"/>
      <c r="M392" s="1036"/>
      <c r="N392" s="339"/>
      <c r="O392" s="702"/>
      <c r="P392" s="703"/>
      <c r="Q392" s="286"/>
      <c r="R392" s="287"/>
      <c r="S392" s="280"/>
      <c r="T392" s="280"/>
      <c r="U392" s="280"/>
      <c r="V392" s="280"/>
      <c r="W392" s="280"/>
      <c r="X392" s="280"/>
      <c r="Y392" s="280"/>
      <c r="Z392" s="280"/>
      <c r="AA392" s="280"/>
      <c r="AB392" s="280"/>
      <c r="AC392" s="280"/>
      <c r="AD392" s="280"/>
      <c r="AE392" s="280"/>
      <c r="AF392" s="704"/>
      <c r="AG392" s="704"/>
      <c r="AH392" s="704"/>
      <c r="AI392" s="705"/>
      <c r="AJ392" s="705"/>
      <c r="AK392" s="705"/>
      <c r="AL392" s="705"/>
      <c r="AM392" s="705"/>
      <c r="AN392" s="705"/>
      <c r="AO392" s="705"/>
      <c r="AP392" s="705"/>
      <c r="AQ392" s="705"/>
      <c r="AR392" s="705"/>
      <c r="AS392" s="705"/>
      <c r="AT392" s="705"/>
      <c r="AU392" s="705"/>
      <c r="AV392" s="705"/>
      <c r="AW392" s="705"/>
      <c r="AX392" s="705"/>
      <c r="AY392" s="705"/>
      <c r="AZ392" s="705"/>
      <c r="BA392" s="705"/>
      <c r="BB392" s="705"/>
      <c r="BC392" s="705"/>
      <c r="BD392" s="705"/>
      <c r="BE392" s="705"/>
      <c r="BF392" s="705"/>
      <c r="BG392" s="705"/>
      <c r="BH392" s="705"/>
      <c r="BI392" s="705"/>
      <c r="BJ392" s="705"/>
      <c r="BK392" s="705"/>
      <c r="BL392" s="705"/>
      <c r="BM392" s="705"/>
      <c r="BN392" s="705"/>
      <c r="BO392" s="705"/>
    </row>
    <row r="393" spans="1:67" s="706" customFormat="1" ht="10.55" customHeight="1" x14ac:dyDescent="0.2">
      <c r="A393" s="1006" t="s">
        <v>548</v>
      </c>
      <c r="B393" s="2878"/>
      <c r="C393" s="2879"/>
      <c r="D393" s="2880"/>
      <c r="E393" s="2829"/>
      <c r="F393" s="2830"/>
      <c r="G393" s="746"/>
      <c r="H393" s="747"/>
      <c r="I393" s="742"/>
      <c r="J393" s="743"/>
      <c r="K393" s="744"/>
      <c r="L393" s="745"/>
      <c r="M393" s="1036"/>
      <c r="N393" s="339"/>
      <c r="O393" s="702"/>
      <c r="P393" s="703"/>
      <c r="Q393" s="286"/>
      <c r="R393" s="287"/>
      <c r="S393" s="280"/>
      <c r="T393" s="280"/>
      <c r="U393" s="280"/>
      <c r="V393" s="280"/>
      <c r="W393" s="280"/>
      <c r="X393" s="280"/>
      <c r="Y393" s="280"/>
      <c r="Z393" s="280"/>
      <c r="AA393" s="280"/>
      <c r="AB393" s="280"/>
      <c r="AC393" s="280"/>
      <c r="AD393" s="280"/>
      <c r="AE393" s="280"/>
      <c r="AF393" s="704"/>
      <c r="AG393" s="704"/>
      <c r="AH393" s="704"/>
      <c r="AI393" s="705"/>
      <c r="AJ393" s="705"/>
      <c r="AK393" s="705"/>
      <c r="AL393" s="705"/>
      <c r="AM393" s="705"/>
      <c r="AN393" s="705"/>
      <c r="AO393" s="705"/>
      <c r="AP393" s="705"/>
      <c r="AQ393" s="705"/>
      <c r="AR393" s="705"/>
      <c r="AS393" s="705"/>
      <c r="AT393" s="705"/>
      <c r="AU393" s="705"/>
      <c r="AV393" s="705"/>
      <c r="AW393" s="705"/>
      <c r="AX393" s="705"/>
      <c r="AY393" s="705"/>
      <c r="AZ393" s="705"/>
      <c r="BA393" s="705"/>
      <c r="BB393" s="705"/>
      <c r="BC393" s="705"/>
      <c r="BD393" s="705"/>
      <c r="BE393" s="705"/>
      <c r="BF393" s="705"/>
      <c r="BG393" s="705"/>
      <c r="BH393" s="705"/>
      <c r="BI393" s="705"/>
      <c r="BJ393" s="705"/>
      <c r="BK393" s="705"/>
      <c r="BL393" s="705"/>
      <c r="BM393" s="705"/>
      <c r="BN393" s="705"/>
      <c r="BO393" s="705"/>
    </row>
    <row r="394" spans="1:67" s="706" customFormat="1" ht="10.55" customHeight="1" x14ac:dyDescent="0.2">
      <c r="A394" s="1006" t="s">
        <v>66</v>
      </c>
      <c r="B394" s="2878"/>
      <c r="C394" s="2879"/>
      <c r="D394" s="2880"/>
      <c r="E394" s="2829"/>
      <c r="F394" s="2830"/>
      <c r="G394" s="748"/>
      <c r="H394" s="741"/>
      <c r="I394" s="742"/>
      <c r="J394" s="743"/>
      <c r="K394" s="744"/>
      <c r="L394" s="745"/>
      <c r="M394" s="1036"/>
      <c r="N394" s="339"/>
      <c r="O394" s="702"/>
      <c r="P394" s="703"/>
      <c r="Q394" s="286"/>
      <c r="R394" s="287"/>
      <c r="S394" s="280"/>
      <c r="T394" s="280"/>
      <c r="U394" s="280"/>
      <c r="V394" s="280"/>
      <c r="W394" s="280"/>
      <c r="X394" s="280"/>
      <c r="Y394" s="280"/>
      <c r="Z394" s="280"/>
      <c r="AA394" s="280"/>
      <c r="AB394" s="280"/>
      <c r="AC394" s="280"/>
      <c r="AD394" s="280"/>
      <c r="AE394" s="280"/>
      <c r="AF394" s="704"/>
      <c r="AG394" s="704"/>
      <c r="AH394" s="704"/>
      <c r="AI394" s="705"/>
      <c r="AJ394" s="705"/>
      <c r="AK394" s="705"/>
      <c r="AL394" s="705"/>
      <c r="AM394" s="705"/>
      <c r="AN394" s="705"/>
      <c r="AO394" s="705"/>
      <c r="AP394" s="705"/>
      <c r="AQ394" s="705"/>
      <c r="AR394" s="705"/>
      <c r="AS394" s="705"/>
      <c r="AT394" s="705"/>
      <c r="AU394" s="705"/>
      <c r="AV394" s="705"/>
      <c r="AW394" s="705"/>
      <c r="AX394" s="705"/>
      <c r="AY394" s="705"/>
      <c r="AZ394" s="705"/>
      <c r="BA394" s="705"/>
      <c r="BB394" s="705"/>
      <c r="BC394" s="705"/>
      <c r="BD394" s="705"/>
      <c r="BE394" s="705"/>
      <c r="BF394" s="705"/>
      <c r="BG394" s="705"/>
      <c r="BH394" s="705"/>
      <c r="BI394" s="705"/>
      <c r="BJ394" s="705"/>
      <c r="BK394" s="705"/>
      <c r="BL394" s="705"/>
      <c r="BM394" s="705"/>
      <c r="BN394" s="705"/>
      <c r="BO394" s="705"/>
    </row>
    <row r="395" spans="1:67" s="706" customFormat="1" ht="10.55" customHeight="1" x14ac:dyDescent="0.2">
      <c r="A395" s="1006" t="s">
        <v>67</v>
      </c>
      <c r="B395" s="2878"/>
      <c r="C395" s="2879"/>
      <c r="D395" s="2880"/>
      <c r="E395" s="2829"/>
      <c r="F395" s="2830"/>
      <c r="G395" s="748"/>
      <c r="H395" s="741"/>
      <c r="I395" s="742"/>
      <c r="J395" s="743"/>
      <c r="K395" s="744"/>
      <c r="L395" s="745"/>
      <c r="M395" s="1036"/>
      <c r="N395" s="339"/>
      <c r="O395" s="702"/>
      <c r="P395" s="703"/>
      <c r="Q395" s="286"/>
      <c r="R395" s="287"/>
      <c r="S395" s="280"/>
      <c r="T395" s="280"/>
      <c r="U395" s="280"/>
      <c r="V395" s="280"/>
      <c r="W395" s="280"/>
      <c r="X395" s="280"/>
      <c r="Y395" s="280"/>
      <c r="Z395" s="280"/>
      <c r="AA395" s="280"/>
      <c r="AB395" s="280"/>
      <c r="AC395" s="280"/>
      <c r="AD395" s="280"/>
      <c r="AE395" s="280"/>
      <c r="AF395" s="704"/>
      <c r="AG395" s="704"/>
      <c r="AH395" s="704"/>
      <c r="AI395" s="705"/>
      <c r="AJ395" s="705"/>
      <c r="AK395" s="705"/>
      <c r="AL395" s="705"/>
      <c r="AM395" s="705"/>
      <c r="AN395" s="705"/>
      <c r="AO395" s="705"/>
      <c r="AP395" s="705"/>
      <c r="AQ395" s="705"/>
      <c r="AR395" s="705"/>
      <c r="AS395" s="705"/>
      <c r="AT395" s="705"/>
      <c r="AU395" s="705"/>
      <c r="AV395" s="705"/>
      <c r="AW395" s="705"/>
      <c r="AX395" s="705"/>
      <c r="AY395" s="705"/>
      <c r="AZ395" s="705"/>
      <c r="BA395" s="705"/>
      <c r="BB395" s="705"/>
      <c r="BC395" s="705"/>
      <c r="BD395" s="705"/>
      <c r="BE395" s="705"/>
      <c r="BF395" s="705"/>
      <c r="BG395" s="705"/>
      <c r="BH395" s="705"/>
      <c r="BI395" s="705"/>
      <c r="BJ395" s="705"/>
      <c r="BK395" s="705"/>
      <c r="BL395" s="705"/>
      <c r="BM395" s="705"/>
      <c r="BN395" s="705"/>
      <c r="BO395" s="705"/>
    </row>
    <row r="396" spans="1:67" s="706" customFormat="1" ht="10.55" customHeight="1" x14ac:dyDescent="0.2">
      <c r="A396" s="1006" t="s">
        <v>448</v>
      </c>
      <c r="B396" s="2878"/>
      <c r="C396" s="2879"/>
      <c r="D396" s="2880"/>
      <c r="E396" s="2829"/>
      <c r="F396" s="2830"/>
      <c r="G396" s="748"/>
      <c r="H396" s="741"/>
      <c r="I396" s="742"/>
      <c r="J396" s="743"/>
      <c r="K396" s="744"/>
      <c r="L396" s="745"/>
      <c r="M396" s="1036"/>
      <c r="N396" s="339"/>
      <c r="O396" s="702"/>
      <c r="P396" s="703"/>
      <c r="Q396" s="286"/>
      <c r="R396" s="287"/>
      <c r="S396" s="280"/>
      <c r="T396" s="280"/>
      <c r="U396" s="280"/>
      <c r="V396" s="280"/>
      <c r="W396" s="280"/>
      <c r="X396" s="280"/>
      <c r="Y396" s="280"/>
      <c r="Z396" s="280"/>
      <c r="AA396" s="280"/>
      <c r="AB396" s="280"/>
      <c r="AC396" s="280"/>
      <c r="AD396" s="280"/>
      <c r="AE396" s="280"/>
      <c r="AF396" s="704"/>
      <c r="AG396" s="704"/>
      <c r="AH396" s="704"/>
      <c r="AI396" s="705"/>
      <c r="AJ396" s="705"/>
      <c r="AK396" s="705"/>
      <c r="AL396" s="705"/>
      <c r="AM396" s="705"/>
      <c r="AN396" s="705"/>
      <c r="AO396" s="705"/>
      <c r="AP396" s="705"/>
      <c r="AQ396" s="705"/>
      <c r="AR396" s="705"/>
      <c r="AS396" s="705"/>
      <c r="AT396" s="705"/>
      <c r="AU396" s="705"/>
      <c r="AV396" s="705"/>
      <c r="AW396" s="705"/>
      <c r="AX396" s="705"/>
      <c r="AY396" s="705"/>
      <c r="AZ396" s="705"/>
      <c r="BA396" s="705"/>
      <c r="BB396" s="705"/>
      <c r="BC396" s="705"/>
      <c r="BD396" s="705"/>
      <c r="BE396" s="705"/>
      <c r="BF396" s="705"/>
      <c r="BG396" s="705"/>
      <c r="BH396" s="705"/>
      <c r="BI396" s="705"/>
      <c r="BJ396" s="705"/>
      <c r="BK396" s="705"/>
      <c r="BL396" s="705"/>
      <c r="BM396" s="705"/>
      <c r="BN396" s="705"/>
      <c r="BO396" s="705"/>
    </row>
    <row r="397" spans="1:67" s="706" customFormat="1" ht="10.55" customHeight="1" x14ac:dyDescent="0.2">
      <c r="A397" s="1006" t="s">
        <v>449</v>
      </c>
      <c r="B397" s="2878"/>
      <c r="C397" s="2879"/>
      <c r="D397" s="2880"/>
      <c r="E397" s="2829"/>
      <c r="F397" s="2830"/>
      <c r="G397" s="749"/>
      <c r="H397" s="750"/>
      <c r="I397" s="742"/>
      <c r="J397" s="743"/>
      <c r="K397" s="744"/>
      <c r="L397" s="745"/>
      <c r="M397" s="1036"/>
      <c r="N397" s="339"/>
      <c r="O397" s="702"/>
      <c r="P397" s="703"/>
      <c r="Q397" s="286"/>
      <c r="R397" s="287"/>
      <c r="S397" s="280"/>
      <c r="T397" s="280"/>
      <c r="U397" s="280"/>
      <c r="V397" s="280"/>
      <c r="W397" s="280"/>
      <c r="X397" s="280"/>
      <c r="Y397" s="280"/>
      <c r="Z397" s="280"/>
      <c r="AA397" s="280"/>
      <c r="AB397" s="280"/>
      <c r="AC397" s="280"/>
      <c r="AD397" s="280"/>
      <c r="AE397" s="280"/>
      <c r="AF397" s="704"/>
      <c r="AG397" s="704"/>
      <c r="AH397" s="704"/>
      <c r="AI397" s="705"/>
      <c r="AJ397" s="705"/>
      <c r="AK397" s="705"/>
      <c r="AL397" s="705"/>
      <c r="AM397" s="705"/>
      <c r="AN397" s="705"/>
      <c r="AO397" s="705"/>
      <c r="AP397" s="705"/>
      <c r="AQ397" s="705"/>
      <c r="AR397" s="705"/>
      <c r="AS397" s="705"/>
      <c r="AT397" s="705"/>
      <c r="AU397" s="705"/>
      <c r="AV397" s="705"/>
      <c r="AW397" s="705"/>
      <c r="AX397" s="705"/>
      <c r="AY397" s="705"/>
      <c r="AZ397" s="705"/>
      <c r="BA397" s="705"/>
      <c r="BB397" s="705"/>
      <c r="BC397" s="705"/>
      <c r="BD397" s="705"/>
      <c r="BE397" s="705"/>
      <c r="BF397" s="705"/>
      <c r="BG397" s="705"/>
      <c r="BH397" s="705"/>
      <c r="BI397" s="705"/>
      <c r="BJ397" s="705"/>
      <c r="BK397" s="705"/>
      <c r="BL397" s="705"/>
      <c r="BM397" s="705"/>
      <c r="BN397" s="705"/>
      <c r="BO397" s="705"/>
    </row>
    <row r="398" spans="1:67" s="706" customFormat="1" ht="10.55" customHeight="1" x14ac:dyDescent="0.2">
      <c r="A398" s="829" t="s">
        <v>14</v>
      </c>
      <c r="B398" s="368"/>
      <c r="C398" s="368"/>
      <c r="D398" s="715"/>
      <c r="E398" s="2838">
        <f>SUM(E393:E397)</f>
        <v>0</v>
      </c>
      <c r="F398" s="2839"/>
      <c r="G398" s="723"/>
      <c r="H398" s="724"/>
      <c r="I398" s="736"/>
      <c r="J398" s="737"/>
      <c r="K398" s="738"/>
      <c r="L398" s="739"/>
      <c r="M398" s="1035"/>
      <c r="N398" s="339"/>
      <c r="O398" s="702"/>
      <c r="P398" s="703"/>
      <c r="Q398" s="286"/>
      <c r="R398" s="287"/>
      <c r="S398" s="280"/>
      <c r="T398" s="280"/>
      <c r="U398" s="280"/>
      <c r="V398" s="280"/>
      <c r="W398" s="280"/>
      <c r="X398" s="280"/>
      <c r="Y398" s="280"/>
      <c r="Z398" s="280"/>
      <c r="AA398" s="280"/>
      <c r="AB398" s="280"/>
      <c r="AC398" s="280"/>
      <c r="AD398" s="280"/>
      <c r="AE398" s="280"/>
      <c r="AF398" s="704"/>
      <c r="AG398" s="704"/>
      <c r="AH398" s="704"/>
      <c r="AI398" s="705"/>
      <c r="AJ398" s="705"/>
      <c r="AK398" s="705"/>
      <c r="AL398" s="705"/>
      <c r="AM398" s="705"/>
      <c r="AN398" s="705"/>
      <c r="AO398" s="705"/>
      <c r="AP398" s="705"/>
      <c r="AQ398" s="705"/>
      <c r="AR398" s="705"/>
      <c r="AS398" s="705"/>
      <c r="AT398" s="705"/>
      <c r="AU398" s="705"/>
      <c r="AV398" s="705"/>
      <c r="AW398" s="705"/>
      <c r="AX398" s="705"/>
      <c r="AY398" s="705"/>
      <c r="AZ398" s="705"/>
      <c r="BA398" s="705"/>
      <c r="BB398" s="705"/>
      <c r="BC398" s="705"/>
      <c r="BD398" s="705"/>
      <c r="BE398" s="705"/>
      <c r="BF398" s="705"/>
      <c r="BG398" s="705"/>
      <c r="BH398" s="705"/>
      <c r="BI398" s="705"/>
      <c r="BJ398" s="705"/>
      <c r="BK398" s="705"/>
      <c r="BL398" s="705"/>
      <c r="BM398" s="705"/>
      <c r="BN398" s="705"/>
      <c r="BO398" s="705"/>
    </row>
    <row r="399" spans="1:67" s="706" customFormat="1" ht="10.55" customHeight="1" x14ac:dyDescent="0.2">
      <c r="A399" s="827"/>
      <c r="B399" s="367"/>
      <c r="C399" s="367"/>
      <c r="D399" s="377"/>
      <c r="E399" s="716"/>
      <c r="F399" s="719"/>
      <c r="G399" s="740"/>
      <c r="H399" s="741"/>
      <c r="I399" s="742"/>
      <c r="J399" s="743"/>
      <c r="K399" s="744"/>
      <c r="L399" s="745"/>
      <c r="M399" s="1036"/>
      <c r="N399" s="339"/>
      <c r="O399" s="702"/>
      <c r="P399" s="703"/>
      <c r="Q399" s="286"/>
      <c r="R399" s="287"/>
      <c r="S399" s="280"/>
      <c r="T399" s="280"/>
      <c r="U399" s="280"/>
      <c r="V399" s="280"/>
      <c r="W399" s="280"/>
      <c r="X399" s="280"/>
      <c r="Y399" s="280"/>
      <c r="Z399" s="280"/>
      <c r="AA399" s="280"/>
      <c r="AB399" s="280"/>
      <c r="AC399" s="280"/>
      <c r="AD399" s="280"/>
      <c r="AE399" s="280"/>
      <c r="AF399" s="704"/>
      <c r="AG399" s="704"/>
      <c r="AH399" s="704"/>
      <c r="AI399" s="705"/>
      <c r="AJ399" s="705"/>
      <c r="AK399" s="705"/>
      <c r="AL399" s="705"/>
      <c r="AM399" s="705"/>
      <c r="AN399" s="705"/>
      <c r="AO399" s="705"/>
      <c r="AP399" s="705"/>
      <c r="AQ399" s="705"/>
      <c r="AR399" s="705"/>
      <c r="AS399" s="705"/>
      <c r="AT399" s="705"/>
      <c r="AU399" s="705"/>
      <c r="AV399" s="705"/>
      <c r="AW399" s="705"/>
      <c r="AX399" s="705"/>
      <c r="AY399" s="705"/>
      <c r="AZ399" s="705"/>
      <c r="BA399" s="705"/>
      <c r="BB399" s="705"/>
      <c r="BC399" s="705"/>
      <c r="BD399" s="705"/>
      <c r="BE399" s="705"/>
      <c r="BF399" s="705"/>
      <c r="BG399" s="705"/>
      <c r="BH399" s="705"/>
      <c r="BI399" s="705"/>
      <c r="BJ399" s="705"/>
      <c r="BK399" s="705"/>
      <c r="BL399" s="705"/>
      <c r="BM399" s="705"/>
      <c r="BN399" s="705"/>
      <c r="BO399" s="705"/>
    </row>
    <row r="400" spans="1:67" s="706" customFormat="1" ht="10.55" customHeight="1" x14ac:dyDescent="0.2">
      <c r="A400" s="826" t="s">
        <v>450</v>
      </c>
      <c r="B400" s="378"/>
      <c r="C400" s="378"/>
      <c r="D400" s="377"/>
      <c r="E400" s="372"/>
      <c r="F400" s="720"/>
      <c r="G400" s="740"/>
      <c r="H400" s="741"/>
      <c r="I400" s="742"/>
      <c r="J400" s="743"/>
      <c r="K400" s="744"/>
      <c r="L400" s="745"/>
      <c r="M400" s="1036"/>
      <c r="N400" s="339"/>
      <c r="O400" s="702"/>
      <c r="P400" s="703"/>
      <c r="Q400" s="286"/>
      <c r="R400" s="287"/>
      <c r="S400" s="280"/>
      <c r="T400" s="280"/>
      <c r="U400" s="280"/>
      <c r="V400" s="280"/>
      <c r="W400" s="280"/>
      <c r="X400" s="280"/>
      <c r="Y400" s="280"/>
      <c r="Z400" s="280"/>
      <c r="AA400" s="280"/>
      <c r="AB400" s="280"/>
      <c r="AC400" s="280"/>
      <c r="AD400" s="280"/>
      <c r="AE400" s="280"/>
      <c r="AF400" s="704"/>
      <c r="AG400" s="704"/>
      <c r="AH400" s="704"/>
      <c r="AI400" s="705"/>
      <c r="AJ400" s="705"/>
      <c r="AK400" s="705"/>
      <c r="AL400" s="705"/>
      <c r="AM400" s="705"/>
      <c r="AN400" s="705"/>
      <c r="AO400" s="705"/>
      <c r="AP400" s="705"/>
      <c r="AQ400" s="705"/>
      <c r="AR400" s="705"/>
      <c r="AS400" s="705"/>
      <c r="AT400" s="705"/>
      <c r="AU400" s="705"/>
      <c r="AV400" s="705"/>
      <c r="AW400" s="705"/>
      <c r="AX400" s="705"/>
      <c r="AY400" s="705"/>
      <c r="AZ400" s="705"/>
      <c r="BA400" s="705"/>
      <c r="BB400" s="705"/>
      <c r="BC400" s="705"/>
      <c r="BD400" s="705"/>
      <c r="BE400" s="705"/>
      <c r="BF400" s="705"/>
      <c r="BG400" s="705"/>
      <c r="BH400" s="705"/>
      <c r="BI400" s="705"/>
      <c r="BJ400" s="705"/>
      <c r="BK400" s="705"/>
      <c r="BL400" s="705"/>
      <c r="BM400" s="705"/>
      <c r="BN400" s="705"/>
      <c r="BO400" s="705"/>
    </row>
    <row r="401" spans="1:67" s="706" customFormat="1" ht="10.55" customHeight="1" x14ac:dyDescent="0.2">
      <c r="A401" s="1007" t="s">
        <v>548</v>
      </c>
      <c r="B401" s="2875"/>
      <c r="C401" s="2876"/>
      <c r="D401" s="2877"/>
      <c r="E401" s="2836"/>
      <c r="F401" s="2837"/>
      <c r="G401" s="746"/>
      <c r="H401" s="747"/>
      <c r="I401" s="742"/>
      <c r="J401" s="743"/>
      <c r="K401" s="744"/>
      <c r="L401" s="745"/>
      <c r="M401" s="1036"/>
      <c r="N401" s="339"/>
      <c r="O401" s="702"/>
      <c r="P401" s="703"/>
      <c r="Q401" s="286"/>
      <c r="R401" s="287"/>
      <c r="S401" s="280"/>
      <c r="T401" s="280"/>
      <c r="U401" s="280"/>
      <c r="V401" s="280"/>
      <c r="W401" s="280"/>
      <c r="X401" s="280"/>
      <c r="Y401" s="280"/>
      <c r="Z401" s="280"/>
      <c r="AA401" s="280"/>
      <c r="AB401" s="280"/>
      <c r="AC401" s="280"/>
      <c r="AD401" s="280"/>
      <c r="AE401" s="280"/>
      <c r="AF401" s="704"/>
      <c r="AG401" s="704"/>
      <c r="AH401" s="704"/>
      <c r="AI401" s="705"/>
      <c r="AJ401" s="705"/>
      <c r="AK401" s="705"/>
      <c r="AL401" s="705"/>
      <c r="AM401" s="705"/>
      <c r="AN401" s="705"/>
      <c r="AO401" s="705"/>
      <c r="AP401" s="705"/>
      <c r="AQ401" s="705"/>
      <c r="AR401" s="705"/>
      <c r="AS401" s="705"/>
      <c r="AT401" s="705"/>
      <c r="AU401" s="705"/>
      <c r="AV401" s="705"/>
      <c r="AW401" s="705"/>
      <c r="AX401" s="705"/>
      <c r="AY401" s="705"/>
      <c r="AZ401" s="705"/>
      <c r="BA401" s="705"/>
      <c r="BB401" s="705"/>
      <c r="BC401" s="705"/>
      <c r="BD401" s="705"/>
      <c r="BE401" s="705"/>
      <c r="BF401" s="705"/>
      <c r="BG401" s="705"/>
      <c r="BH401" s="705"/>
      <c r="BI401" s="705"/>
      <c r="BJ401" s="705"/>
      <c r="BK401" s="705"/>
      <c r="BL401" s="705"/>
      <c r="BM401" s="705"/>
      <c r="BN401" s="705"/>
      <c r="BO401" s="705"/>
    </row>
    <row r="402" spans="1:67" s="706" customFormat="1" ht="10.55" customHeight="1" x14ac:dyDescent="0.2">
      <c r="A402" s="1007" t="s">
        <v>66</v>
      </c>
      <c r="B402" s="2875"/>
      <c r="C402" s="2876"/>
      <c r="D402" s="2877"/>
      <c r="E402" s="2836"/>
      <c r="F402" s="2837"/>
      <c r="G402" s="748"/>
      <c r="H402" s="741"/>
      <c r="I402" s="742"/>
      <c r="J402" s="743"/>
      <c r="K402" s="744"/>
      <c r="L402" s="745"/>
      <c r="M402" s="1036"/>
      <c r="N402" s="339"/>
      <c r="O402" s="702"/>
      <c r="P402" s="703"/>
      <c r="Q402" s="286"/>
      <c r="R402" s="287"/>
      <c r="S402" s="280"/>
      <c r="T402" s="280"/>
      <c r="U402" s="280"/>
      <c r="V402" s="280"/>
      <c r="W402" s="280"/>
      <c r="X402" s="280"/>
      <c r="Y402" s="280"/>
      <c r="Z402" s="280"/>
      <c r="AA402" s="280"/>
      <c r="AB402" s="280"/>
      <c r="AC402" s="280"/>
      <c r="AD402" s="280"/>
      <c r="AE402" s="280"/>
      <c r="AF402" s="704"/>
      <c r="AG402" s="704"/>
      <c r="AH402" s="704"/>
      <c r="AI402" s="705"/>
      <c r="AJ402" s="705"/>
      <c r="AK402" s="705"/>
      <c r="AL402" s="705"/>
      <c r="AM402" s="705"/>
      <c r="AN402" s="705"/>
      <c r="AO402" s="705"/>
      <c r="AP402" s="705"/>
      <c r="AQ402" s="705"/>
      <c r="AR402" s="705"/>
      <c r="AS402" s="705"/>
      <c r="AT402" s="705"/>
      <c r="AU402" s="705"/>
      <c r="AV402" s="705"/>
      <c r="AW402" s="705"/>
      <c r="AX402" s="705"/>
      <c r="AY402" s="705"/>
      <c r="AZ402" s="705"/>
      <c r="BA402" s="705"/>
      <c r="BB402" s="705"/>
      <c r="BC402" s="705"/>
      <c r="BD402" s="705"/>
      <c r="BE402" s="705"/>
      <c r="BF402" s="705"/>
      <c r="BG402" s="705"/>
      <c r="BH402" s="705"/>
      <c r="BI402" s="705"/>
      <c r="BJ402" s="705"/>
      <c r="BK402" s="705"/>
      <c r="BL402" s="705"/>
      <c r="BM402" s="705"/>
      <c r="BN402" s="705"/>
      <c r="BO402" s="705"/>
    </row>
    <row r="403" spans="1:67" s="706" customFormat="1" ht="10.55" customHeight="1" x14ac:dyDescent="0.2">
      <c r="A403" s="1007" t="s">
        <v>67</v>
      </c>
      <c r="B403" s="2875"/>
      <c r="C403" s="2876"/>
      <c r="D403" s="2877"/>
      <c r="E403" s="2836"/>
      <c r="F403" s="2837"/>
      <c r="G403" s="748"/>
      <c r="H403" s="741"/>
      <c r="I403" s="742"/>
      <c r="J403" s="743"/>
      <c r="K403" s="744"/>
      <c r="L403" s="745"/>
      <c r="M403" s="1036"/>
      <c r="N403" s="339"/>
      <c r="O403" s="702"/>
      <c r="P403" s="703"/>
      <c r="Q403" s="286"/>
      <c r="R403" s="287"/>
      <c r="S403" s="280"/>
      <c r="T403" s="280"/>
      <c r="U403" s="280"/>
      <c r="V403" s="280"/>
      <c r="W403" s="280"/>
      <c r="X403" s="280"/>
      <c r="Y403" s="280"/>
      <c r="Z403" s="280"/>
      <c r="AA403" s="280"/>
      <c r="AB403" s="280"/>
      <c r="AC403" s="280"/>
      <c r="AD403" s="280"/>
      <c r="AE403" s="280"/>
      <c r="AF403" s="704"/>
      <c r="AG403" s="704"/>
      <c r="AH403" s="704"/>
      <c r="AI403" s="705"/>
      <c r="AJ403" s="705"/>
      <c r="AK403" s="705"/>
      <c r="AL403" s="705"/>
      <c r="AM403" s="705"/>
      <c r="AN403" s="705"/>
      <c r="AO403" s="705"/>
      <c r="AP403" s="705"/>
      <c r="AQ403" s="705"/>
      <c r="AR403" s="705"/>
      <c r="AS403" s="705"/>
      <c r="AT403" s="705"/>
      <c r="AU403" s="705"/>
      <c r="AV403" s="705"/>
      <c r="AW403" s="705"/>
      <c r="AX403" s="705"/>
      <c r="AY403" s="705"/>
      <c r="AZ403" s="705"/>
      <c r="BA403" s="705"/>
      <c r="BB403" s="705"/>
      <c r="BC403" s="705"/>
      <c r="BD403" s="705"/>
      <c r="BE403" s="705"/>
      <c r="BF403" s="705"/>
      <c r="BG403" s="705"/>
      <c r="BH403" s="705"/>
      <c r="BI403" s="705"/>
      <c r="BJ403" s="705"/>
      <c r="BK403" s="705"/>
      <c r="BL403" s="705"/>
      <c r="BM403" s="705"/>
      <c r="BN403" s="705"/>
      <c r="BO403" s="705"/>
    </row>
    <row r="404" spans="1:67" s="706" customFormat="1" ht="10.55" customHeight="1" x14ac:dyDescent="0.2">
      <c r="A404" s="1007" t="s">
        <v>448</v>
      </c>
      <c r="B404" s="2875"/>
      <c r="C404" s="2876"/>
      <c r="D404" s="2877"/>
      <c r="E404" s="2836"/>
      <c r="F404" s="2837"/>
      <c r="G404" s="748"/>
      <c r="H404" s="741"/>
      <c r="I404" s="742"/>
      <c r="J404" s="743"/>
      <c r="K404" s="744"/>
      <c r="L404" s="745"/>
      <c r="M404" s="1036"/>
      <c r="N404" s="339"/>
      <c r="O404" s="702"/>
      <c r="P404" s="703"/>
      <c r="Q404" s="286"/>
      <c r="R404" s="287"/>
      <c r="S404" s="280"/>
      <c r="T404" s="280"/>
      <c r="U404" s="280"/>
      <c r="V404" s="280"/>
      <c r="W404" s="280"/>
      <c r="X404" s="280"/>
      <c r="Y404" s="280"/>
      <c r="Z404" s="280"/>
      <c r="AA404" s="280"/>
      <c r="AB404" s="280"/>
      <c r="AC404" s="280"/>
      <c r="AD404" s="280"/>
      <c r="AE404" s="280"/>
      <c r="AF404" s="704"/>
      <c r="AG404" s="704"/>
      <c r="AH404" s="704"/>
      <c r="AI404" s="705"/>
      <c r="AJ404" s="705"/>
      <c r="AK404" s="705"/>
      <c r="AL404" s="705"/>
      <c r="AM404" s="705"/>
      <c r="AN404" s="705"/>
      <c r="AO404" s="705"/>
      <c r="AP404" s="705"/>
      <c r="AQ404" s="705"/>
      <c r="AR404" s="705"/>
      <c r="AS404" s="705"/>
      <c r="AT404" s="705"/>
      <c r="AU404" s="705"/>
      <c r="AV404" s="705"/>
      <c r="AW404" s="705"/>
      <c r="AX404" s="705"/>
      <c r="AY404" s="705"/>
      <c r="AZ404" s="705"/>
      <c r="BA404" s="705"/>
      <c r="BB404" s="705"/>
      <c r="BC404" s="705"/>
      <c r="BD404" s="705"/>
      <c r="BE404" s="705"/>
      <c r="BF404" s="705"/>
      <c r="BG404" s="705"/>
      <c r="BH404" s="705"/>
      <c r="BI404" s="705"/>
      <c r="BJ404" s="705"/>
      <c r="BK404" s="705"/>
      <c r="BL404" s="705"/>
      <c r="BM404" s="705"/>
      <c r="BN404" s="705"/>
      <c r="BO404" s="705"/>
    </row>
    <row r="405" spans="1:67" s="706" customFormat="1" ht="10.55" customHeight="1" x14ac:dyDescent="0.2">
      <c r="A405" s="1007" t="s">
        <v>449</v>
      </c>
      <c r="B405" s="2875"/>
      <c r="C405" s="2876"/>
      <c r="D405" s="2877"/>
      <c r="E405" s="2836"/>
      <c r="F405" s="2837"/>
      <c r="G405" s="749"/>
      <c r="H405" s="750"/>
      <c r="I405" s="742"/>
      <c r="J405" s="743"/>
      <c r="K405" s="744"/>
      <c r="L405" s="745"/>
      <c r="M405" s="1036"/>
      <c r="N405" s="339"/>
      <c r="O405" s="702"/>
      <c r="P405" s="703"/>
      <c r="Q405" s="286"/>
      <c r="R405" s="287"/>
      <c r="S405" s="280"/>
      <c r="T405" s="280"/>
      <c r="U405" s="280"/>
      <c r="V405" s="280"/>
      <c r="W405" s="280"/>
      <c r="X405" s="280"/>
      <c r="Y405" s="280"/>
      <c r="Z405" s="280"/>
      <c r="AA405" s="280"/>
      <c r="AB405" s="280"/>
      <c r="AC405" s="280"/>
      <c r="AD405" s="280"/>
      <c r="AE405" s="280"/>
      <c r="AF405" s="704"/>
      <c r="AG405" s="704"/>
      <c r="AH405" s="704"/>
      <c r="AI405" s="705"/>
      <c r="AJ405" s="705"/>
      <c r="AK405" s="705"/>
      <c r="AL405" s="705"/>
      <c r="AM405" s="705"/>
      <c r="AN405" s="705"/>
      <c r="AO405" s="705"/>
      <c r="AP405" s="705"/>
      <c r="AQ405" s="705"/>
      <c r="AR405" s="705"/>
      <c r="AS405" s="705"/>
      <c r="AT405" s="705"/>
      <c r="AU405" s="705"/>
      <c r="AV405" s="705"/>
      <c r="AW405" s="705"/>
      <c r="AX405" s="705"/>
      <c r="AY405" s="705"/>
      <c r="AZ405" s="705"/>
      <c r="BA405" s="705"/>
      <c r="BB405" s="705"/>
      <c r="BC405" s="705"/>
      <c r="BD405" s="705"/>
      <c r="BE405" s="705"/>
      <c r="BF405" s="705"/>
      <c r="BG405" s="705"/>
      <c r="BH405" s="705"/>
      <c r="BI405" s="705"/>
      <c r="BJ405" s="705"/>
      <c r="BK405" s="705"/>
      <c r="BL405" s="705"/>
      <c r="BM405" s="705"/>
      <c r="BN405" s="705"/>
      <c r="BO405" s="705"/>
    </row>
    <row r="406" spans="1:67" s="706" customFormat="1" ht="10.55" customHeight="1" x14ac:dyDescent="0.2">
      <c r="A406" s="829" t="s">
        <v>14</v>
      </c>
      <c r="B406" s="368"/>
      <c r="C406" s="368"/>
      <c r="D406" s="715"/>
      <c r="E406" s="2838">
        <f>SUM(E399:E405)</f>
        <v>0</v>
      </c>
      <c r="F406" s="2839"/>
      <c r="G406" s="723"/>
      <c r="H406" s="724"/>
      <c r="I406" s="736"/>
      <c r="J406" s="737"/>
      <c r="K406" s="738"/>
      <c r="L406" s="739"/>
      <c r="M406" s="1035"/>
      <c r="N406" s="339"/>
      <c r="O406" s="702"/>
      <c r="P406" s="703"/>
      <c r="Q406" s="286"/>
      <c r="R406" s="287"/>
      <c r="S406" s="280"/>
      <c r="T406" s="280"/>
      <c r="U406" s="280"/>
      <c r="V406" s="280"/>
      <c r="W406" s="280"/>
      <c r="X406" s="280"/>
      <c r="Y406" s="280"/>
      <c r="Z406" s="280"/>
      <c r="AA406" s="280"/>
      <c r="AB406" s="280"/>
      <c r="AC406" s="280"/>
      <c r="AD406" s="280"/>
      <c r="AE406" s="280"/>
      <c r="AF406" s="704"/>
      <c r="AG406" s="704"/>
      <c r="AH406" s="704"/>
      <c r="AI406" s="705"/>
      <c r="AJ406" s="705"/>
      <c r="AK406" s="705"/>
      <c r="AL406" s="705"/>
      <c r="AM406" s="705"/>
      <c r="AN406" s="705"/>
      <c r="AO406" s="705"/>
      <c r="AP406" s="705"/>
      <c r="AQ406" s="705"/>
      <c r="AR406" s="705"/>
      <c r="AS406" s="705"/>
      <c r="AT406" s="705"/>
      <c r="AU406" s="705"/>
      <c r="AV406" s="705"/>
      <c r="AW406" s="705"/>
      <c r="AX406" s="705"/>
      <c r="AY406" s="705"/>
      <c r="AZ406" s="705"/>
      <c r="BA406" s="705"/>
      <c r="BB406" s="705"/>
      <c r="BC406" s="705"/>
      <c r="BD406" s="705"/>
      <c r="BE406" s="705"/>
      <c r="BF406" s="705"/>
      <c r="BG406" s="705"/>
      <c r="BH406" s="705"/>
      <c r="BI406" s="705"/>
      <c r="BJ406" s="705"/>
      <c r="BK406" s="705"/>
      <c r="BL406" s="705"/>
      <c r="BM406" s="705"/>
      <c r="BN406" s="705"/>
      <c r="BO406" s="705"/>
    </row>
    <row r="407" spans="1:67" s="88" customFormat="1" ht="10.55" customHeight="1" x14ac:dyDescent="0.2">
      <c r="A407" s="1048"/>
      <c r="B407" s="1074"/>
      <c r="C407" s="1074"/>
      <c r="D407" s="1075"/>
      <c r="E407" s="2793"/>
      <c r="F407" s="2794"/>
      <c r="G407" s="1018"/>
      <c r="H407" s="1019"/>
      <c r="I407" s="676">
        <f>IF($O407&gt;0,-PMT(($I$39),$O407,1),0)</f>
        <v>0</v>
      </c>
      <c r="J407" s="677"/>
      <c r="K407" s="680"/>
      <c r="L407" s="1020"/>
      <c r="M407" s="1021">
        <f>ROUND(E407/100*IF(ISBLANK(L407),K407,L407),-1)</f>
        <v>0</v>
      </c>
      <c r="N407" s="1111"/>
      <c r="O407" s="674">
        <f>IF(ISBLANK(H407),G407,H407)</f>
        <v>0</v>
      </c>
      <c r="P407" s="682"/>
      <c r="Q407" s="286"/>
      <c r="R407" s="287"/>
      <c r="S407" s="280"/>
      <c r="T407" s="280"/>
      <c r="U407" s="280"/>
      <c r="V407" s="280"/>
      <c r="W407" s="280"/>
      <c r="X407" s="280"/>
      <c r="Y407" s="280"/>
      <c r="Z407" s="284"/>
      <c r="AA407" s="284"/>
      <c r="AB407" s="284"/>
      <c r="AC407" s="284"/>
      <c r="AD407" s="284"/>
      <c r="AE407" s="284"/>
      <c r="AF407" s="447"/>
      <c r="AG407" s="447"/>
      <c r="AH407" s="447"/>
      <c r="AI407" s="382"/>
      <c r="AJ407" s="382"/>
      <c r="AK407" s="382"/>
      <c r="AL407" s="382"/>
      <c r="AM407" s="382"/>
      <c r="AN407" s="382"/>
      <c r="AO407" s="382"/>
      <c r="AP407" s="382"/>
      <c r="AQ407" s="382"/>
      <c r="AR407" s="382"/>
      <c r="AS407" s="382"/>
      <c r="AT407" s="382"/>
      <c r="AU407" s="382"/>
      <c r="AV407" s="382"/>
      <c r="AW407" s="382"/>
      <c r="AX407" s="382"/>
      <c r="AY407" s="382"/>
      <c r="AZ407" s="382"/>
      <c r="BA407" s="382"/>
      <c r="BB407" s="382"/>
      <c r="BC407" s="382"/>
      <c r="BD407" s="382"/>
      <c r="BE407" s="382"/>
      <c r="BF407" s="382"/>
      <c r="BG407" s="382"/>
      <c r="BH407" s="382"/>
      <c r="BI407" s="382"/>
      <c r="BJ407" s="382"/>
      <c r="BK407" s="382"/>
      <c r="BL407" s="382"/>
      <c r="BM407" s="382"/>
      <c r="BN407" s="382"/>
      <c r="BO407" s="382"/>
    </row>
    <row r="408" spans="1:67" s="88" customFormat="1" ht="10.55" customHeight="1" x14ac:dyDescent="0.2">
      <c r="A408" s="1122" t="s">
        <v>549</v>
      </c>
      <c r="B408" s="2844"/>
      <c r="C408" s="2845"/>
      <c r="D408" s="2846"/>
      <c r="E408" s="2810"/>
      <c r="F408" s="2811"/>
      <c r="G408" s="2747"/>
      <c r="H408" s="2748"/>
      <c r="I408" s="688"/>
      <c r="J408" s="1012"/>
      <c r="K408" s="2749"/>
      <c r="L408" s="2750"/>
      <c r="M408" s="1430">
        <f>SUM(M409:M412)</f>
        <v>0</v>
      </c>
      <c r="N408" s="1111"/>
      <c r="O408" s="387">
        <f>IF(H408="",G408,H408)</f>
        <v>0</v>
      </c>
      <c r="P408" s="682"/>
      <c r="Q408" s="286"/>
      <c r="R408" s="287"/>
      <c r="S408" s="280"/>
      <c r="T408" s="280"/>
      <c r="U408" s="280"/>
      <c r="V408" s="280"/>
      <c r="W408" s="280"/>
      <c r="X408" s="280"/>
      <c r="Y408" s="280"/>
      <c r="Z408" s="284"/>
      <c r="AA408" s="284"/>
      <c r="AB408" s="284"/>
      <c r="AC408" s="284"/>
      <c r="AD408" s="284"/>
      <c r="AE408" s="284"/>
      <c r="AF408" s="447"/>
      <c r="AG408" s="447"/>
      <c r="AH408" s="447"/>
      <c r="AI408" s="382"/>
      <c r="AJ408" s="382"/>
      <c r="AK408" s="382"/>
      <c r="AL408" s="382"/>
      <c r="AM408" s="382"/>
      <c r="AN408" s="382"/>
      <c r="AO408" s="382"/>
      <c r="AP408" s="382"/>
      <c r="AQ408" s="382"/>
      <c r="AR408" s="382"/>
      <c r="AS408" s="382"/>
      <c r="AT408" s="382"/>
      <c r="AU408" s="382"/>
      <c r="AV408" s="382"/>
      <c r="AW408" s="382"/>
      <c r="AX408" s="382"/>
      <c r="AY408" s="382"/>
      <c r="AZ408" s="382"/>
      <c r="BA408" s="382"/>
      <c r="BB408" s="382"/>
      <c r="BC408" s="382"/>
      <c r="BD408" s="382"/>
      <c r="BE408" s="382"/>
      <c r="BF408" s="382"/>
      <c r="BG408" s="382"/>
      <c r="BH408" s="382"/>
      <c r="BI408" s="382"/>
      <c r="BJ408" s="382"/>
      <c r="BK408" s="382"/>
      <c r="BL408" s="382"/>
      <c r="BM408" s="382"/>
      <c r="BN408" s="382"/>
      <c r="BO408" s="382"/>
    </row>
    <row r="409" spans="1:67" s="88" customFormat="1" ht="10.55" customHeight="1" x14ac:dyDescent="0.2">
      <c r="A409" s="848" t="s">
        <v>550</v>
      </c>
      <c r="B409" s="689"/>
      <c r="C409" s="689"/>
      <c r="D409" s="1008"/>
      <c r="E409" s="2812"/>
      <c r="F409" s="2813"/>
      <c r="G409" s="1049"/>
      <c r="H409" s="1050"/>
      <c r="I409" s="1448"/>
      <c r="J409" s="1414"/>
      <c r="K409" s="733"/>
      <c r="L409" s="734"/>
      <c r="M409" s="1428">
        <f>(E414-E347)*D409</f>
        <v>0</v>
      </c>
      <c r="N409" s="1111"/>
      <c r="O409" s="674">
        <f>IF(ISBLANK(H409),G409,H409)</f>
        <v>0</v>
      </c>
      <c r="P409" s="682"/>
      <c r="Q409" s="286"/>
      <c r="R409" s="287"/>
      <c r="S409" s="280"/>
      <c r="T409" s="280"/>
      <c r="U409" s="280"/>
      <c r="V409" s="280"/>
      <c r="W409" s="280"/>
      <c r="X409" s="280"/>
      <c r="Y409" s="280"/>
      <c r="Z409" s="284"/>
      <c r="AA409" s="284"/>
      <c r="AB409" s="284"/>
      <c r="AC409" s="284"/>
      <c r="AD409" s="284"/>
      <c r="AE409" s="284"/>
      <c r="AF409" s="447"/>
      <c r="AG409" s="447"/>
      <c r="AH409" s="447"/>
      <c r="AI409" s="382"/>
      <c r="AJ409" s="382"/>
      <c r="AK409" s="382"/>
      <c r="AL409" s="382"/>
      <c r="AM409" s="382"/>
      <c r="AN409" s="382"/>
      <c r="AO409" s="382"/>
      <c r="AP409" s="382"/>
      <c r="AQ409" s="382"/>
      <c r="AR409" s="382"/>
      <c r="AS409" s="382"/>
      <c r="AT409" s="382"/>
      <c r="AU409" s="382"/>
      <c r="AV409" s="382"/>
      <c r="AW409" s="382"/>
      <c r="AX409" s="382"/>
      <c r="AY409" s="382"/>
      <c r="AZ409" s="382"/>
      <c r="BA409" s="382"/>
      <c r="BB409" s="382"/>
      <c r="BC409" s="382"/>
      <c r="BD409" s="382"/>
      <c r="BE409" s="382"/>
      <c r="BF409" s="382"/>
      <c r="BG409" s="382"/>
      <c r="BH409" s="382"/>
      <c r="BI409" s="382"/>
      <c r="BJ409" s="382"/>
      <c r="BK409" s="382"/>
      <c r="BL409" s="382"/>
      <c r="BM409" s="382"/>
      <c r="BN409" s="382"/>
      <c r="BO409" s="382"/>
    </row>
    <row r="410" spans="1:67" s="88" customFormat="1" ht="10.55" customHeight="1" x14ac:dyDescent="0.2">
      <c r="A410" s="1013" t="s">
        <v>551</v>
      </c>
      <c r="B410" s="2831"/>
      <c r="C410" s="2831"/>
      <c r="D410" s="2832"/>
      <c r="E410" s="2751"/>
      <c r="F410" s="2752"/>
      <c r="G410" s="1051"/>
      <c r="H410" s="1052"/>
      <c r="I410" s="1448">
        <f>IF($O410&gt;0,-PMT(($I$39),$O410,1),0)</f>
        <v>0</v>
      </c>
      <c r="J410" s="1414">
        <f>ROUND(E410*I410,-1)</f>
        <v>0</v>
      </c>
      <c r="K410" s="684"/>
      <c r="L410" s="685"/>
      <c r="M410" s="1442">
        <f>ROUND(E410/100*IF(ISBLANK(L410),K410,L410),-1)</f>
        <v>0</v>
      </c>
      <c r="N410" s="1111"/>
      <c r="O410" s="674">
        <f>IF(ISBLANK(H410),G410,H410)</f>
        <v>0</v>
      </c>
      <c r="P410" s="682"/>
      <c r="Q410" s="286"/>
      <c r="R410" s="287"/>
      <c r="S410" s="280"/>
      <c r="T410" s="280"/>
      <c r="U410" s="280"/>
      <c r="V410" s="280"/>
      <c r="W410" s="280"/>
      <c r="X410" s="280"/>
      <c r="Y410" s="280"/>
      <c r="Z410" s="284"/>
      <c r="AA410" s="284"/>
      <c r="AB410" s="284"/>
      <c r="AC410" s="284"/>
      <c r="AD410" s="284"/>
      <c r="AE410" s="284"/>
      <c r="AF410" s="447"/>
      <c r="AG410" s="447"/>
      <c r="AH410" s="447"/>
      <c r="AI410" s="382"/>
      <c r="AJ410" s="382"/>
      <c r="AK410" s="382"/>
      <c r="AL410" s="382"/>
      <c r="AM410" s="382"/>
      <c r="AN410" s="382"/>
      <c r="AO410" s="382"/>
      <c r="AP410" s="382"/>
      <c r="AQ410" s="382"/>
      <c r="AR410" s="382"/>
      <c r="AS410" s="382"/>
      <c r="AT410" s="382"/>
      <c r="AU410" s="382"/>
      <c r="AV410" s="382"/>
      <c r="AW410" s="382"/>
      <c r="AX410" s="382"/>
      <c r="AY410" s="382"/>
      <c r="AZ410" s="382"/>
      <c r="BA410" s="382"/>
      <c r="BB410" s="382"/>
      <c r="BC410" s="382"/>
      <c r="BD410" s="382"/>
      <c r="BE410" s="382"/>
      <c r="BF410" s="382"/>
      <c r="BG410" s="382"/>
      <c r="BH410" s="382"/>
      <c r="BI410" s="382"/>
      <c r="BJ410" s="382"/>
      <c r="BK410" s="382"/>
      <c r="BL410" s="382"/>
      <c r="BM410" s="382"/>
      <c r="BN410" s="382"/>
      <c r="BO410" s="382"/>
    </row>
    <row r="411" spans="1:67" s="88" customFormat="1" ht="10.55" customHeight="1" x14ac:dyDescent="0.2">
      <c r="A411" s="1013" t="s">
        <v>552</v>
      </c>
      <c r="B411" s="2831"/>
      <c r="C411" s="2831"/>
      <c r="D411" s="2832"/>
      <c r="E411" s="2751"/>
      <c r="F411" s="2752"/>
      <c r="G411" s="1051"/>
      <c r="H411" s="1052"/>
      <c r="I411" s="1448">
        <f>IF($O411&gt;0,-PMT(($I$39),$O411,1),0)</f>
        <v>0</v>
      </c>
      <c r="J411" s="1414">
        <f>ROUND(E411*I411,-1)</f>
        <v>0</v>
      </c>
      <c r="K411" s="684"/>
      <c r="L411" s="685"/>
      <c r="M411" s="1442">
        <f>ROUND(E411/100*IF(ISBLANK(L411),K411,L411),-1)</f>
        <v>0</v>
      </c>
      <c r="N411" s="1111"/>
      <c r="O411" s="674">
        <f>IF(ISBLANK(H411),G411,H411)</f>
        <v>0</v>
      </c>
      <c r="P411" s="682"/>
      <c r="Q411" s="286"/>
      <c r="R411" s="287"/>
      <c r="S411" s="280"/>
      <c r="T411" s="280"/>
      <c r="U411" s="280"/>
      <c r="V411" s="280"/>
      <c r="W411" s="280"/>
      <c r="X411" s="280"/>
      <c r="Y411" s="280"/>
      <c r="Z411" s="284"/>
      <c r="AA411" s="284"/>
      <c r="AB411" s="284"/>
      <c r="AC411" s="284"/>
      <c r="AD411" s="284"/>
      <c r="AE411" s="284"/>
      <c r="AF411" s="447"/>
      <c r="AG411" s="447"/>
      <c r="AH411" s="447"/>
      <c r="AI411" s="382"/>
      <c r="AJ411" s="382"/>
      <c r="AK411" s="382"/>
      <c r="AL411" s="382"/>
      <c r="AM411" s="382"/>
      <c r="AN411" s="382"/>
      <c r="AO411" s="382"/>
      <c r="AP411" s="382"/>
      <c r="AQ411" s="382"/>
      <c r="AR411" s="382"/>
      <c r="AS411" s="382"/>
      <c r="AT411" s="382"/>
      <c r="AU411" s="382"/>
      <c r="AV411" s="382"/>
      <c r="AW411" s="382"/>
      <c r="AX411" s="382"/>
      <c r="AY411" s="382"/>
      <c r="AZ411" s="382"/>
      <c r="BA411" s="382"/>
      <c r="BB411" s="382"/>
      <c r="BC411" s="382"/>
      <c r="BD411" s="382"/>
      <c r="BE411" s="382"/>
      <c r="BF411" s="382"/>
      <c r="BG411" s="382"/>
      <c r="BH411" s="382"/>
      <c r="BI411" s="382"/>
      <c r="BJ411" s="382"/>
      <c r="BK411" s="382"/>
      <c r="BL411" s="382"/>
      <c r="BM411" s="382"/>
      <c r="BN411" s="382"/>
      <c r="BO411" s="382"/>
    </row>
    <row r="412" spans="1:67" s="88" customFormat="1" ht="10.55" customHeight="1" x14ac:dyDescent="0.2">
      <c r="A412" s="1013" t="s">
        <v>553</v>
      </c>
      <c r="B412" s="2841"/>
      <c r="C412" s="2841"/>
      <c r="D412" s="2842"/>
      <c r="E412" s="2751"/>
      <c r="F412" s="2752"/>
      <c r="G412" s="1051"/>
      <c r="H412" s="1052"/>
      <c r="I412" s="1448">
        <f>IF($O412&gt;0,-PMT(($I$39),$O412,1),0)</f>
        <v>0</v>
      </c>
      <c r="J412" s="1414">
        <f>ROUND(E412*I412,-1)</f>
        <v>0</v>
      </c>
      <c r="K412" s="684"/>
      <c r="L412" s="685"/>
      <c r="M412" s="1442">
        <f>ROUND(E412/100*IF(ISBLANK(L412),K412,L412),-1)</f>
        <v>0</v>
      </c>
      <c r="N412" s="1111"/>
      <c r="O412" s="674">
        <f>IF(ISBLANK(H412),G412,H412)</f>
        <v>0</v>
      </c>
      <c r="P412" s="682"/>
      <c r="Q412" s="286"/>
      <c r="R412" s="287"/>
      <c r="S412" s="280"/>
      <c r="T412" s="280"/>
      <c r="U412" s="280"/>
      <c r="V412" s="280"/>
      <c r="W412" s="280"/>
      <c r="X412" s="280"/>
      <c r="Y412" s="280"/>
      <c r="Z412" s="284"/>
      <c r="AA412" s="284"/>
      <c r="AB412" s="284"/>
      <c r="AC412" s="284"/>
      <c r="AD412" s="284"/>
      <c r="AE412" s="284"/>
      <c r="AF412" s="447"/>
      <c r="AG412" s="447"/>
      <c r="AH412" s="447"/>
      <c r="AI412" s="382"/>
      <c r="AJ412" s="382"/>
      <c r="AK412" s="382"/>
      <c r="AL412" s="382"/>
      <c r="AM412" s="382"/>
      <c r="AN412" s="382"/>
      <c r="AO412" s="382"/>
      <c r="AP412" s="382"/>
      <c r="AQ412" s="382"/>
      <c r="AR412" s="382"/>
      <c r="AS412" s="382"/>
      <c r="AT412" s="382"/>
      <c r="AU412" s="382"/>
      <c r="AV412" s="382"/>
      <c r="AW412" s="382"/>
      <c r="AX412" s="382"/>
      <c r="AY412" s="382"/>
      <c r="AZ412" s="382"/>
      <c r="BA412" s="382"/>
      <c r="BB412" s="382"/>
      <c r="BC412" s="382"/>
      <c r="BD412" s="382"/>
      <c r="BE412" s="382"/>
      <c r="BF412" s="382"/>
      <c r="BG412" s="382"/>
      <c r="BH412" s="382"/>
      <c r="BI412" s="382"/>
      <c r="BJ412" s="382"/>
      <c r="BK412" s="382"/>
      <c r="BL412" s="382"/>
      <c r="BM412" s="382"/>
      <c r="BN412" s="382"/>
      <c r="BO412" s="382"/>
    </row>
    <row r="413" spans="1:67" s="88" customFormat="1" ht="10.55" customHeight="1" x14ac:dyDescent="0.2">
      <c r="A413" s="1017"/>
      <c r="B413" s="690"/>
      <c r="C413" s="690"/>
      <c r="D413" s="683"/>
      <c r="E413" s="2814"/>
      <c r="F413" s="2815"/>
      <c r="G413" s="1018"/>
      <c r="H413" s="1019"/>
      <c r="I413" s="1449">
        <f>IF($O413&gt;0,-PMT(($I$39),$O413,1),0)</f>
        <v>0</v>
      </c>
      <c r="J413" s="1447"/>
      <c r="K413" s="1444"/>
      <c r="L413" s="1445"/>
      <c r="M413" s="1443">
        <f>ROUND(E413/100*IF(ISBLANK(L413),K413,L413),-1)</f>
        <v>0</v>
      </c>
      <c r="N413" s="1111"/>
      <c r="O413" s="674">
        <f>IF(ISBLANK(H413),G413,H413)</f>
        <v>0</v>
      </c>
      <c r="P413" s="682"/>
      <c r="Q413" s="286"/>
      <c r="R413" s="287"/>
      <c r="S413" s="280"/>
      <c r="T413" s="280"/>
      <c r="U413" s="280"/>
      <c r="V413" s="280"/>
      <c r="W413" s="280"/>
      <c r="X413" s="280"/>
      <c r="Y413" s="280"/>
      <c r="Z413" s="284"/>
      <c r="AA413" s="284"/>
      <c r="AB413" s="284"/>
      <c r="AC413" s="284"/>
      <c r="AD413" s="284"/>
      <c r="AE413" s="284"/>
      <c r="AF413" s="447"/>
      <c r="AG413" s="447"/>
      <c r="AH413" s="447"/>
      <c r="AI413" s="382"/>
      <c r="AJ413" s="382"/>
      <c r="AK413" s="382"/>
      <c r="AL413" s="382"/>
      <c r="AM413" s="382"/>
      <c r="AN413" s="382"/>
      <c r="AO413" s="382"/>
      <c r="AP413" s="382"/>
      <c r="AQ413" s="382"/>
      <c r="AR413" s="382"/>
      <c r="AS413" s="382"/>
      <c r="AT413" s="382"/>
      <c r="AU413" s="382"/>
      <c r="AV413" s="382"/>
      <c r="AW413" s="382"/>
      <c r="AX413" s="382"/>
      <c r="AY413" s="382"/>
      <c r="AZ413" s="382"/>
      <c r="BA413" s="382"/>
      <c r="BB413" s="382"/>
      <c r="BC413" s="382"/>
      <c r="BD413" s="382"/>
      <c r="BE413" s="382"/>
      <c r="BF413" s="382"/>
      <c r="BG413" s="382"/>
      <c r="BH413" s="382"/>
      <c r="BI413" s="382"/>
      <c r="BJ413" s="382"/>
      <c r="BK413" s="382"/>
      <c r="BL413" s="382"/>
      <c r="BM413" s="382"/>
      <c r="BN413" s="382"/>
      <c r="BO413" s="382"/>
    </row>
    <row r="414" spans="1:67" s="88" customFormat="1" ht="14.1" customHeight="1" thickBot="1" x14ac:dyDescent="0.25">
      <c r="A414" s="391" t="s">
        <v>14</v>
      </c>
      <c r="B414" s="90"/>
      <c r="C414" s="90"/>
      <c r="D414" s="1406"/>
      <c r="E414" s="2889">
        <f>ROUND(SUM(E44:E361)/2,-2)</f>
        <v>0</v>
      </c>
      <c r="F414" s="2843"/>
      <c r="G414" s="2840">
        <f>IF($E$414&gt;0,SUMPRODUCT($E$44:$E$360,$O$44:$O$360)/$E$414,0)</f>
        <v>0</v>
      </c>
      <c r="H414" s="2840"/>
      <c r="I414" s="1410">
        <f>IF(E414=0,0,J414/E414)</f>
        <v>0</v>
      </c>
      <c r="J414" s="1407">
        <f>ROUND(SUM(J44:J361)/2,-1)</f>
        <v>0</v>
      </c>
      <c r="K414" s="2764"/>
      <c r="L414" s="2765"/>
      <c r="M414" s="1446">
        <f>ROUND(SUM(M44:M413)/2,-1)</f>
        <v>0</v>
      </c>
      <c r="N414" s="1111"/>
      <c r="O414" s="320"/>
      <c r="P414" s="288"/>
      <c r="Q414" s="280"/>
      <c r="R414" s="287"/>
      <c r="S414" s="289"/>
      <c r="T414" s="271"/>
      <c r="U414" s="271"/>
      <c r="V414" s="271"/>
      <c r="W414" s="271"/>
      <c r="X414" s="271"/>
      <c r="Y414" s="271"/>
      <c r="Z414" s="270"/>
      <c r="AA414" s="270"/>
      <c r="AB414" s="270"/>
      <c r="AC414" s="270"/>
      <c r="AD414" s="270"/>
      <c r="AE414" s="270"/>
      <c r="AF414" s="380"/>
      <c r="AG414" s="380"/>
      <c r="AH414" s="380"/>
      <c r="AI414" s="381"/>
      <c r="AJ414" s="381"/>
      <c r="AK414" s="382"/>
      <c r="AL414" s="382"/>
      <c r="AM414" s="382"/>
      <c r="AN414" s="382"/>
      <c r="AO414" s="382"/>
      <c r="AP414" s="382"/>
      <c r="AQ414" s="382"/>
      <c r="AR414" s="382"/>
      <c r="AS414" s="382"/>
      <c r="AT414" s="382"/>
      <c r="AU414" s="382"/>
      <c r="AV414" s="382"/>
      <c r="AW414" s="382"/>
      <c r="AX414" s="382"/>
      <c r="AY414" s="382"/>
      <c r="AZ414" s="382"/>
      <c r="BA414" s="382"/>
      <c r="BB414" s="382"/>
      <c r="BC414" s="382"/>
      <c r="BD414" s="382"/>
      <c r="BE414" s="382"/>
      <c r="BF414" s="382"/>
      <c r="BG414" s="382"/>
      <c r="BH414" s="382"/>
      <c r="BI414" s="382"/>
      <c r="BJ414" s="382"/>
      <c r="BK414" s="382"/>
      <c r="BL414" s="382"/>
      <c r="BM414" s="382"/>
      <c r="BN414" s="382"/>
      <c r="BO414" s="382"/>
    </row>
    <row r="415" spans="1:67" x14ac:dyDescent="0.2">
      <c r="O415" s="1111"/>
      <c r="P415" s="1111"/>
      <c r="Q415" s="1111"/>
      <c r="R415" s="1111"/>
      <c r="S415" s="1111"/>
      <c r="T415" s="1111"/>
      <c r="U415" s="1111"/>
      <c r="V415" s="1111"/>
      <c r="W415" s="83"/>
      <c r="X415" s="83"/>
      <c r="Y415" s="1111"/>
      <c r="Z415" s="1111"/>
      <c r="AA415" s="1111"/>
    </row>
    <row r="416" spans="1:67" x14ac:dyDescent="0.2">
      <c r="O416" s="1111"/>
      <c r="P416" s="1111"/>
      <c r="Q416" s="1111"/>
      <c r="R416" s="1111"/>
      <c r="S416" s="1111"/>
      <c r="T416" s="1111"/>
      <c r="U416" s="1111"/>
      <c r="V416" s="1111"/>
      <c r="W416" s="83"/>
      <c r="X416" s="83"/>
      <c r="Y416" s="1111"/>
      <c r="Z416" s="1111"/>
      <c r="AA416" s="1111"/>
    </row>
    <row r="417" spans="1:68" x14ac:dyDescent="0.2">
      <c r="O417" s="1111"/>
      <c r="P417" s="1111"/>
      <c r="Q417" s="1111"/>
      <c r="R417" s="1111"/>
      <c r="S417" s="1111"/>
      <c r="T417" s="1111"/>
      <c r="U417" s="1111"/>
      <c r="V417" s="1111"/>
      <c r="W417" s="83"/>
      <c r="X417" s="83"/>
      <c r="Y417" s="1111"/>
      <c r="Z417" s="1111"/>
      <c r="AA417" s="1111"/>
    </row>
    <row r="418" spans="1:68" x14ac:dyDescent="0.2">
      <c r="O418" s="1111"/>
      <c r="P418" s="1111"/>
      <c r="Q418" s="1111"/>
      <c r="R418" s="1111"/>
      <c r="S418" s="1111"/>
      <c r="T418" s="1111"/>
      <c r="U418" s="1111"/>
      <c r="V418" s="1111"/>
      <c r="W418" s="83"/>
      <c r="X418" s="83"/>
      <c r="Y418" s="1111"/>
      <c r="Z418" s="1111"/>
      <c r="AA418" s="1111"/>
    </row>
    <row r="419" spans="1:68" x14ac:dyDescent="0.2">
      <c r="O419" s="1111"/>
      <c r="P419" s="1111"/>
      <c r="Q419" s="1111"/>
      <c r="R419" s="1111"/>
      <c r="S419" s="1111"/>
      <c r="T419" s="1111"/>
      <c r="U419" s="1111"/>
      <c r="V419" s="1111"/>
      <c r="W419" s="83"/>
      <c r="X419" s="83"/>
      <c r="Y419" s="1111"/>
      <c r="Z419" s="1111"/>
      <c r="AA419" s="1111"/>
    </row>
    <row r="420" spans="1:68" x14ac:dyDescent="0.2">
      <c r="O420" s="1111"/>
      <c r="P420" s="1111"/>
      <c r="Q420" s="1111"/>
      <c r="R420" s="1111"/>
      <c r="S420" s="1111"/>
      <c r="T420" s="1111"/>
      <c r="U420" s="1111"/>
      <c r="V420" s="1111"/>
      <c r="W420" s="1111"/>
      <c r="X420" s="1111"/>
      <c r="Y420" s="1111"/>
      <c r="Z420" s="1111"/>
      <c r="AA420" s="1111"/>
    </row>
    <row r="421" spans="1:68" x14ac:dyDescent="0.2">
      <c r="O421" s="1111"/>
      <c r="P421" s="1111"/>
      <c r="Q421" s="1111"/>
      <c r="R421" s="1111"/>
      <c r="S421" s="1111"/>
      <c r="T421" s="1111"/>
      <c r="U421" s="1111"/>
      <c r="V421" s="1111"/>
      <c r="W421" s="1111"/>
      <c r="X421" s="1111"/>
      <c r="Y421" s="1111"/>
      <c r="Z421" s="1111"/>
      <c r="AA421" s="1111"/>
    </row>
    <row r="422" spans="1:68" s="270" customFormat="1" x14ac:dyDescent="0.2">
      <c r="A422" s="86"/>
      <c r="B422" s="84"/>
      <c r="C422" s="84"/>
      <c r="D422" s="84"/>
      <c r="E422" s="84"/>
      <c r="F422" s="84"/>
      <c r="G422" s="83"/>
      <c r="H422" s="83"/>
      <c r="I422" s="83"/>
      <c r="J422" s="86"/>
      <c r="K422" s="86"/>
      <c r="L422" s="86"/>
      <c r="M422" s="86"/>
      <c r="N422" s="86"/>
      <c r="O422" s="1111"/>
      <c r="P422" s="1111"/>
      <c r="Q422" s="1111"/>
      <c r="R422" s="1111"/>
      <c r="S422" s="1111"/>
      <c r="T422" s="1111"/>
      <c r="U422" s="1111"/>
      <c r="V422" s="1111"/>
      <c r="W422" s="1111"/>
      <c r="X422" s="1111"/>
      <c r="Y422" s="1111"/>
      <c r="Z422" s="1111"/>
      <c r="AA422" s="1111"/>
      <c r="AG422" s="380"/>
      <c r="AH422" s="380"/>
      <c r="AI422" s="380"/>
      <c r="AJ422" s="381"/>
      <c r="AK422" s="381"/>
      <c r="AL422" s="381"/>
      <c r="AM422" s="381"/>
      <c r="AN422" s="381"/>
      <c r="AO422" s="381"/>
      <c r="AP422" s="381"/>
      <c r="AQ422" s="381"/>
      <c r="AR422" s="381"/>
      <c r="AS422" s="381"/>
      <c r="AT422" s="381"/>
      <c r="AU422" s="381"/>
      <c r="AV422" s="381"/>
      <c r="AW422" s="381"/>
      <c r="AX422" s="381"/>
      <c r="AY422" s="381"/>
      <c r="AZ422" s="381"/>
      <c r="BA422" s="381"/>
      <c r="BB422" s="381"/>
      <c r="BC422" s="381"/>
      <c r="BD422" s="381"/>
      <c r="BE422" s="381"/>
      <c r="BF422" s="381"/>
      <c r="BG422" s="381"/>
      <c r="BH422" s="381"/>
      <c r="BI422" s="381"/>
      <c r="BJ422" s="381"/>
      <c r="BK422" s="381"/>
      <c r="BL422" s="381"/>
      <c r="BM422" s="381"/>
      <c r="BN422" s="381"/>
      <c r="BO422" s="381"/>
      <c r="BP422" s="381"/>
    </row>
    <row r="423" spans="1:68" s="270" customFormat="1" x14ac:dyDescent="0.2">
      <c r="A423" s="86"/>
      <c r="B423" s="84"/>
      <c r="C423" s="84"/>
      <c r="D423" s="84"/>
      <c r="E423" s="84"/>
      <c r="F423" s="84"/>
      <c r="G423" s="83"/>
      <c r="H423" s="83"/>
      <c r="I423" s="83"/>
      <c r="J423" s="86"/>
      <c r="K423" s="86"/>
      <c r="L423" s="86"/>
      <c r="M423" s="86"/>
      <c r="N423" s="86"/>
      <c r="O423" s="1111"/>
      <c r="P423" s="1111"/>
      <c r="Q423" s="1111"/>
      <c r="R423" s="1111"/>
      <c r="S423" s="1111"/>
      <c r="T423" s="1111"/>
      <c r="U423" s="1111"/>
      <c r="V423" s="1111"/>
      <c r="W423" s="1111"/>
      <c r="X423" s="1111"/>
      <c r="Y423" s="1111"/>
      <c r="Z423" s="1111"/>
      <c r="AA423" s="1111"/>
      <c r="AG423" s="380"/>
      <c r="AH423" s="380"/>
      <c r="AI423" s="380"/>
      <c r="AJ423" s="381"/>
      <c r="AK423" s="381"/>
      <c r="AL423" s="381"/>
      <c r="AM423" s="381"/>
      <c r="AN423" s="381"/>
      <c r="AO423" s="381"/>
      <c r="AP423" s="381"/>
      <c r="AQ423" s="381"/>
      <c r="AR423" s="381"/>
      <c r="AS423" s="381"/>
      <c r="AT423" s="381"/>
      <c r="AU423" s="381"/>
      <c r="AV423" s="381"/>
      <c r="AW423" s="381"/>
      <c r="AX423" s="381"/>
      <c r="AY423" s="381"/>
      <c r="AZ423" s="381"/>
      <c r="BA423" s="381"/>
      <c r="BB423" s="381"/>
      <c r="BC423" s="381"/>
      <c r="BD423" s="381"/>
      <c r="BE423" s="381"/>
      <c r="BF423" s="381"/>
      <c r="BG423" s="381"/>
      <c r="BH423" s="381"/>
      <c r="BI423" s="381"/>
      <c r="BJ423" s="381"/>
      <c r="BK423" s="381"/>
      <c r="BL423" s="381"/>
      <c r="BM423" s="381"/>
      <c r="BN423" s="381"/>
      <c r="BO423" s="381"/>
      <c r="BP423" s="381"/>
    </row>
    <row r="424" spans="1:68" s="270" customFormat="1" x14ac:dyDescent="0.2">
      <c r="A424" s="86"/>
      <c r="B424" s="84"/>
      <c r="C424" s="84"/>
      <c r="D424" s="84"/>
      <c r="E424" s="84"/>
      <c r="F424" s="84"/>
      <c r="G424" s="83"/>
      <c r="H424" s="83"/>
      <c r="I424" s="83"/>
      <c r="J424" s="86"/>
      <c r="K424" s="86"/>
      <c r="L424" s="86"/>
      <c r="M424" s="86"/>
      <c r="N424" s="86"/>
      <c r="O424" s="1111"/>
      <c r="P424" s="1111"/>
      <c r="Q424" s="1111"/>
      <c r="R424" s="1111"/>
      <c r="S424" s="1111"/>
      <c r="T424" s="1111"/>
      <c r="U424" s="1111"/>
      <c r="V424" s="1111"/>
      <c r="W424" s="1111"/>
      <c r="X424" s="1111"/>
      <c r="Y424" s="1111"/>
      <c r="Z424" s="1111"/>
      <c r="AA424" s="1111"/>
      <c r="AG424" s="380"/>
      <c r="AH424" s="380"/>
      <c r="AI424" s="380"/>
      <c r="AJ424" s="381"/>
      <c r="AK424" s="381"/>
      <c r="AL424" s="381"/>
      <c r="AM424" s="381"/>
      <c r="AN424" s="381"/>
      <c r="AO424" s="381"/>
      <c r="AP424" s="381"/>
      <c r="AQ424" s="381"/>
      <c r="AR424" s="381"/>
      <c r="AS424" s="381"/>
      <c r="AT424" s="381"/>
      <c r="AU424" s="381"/>
      <c r="AV424" s="381"/>
      <c r="AW424" s="381"/>
      <c r="AX424" s="381"/>
      <c r="AY424" s="381"/>
      <c r="AZ424" s="381"/>
      <c r="BA424" s="381"/>
      <c r="BB424" s="381"/>
      <c r="BC424" s="381"/>
      <c r="BD424" s="381"/>
      <c r="BE424" s="381"/>
      <c r="BF424" s="381"/>
      <c r="BG424" s="381"/>
      <c r="BH424" s="381"/>
      <c r="BI424" s="381"/>
      <c r="BJ424" s="381"/>
      <c r="BK424" s="381"/>
      <c r="BL424" s="381"/>
      <c r="BM424" s="381"/>
      <c r="BN424" s="381"/>
      <c r="BO424" s="381"/>
      <c r="BP424" s="381"/>
    </row>
    <row r="425" spans="1:68" s="270" customFormat="1" x14ac:dyDescent="0.2">
      <c r="A425" s="86"/>
      <c r="B425" s="84"/>
      <c r="C425" s="84"/>
      <c r="D425" s="84"/>
      <c r="E425" s="84"/>
      <c r="F425" s="84"/>
      <c r="G425" s="83"/>
      <c r="H425" s="83"/>
      <c r="I425" s="83"/>
      <c r="J425" s="86"/>
      <c r="K425" s="86"/>
      <c r="L425" s="86"/>
      <c r="M425" s="86"/>
      <c r="N425" s="86"/>
      <c r="O425" s="1111"/>
      <c r="P425" s="1111"/>
      <c r="Q425" s="1111"/>
      <c r="R425" s="1111"/>
      <c r="S425" s="1111"/>
      <c r="T425" s="1111"/>
      <c r="U425" s="1111"/>
      <c r="V425" s="1111"/>
      <c r="W425" s="1111"/>
      <c r="X425" s="1111"/>
      <c r="Y425" s="1111"/>
      <c r="Z425" s="1111"/>
      <c r="AA425" s="1111"/>
      <c r="AG425" s="380"/>
      <c r="AH425" s="380"/>
      <c r="AI425" s="380"/>
      <c r="AJ425" s="381"/>
      <c r="AK425" s="381"/>
      <c r="AL425" s="381"/>
      <c r="AM425" s="381"/>
      <c r="AN425" s="381"/>
      <c r="AO425" s="381"/>
      <c r="AP425" s="381"/>
      <c r="AQ425" s="381"/>
      <c r="AR425" s="381"/>
      <c r="AS425" s="381"/>
      <c r="AT425" s="381"/>
      <c r="AU425" s="381"/>
      <c r="AV425" s="381"/>
      <c r="AW425" s="381"/>
      <c r="AX425" s="381"/>
      <c r="AY425" s="381"/>
      <c r="AZ425" s="381"/>
      <c r="BA425" s="381"/>
      <c r="BB425" s="381"/>
      <c r="BC425" s="381"/>
      <c r="BD425" s="381"/>
      <c r="BE425" s="381"/>
      <c r="BF425" s="381"/>
      <c r="BG425" s="381"/>
      <c r="BH425" s="381"/>
      <c r="BI425" s="381"/>
      <c r="BJ425" s="381"/>
      <c r="BK425" s="381"/>
      <c r="BL425" s="381"/>
      <c r="BM425" s="381"/>
      <c r="BN425" s="381"/>
      <c r="BO425" s="381"/>
      <c r="BP425" s="381"/>
    </row>
    <row r="426" spans="1:68" s="270" customFormat="1" x14ac:dyDescent="0.2">
      <c r="A426" s="86"/>
      <c r="B426" s="84"/>
      <c r="C426" s="84"/>
      <c r="D426" s="84"/>
      <c r="E426" s="84"/>
      <c r="F426" s="84"/>
      <c r="G426" s="83"/>
      <c r="H426" s="83"/>
      <c r="I426" s="83"/>
      <c r="J426" s="86"/>
      <c r="K426" s="86"/>
      <c r="L426" s="86"/>
      <c r="M426" s="86"/>
      <c r="N426" s="86"/>
      <c r="O426" s="1111"/>
      <c r="P426" s="1111"/>
      <c r="Q426" s="1111"/>
      <c r="R426" s="1111"/>
      <c r="S426" s="1111"/>
      <c r="T426" s="1111"/>
      <c r="U426" s="1111"/>
      <c r="V426" s="1111"/>
      <c r="W426" s="1111"/>
      <c r="X426" s="1111"/>
      <c r="Y426" s="1111"/>
      <c r="Z426" s="1111"/>
      <c r="AA426" s="1111"/>
      <c r="AG426" s="380"/>
      <c r="AH426" s="380"/>
      <c r="AI426" s="380"/>
      <c r="AJ426" s="381"/>
      <c r="AK426" s="381"/>
      <c r="AL426" s="381"/>
      <c r="AM426" s="381"/>
      <c r="AN426" s="381"/>
      <c r="AO426" s="381"/>
      <c r="AP426" s="381"/>
      <c r="AQ426" s="381"/>
      <c r="AR426" s="381"/>
      <c r="AS426" s="381"/>
      <c r="AT426" s="381"/>
      <c r="AU426" s="381"/>
      <c r="AV426" s="381"/>
      <c r="AW426" s="381"/>
      <c r="AX426" s="381"/>
      <c r="AY426" s="381"/>
      <c r="AZ426" s="381"/>
      <c r="BA426" s="381"/>
      <c r="BB426" s="381"/>
      <c r="BC426" s="381"/>
      <c r="BD426" s="381"/>
      <c r="BE426" s="381"/>
      <c r="BF426" s="381"/>
      <c r="BG426" s="381"/>
      <c r="BH426" s="381"/>
      <c r="BI426" s="381"/>
      <c r="BJ426" s="381"/>
      <c r="BK426" s="381"/>
      <c r="BL426" s="381"/>
      <c r="BM426" s="381"/>
      <c r="BN426" s="381"/>
      <c r="BO426" s="381"/>
      <c r="BP426" s="381"/>
    </row>
    <row r="427" spans="1:68" s="270" customFormat="1" x14ac:dyDescent="0.2">
      <c r="A427" s="86"/>
      <c r="B427" s="84"/>
      <c r="C427" s="84"/>
      <c r="D427" s="84"/>
      <c r="E427" s="84"/>
      <c r="F427" s="84"/>
      <c r="G427" s="83"/>
      <c r="H427" s="83"/>
      <c r="I427" s="83"/>
      <c r="J427" s="86"/>
      <c r="K427" s="86"/>
      <c r="L427" s="86"/>
      <c r="M427" s="86"/>
      <c r="N427" s="86"/>
      <c r="O427" s="1111"/>
      <c r="P427" s="1111"/>
      <c r="Q427" s="1111"/>
      <c r="R427" s="1111"/>
      <c r="S427" s="1111"/>
      <c r="T427" s="1111"/>
      <c r="U427" s="1111"/>
      <c r="V427" s="1111"/>
      <c r="W427" s="1111"/>
      <c r="X427" s="1111"/>
      <c r="Y427" s="1111"/>
      <c r="Z427" s="1111"/>
      <c r="AA427" s="1111"/>
      <c r="AG427" s="380"/>
      <c r="AH427" s="380"/>
      <c r="AI427" s="380"/>
      <c r="AJ427" s="381"/>
      <c r="AK427" s="381"/>
      <c r="AL427" s="381"/>
      <c r="AM427" s="381"/>
      <c r="AN427" s="381"/>
      <c r="AO427" s="381"/>
      <c r="AP427" s="381"/>
      <c r="AQ427" s="381"/>
      <c r="AR427" s="381"/>
      <c r="AS427" s="381"/>
      <c r="AT427" s="381"/>
      <c r="AU427" s="381"/>
      <c r="AV427" s="381"/>
      <c r="AW427" s="381"/>
      <c r="AX427" s="381"/>
      <c r="AY427" s="381"/>
      <c r="AZ427" s="381"/>
      <c r="BA427" s="381"/>
      <c r="BB427" s="381"/>
      <c r="BC427" s="381"/>
      <c r="BD427" s="381"/>
      <c r="BE427" s="381"/>
      <c r="BF427" s="381"/>
      <c r="BG427" s="381"/>
      <c r="BH427" s="381"/>
      <c r="BI427" s="381"/>
      <c r="BJ427" s="381"/>
      <c r="BK427" s="381"/>
      <c r="BL427" s="381"/>
      <c r="BM427" s="381"/>
      <c r="BN427" s="381"/>
      <c r="BO427" s="381"/>
      <c r="BP427" s="381"/>
    </row>
    <row r="428" spans="1:68" s="270" customFormat="1" x14ac:dyDescent="0.2">
      <c r="A428" s="86"/>
      <c r="B428" s="84"/>
      <c r="C428" s="84"/>
      <c r="D428" s="84"/>
      <c r="E428" s="84"/>
      <c r="F428" s="84"/>
      <c r="G428" s="83"/>
      <c r="H428" s="83"/>
      <c r="I428" s="83"/>
      <c r="J428" s="86"/>
      <c r="K428" s="86"/>
      <c r="L428" s="86"/>
      <c r="M428" s="86"/>
      <c r="N428" s="86"/>
      <c r="O428" s="1111"/>
      <c r="P428" s="1111"/>
      <c r="Q428" s="1111"/>
      <c r="R428" s="1111"/>
      <c r="S428" s="1111"/>
      <c r="T428" s="1111"/>
      <c r="U428" s="1111"/>
      <c r="V428" s="1111"/>
      <c r="AG428" s="380"/>
      <c r="AH428" s="380"/>
      <c r="AI428" s="380"/>
      <c r="AJ428" s="381"/>
      <c r="AK428" s="381"/>
      <c r="AL428" s="381"/>
      <c r="AM428" s="381"/>
      <c r="AN428" s="381"/>
      <c r="AO428" s="381"/>
      <c r="AP428" s="381"/>
      <c r="AQ428" s="381"/>
      <c r="AR428" s="381"/>
      <c r="AS428" s="381"/>
      <c r="AT428" s="381"/>
      <c r="AU428" s="381"/>
      <c r="AV428" s="381"/>
      <c r="AW428" s="381"/>
      <c r="AX428" s="381"/>
      <c r="AY428" s="381"/>
      <c r="AZ428" s="381"/>
      <c r="BA428" s="381"/>
      <c r="BB428" s="381"/>
      <c r="BC428" s="381"/>
      <c r="BD428" s="381"/>
      <c r="BE428" s="381"/>
      <c r="BF428" s="381"/>
      <c r="BG428" s="381"/>
      <c r="BH428" s="381"/>
      <c r="BI428" s="381"/>
      <c r="BJ428" s="381"/>
      <c r="BK428" s="381"/>
      <c r="BL428" s="381"/>
      <c r="BM428" s="381"/>
      <c r="BN428" s="381"/>
      <c r="BO428" s="381"/>
      <c r="BP428" s="381"/>
    </row>
    <row r="429" spans="1:68" s="270" customFormat="1" x14ac:dyDescent="0.2">
      <c r="A429" s="86"/>
      <c r="B429" s="84"/>
      <c r="C429" s="84"/>
      <c r="D429" s="84"/>
      <c r="E429" s="84"/>
      <c r="F429" s="84"/>
      <c r="G429" s="83"/>
      <c r="H429" s="83"/>
      <c r="I429" s="83"/>
      <c r="J429" s="86"/>
      <c r="K429" s="86"/>
      <c r="L429" s="86"/>
      <c r="M429" s="86"/>
      <c r="N429" s="86"/>
      <c r="O429" s="1111"/>
      <c r="P429" s="1111"/>
      <c r="Q429" s="1111"/>
      <c r="R429" s="1111"/>
      <c r="S429" s="1111"/>
      <c r="T429" s="1111"/>
      <c r="U429" s="1111"/>
      <c r="V429" s="1111"/>
      <c r="AG429" s="380"/>
      <c r="AH429" s="380"/>
      <c r="AI429" s="380"/>
      <c r="AJ429" s="381"/>
      <c r="AK429" s="381"/>
      <c r="AL429" s="381"/>
      <c r="AM429" s="381"/>
      <c r="AN429" s="381"/>
      <c r="AO429" s="381"/>
      <c r="AP429" s="381"/>
      <c r="AQ429" s="381"/>
      <c r="AR429" s="381"/>
      <c r="AS429" s="381"/>
      <c r="AT429" s="381"/>
      <c r="AU429" s="381"/>
      <c r="AV429" s="381"/>
      <c r="AW429" s="381"/>
      <c r="AX429" s="381"/>
      <c r="AY429" s="381"/>
      <c r="AZ429" s="381"/>
      <c r="BA429" s="381"/>
      <c r="BB429" s="381"/>
      <c r="BC429" s="381"/>
      <c r="BD429" s="381"/>
      <c r="BE429" s="381"/>
      <c r="BF429" s="381"/>
      <c r="BG429" s="381"/>
      <c r="BH429" s="381"/>
      <c r="BI429" s="381"/>
      <c r="BJ429" s="381"/>
      <c r="BK429" s="381"/>
      <c r="BL429" s="381"/>
      <c r="BM429" s="381"/>
      <c r="BN429" s="381"/>
      <c r="BO429" s="381"/>
      <c r="BP429" s="381"/>
    </row>
    <row r="430" spans="1:68" s="270" customFormat="1" x14ac:dyDescent="0.2">
      <c r="A430" s="86"/>
      <c r="B430" s="84"/>
      <c r="C430" s="84"/>
      <c r="D430" s="84"/>
      <c r="E430" s="84"/>
      <c r="F430" s="84"/>
      <c r="G430" s="83"/>
      <c r="H430" s="83"/>
      <c r="I430" s="83"/>
      <c r="J430" s="86"/>
      <c r="K430" s="86"/>
      <c r="L430" s="86"/>
      <c r="M430" s="86"/>
      <c r="N430" s="86"/>
      <c r="O430" s="1111"/>
      <c r="P430" s="1111"/>
      <c r="Q430" s="1111"/>
      <c r="R430" s="1111"/>
      <c r="S430" s="1111"/>
      <c r="T430" s="1111"/>
      <c r="U430" s="1111"/>
      <c r="V430" s="1111"/>
      <c r="AG430" s="380"/>
      <c r="AH430" s="380"/>
      <c r="AI430" s="380"/>
      <c r="AJ430" s="381"/>
      <c r="AK430" s="381"/>
      <c r="AL430" s="381"/>
      <c r="AM430" s="381"/>
      <c r="AN430" s="381"/>
      <c r="AO430" s="381"/>
      <c r="AP430" s="381"/>
      <c r="AQ430" s="381"/>
      <c r="AR430" s="381"/>
      <c r="AS430" s="381"/>
      <c r="AT430" s="381"/>
      <c r="AU430" s="381"/>
      <c r="AV430" s="381"/>
      <c r="AW430" s="381"/>
      <c r="AX430" s="381"/>
      <c r="AY430" s="381"/>
      <c r="AZ430" s="381"/>
      <c r="BA430" s="381"/>
      <c r="BB430" s="381"/>
      <c r="BC430" s="381"/>
      <c r="BD430" s="381"/>
      <c r="BE430" s="381"/>
      <c r="BF430" s="381"/>
      <c r="BG430" s="381"/>
      <c r="BH430" s="381"/>
      <c r="BI430" s="381"/>
      <c r="BJ430" s="381"/>
      <c r="BK430" s="381"/>
      <c r="BL430" s="381"/>
      <c r="BM430" s="381"/>
      <c r="BN430" s="381"/>
      <c r="BO430" s="381"/>
      <c r="BP430" s="381"/>
    </row>
    <row r="431" spans="1:68" s="270" customFormat="1" ht="12.9" customHeight="1" x14ac:dyDescent="0.2">
      <c r="A431" s="86"/>
      <c r="B431" s="84"/>
      <c r="C431" s="84"/>
      <c r="D431" s="84"/>
      <c r="E431" s="84"/>
      <c r="F431" s="84"/>
      <c r="G431" s="83"/>
      <c r="H431" s="83"/>
      <c r="I431" s="83"/>
      <c r="J431" s="86"/>
      <c r="K431" s="86"/>
      <c r="L431" s="86"/>
      <c r="M431" s="86"/>
      <c r="N431" s="86"/>
      <c r="O431" s="1111"/>
      <c r="P431" s="1111"/>
      <c r="Q431" s="1111"/>
      <c r="R431" s="1111"/>
      <c r="S431" s="1111"/>
      <c r="T431" s="1111"/>
      <c r="U431" s="1111"/>
      <c r="V431" s="1111"/>
      <c r="AG431" s="380"/>
      <c r="AH431" s="380"/>
      <c r="AI431" s="380"/>
      <c r="AJ431" s="381"/>
      <c r="AK431" s="381"/>
      <c r="AL431" s="381"/>
      <c r="AM431" s="381"/>
      <c r="AN431" s="381"/>
      <c r="AO431" s="381"/>
      <c r="AP431" s="381"/>
      <c r="AQ431" s="381"/>
      <c r="AR431" s="381"/>
      <c r="AS431" s="381"/>
      <c r="AT431" s="381"/>
      <c r="AU431" s="381"/>
      <c r="AV431" s="381"/>
      <c r="AW431" s="381"/>
      <c r="AX431" s="381"/>
      <c r="AY431" s="381"/>
      <c r="AZ431" s="381"/>
      <c r="BA431" s="381"/>
      <c r="BB431" s="381"/>
      <c r="BC431" s="381"/>
      <c r="BD431" s="381"/>
      <c r="BE431" s="381"/>
      <c r="BF431" s="381"/>
      <c r="BG431" s="381"/>
      <c r="BH431" s="381"/>
      <c r="BI431" s="381"/>
      <c r="BJ431" s="381"/>
      <c r="BK431" s="381"/>
      <c r="BL431" s="381"/>
      <c r="BM431" s="381"/>
      <c r="BN431" s="381"/>
      <c r="BO431" s="381"/>
      <c r="BP431" s="381"/>
    </row>
  </sheetData>
  <sheetProtection algorithmName="SHA-512" hashValue="n/SIDCd+4mtTPfoAm6rFGSjeLBO3/RRgY8m1ENozvz+6fi+2ljuUja12RDEPWCrSwXuUGz9RhJh5zA4zJYxfrQ==" saltValue="RnfuqCG0t8tI5F80ygmj4g==" spinCount="100000" sheet="1" objects="1" scenarios="1" selectLockedCells="1"/>
  <mergeCells count="829">
    <mergeCell ref="B1:G1"/>
    <mergeCell ref="B44:D44"/>
    <mergeCell ref="E44:F44"/>
    <mergeCell ref="G44:H44"/>
    <mergeCell ref="K44:L44"/>
    <mergeCell ref="B45:D45"/>
    <mergeCell ref="E45:F45"/>
    <mergeCell ref="E43:F43"/>
    <mergeCell ref="G43:H43"/>
    <mergeCell ref="K43:L43"/>
    <mergeCell ref="E13:F13"/>
    <mergeCell ref="G13:H13"/>
    <mergeCell ref="K13:L13"/>
    <mergeCell ref="E15:F15"/>
    <mergeCell ref="G15:I15"/>
    <mergeCell ref="K15:L15"/>
    <mergeCell ref="E16:F16"/>
    <mergeCell ref="G16:I16"/>
    <mergeCell ref="K16:L16"/>
    <mergeCell ref="E17:F17"/>
    <mergeCell ref="G17:I17"/>
    <mergeCell ref="K17:L17"/>
    <mergeCell ref="A14:M14"/>
    <mergeCell ref="E18:F18"/>
    <mergeCell ref="B49:D49"/>
    <mergeCell ref="E49:F49"/>
    <mergeCell ref="B50:D50"/>
    <mergeCell ref="E50:F50"/>
    <mergeCell ref="B51:D51"/>
    <mergeCell ref="E51:F51"/>
    <mergeCell ref="B46:D46"/>
    <mergeCell ref="E46:F46"/>
    <mergeCell ref="B47:D47"/>
    <mergeCell ref="E47:F47"/>
    <mergeCell ref="B48:D48"/>
    <mergeCell ref="E48:F48"/>
    <mergeCell ref="G59:H59"/>
    <mergeCell ref="K59:L59"/>
    <mergeCell ref="B55:D55"/>
    <mergeCell ref="E55:F55"/>
    <mergeCell ref="B56:D56"/>
    <mergeCell ref="E56:F56"/>
    <mergeCell ref="B57:D57"/>
    <mergeCell ref="E57:F57"/>
    <mergeCell ref="B52:D52"/>
    <mergeCell ref="E52:F52"/>
    <mergeCell ref="B53:D53"/>
    <mergeCell ref="E53:F53"/>
    <mergeCell ref="B54:D54"/>
    <mergeCell ref="E54:F54"/>
    <mergeCell ref="B60:D60"/>
    <mergeCell ref="E60:F60"/>
    <mergeCell ref="B61:D61"/>
    <mergeCell ref="E61:F61"/>
    <mergeCell ref="B62:D62"/>
    <mergeCell ref="E62:F62"/>
    <mergeCell ref="B58:D58"/>
    <mergeCell ref="E58:F58"/>
    <mergeCell ref="B59:D59"/>
    <mergeCell ref="E59:F59"/>
    <mergeCell ref="B66:D66"/>
    <mergeCell ref="E66:F66"/>
    <mergeCell ref="B67:D67"/>
    <mergeCell ref="E67:F67"/>
    <mergeCell ref="B68:D68"/>
    <mergeCell ref="E68:F68"/>
    <mergeCell ref="B63:D63"/>
    <mergeCell ref="E63:F63"/>
    <mergeCell ref="B64:D64"/>
    <mergeCell ref="E64:F64"/>
    <mergeCell ref="B65:D65"/>
    <mergeCell ref="E65:F65"/>
    <mergeCell ref="B72:D72"/>
    <mergeCell ref="E72:F72"/>
    <mergeCell ref="B73:D73"/>
    <mergeCell ref="E73:F73"/>
    <mergeCell ref="B74:D74"/>
    <mergeCell ref="E74:F74"/>
    <mergeCell ref="B69:D69"/>
    <mergeCell ref="E69:F69"/>
    <mergeCell ref="B70:D70"/>
    <mergeCell ref="E70:F70"/>
    <mergeCell ref="B71:D71"/>
    <mergeCell ref="E71:F71"/>
    <mergeCell ref="B77:D77"/>
    <mergeCell ref="E77:F77"/>
    <mergeCell ref="B78:D78"/>
    <mergeCell ref="E78:F78"/>
    <mergeCell ref="B79:D79"/>
    <mergeCell ref="E79:F79"/>
    <mergeCell ref="G74:H74"/>
    <mergeCell ref="K74:L74"/>
    <mergeCell ref="B75:D75"/>
    <mergeCell ref="E75:F75"/>
    <mergeCell ref="B76:D76"/>
    <mergeCell ref="E76:F76"/>
    <mergeCell ref="B83:D83"/>
    <mergeCell ref="E83:F83"/>
    <mergeCell ref="B84:D84"/>
    <mergeCell ref="E84:F84"/>
    <mergeCell ref="B85:D85"/>
    <mergeCell ref="E85:F85"/>
    <mergeCell ref="B80:D80"/>
    <mergeCell ref="E80:F80"/>
    <mergeCell ref="B81:D81"/>
    <mergeCell ref="E81:F81"/>
    <mergeCell ref="B82:D82"/>
    <mergeCell ref="E82:F82"/>
    <mergeCell ref="B89:D89"/>
    <mergeCell ref="E89:F89"/>
    <mergeCell ref="G89:H89"/>
    <mergeCell ref="K89:L89"/>
    <mergeCell ref="B90:D90"/>
    <mergeCell ref="E90:F90"/>
    <mergeCell ref="B86:D86"/>
    <mergeCell ref="E86:F86"/>
    <mergeCell ref="B87:D87"/>
    <mergeCell ref="E87:F87"/>
    <mergeCell ref="B88:D88"/>
    <mergeCell ref="E88:F88"/>
    <mergeCell ref="B94:D94"/>
    <mergeCell ref="E94:F94"/>
    <mergeCell ref="B95:D95"/>
    <mergeCell ref="E95:F95"/>
    <mergeCell ref="B96:D96"/>
    <mergeCell ref="E96:F96"/>
    <mergeCell ref="B91:D91"/>
    <mergeCell ref="E91:F91"/>
    <mergeCell ref="B92:D92"/>
    <mergeCell ref="E92:F92"/>
    <mergeCell ref="B93:D93"/>
    <mergeCell ref="E93:F93"/>
    <mergeCell ref="G106:H106"/>
    <mergeCell ref="K106:L106"/>
    <mergeCell ref="B102:D102"/>
    <mergeCell ref="E102:F102"/>
    <mergeCell ref="B103:D103"/>
    <mergeCell ref="E103:F103"/>
    <mergeCell ref="B104:D104"/>
    <mergeCell ref="E104:F104"/>
    <mergeCell ref="B97:D97"/>
    <mergeCell ref="E97:F97"/>
    <mergeCell ref="B98:D98"/>
    <mergeCell ref="E98:F98"/>
    <mergeCell ref="B101:D101"/>
    <mergeCell ref="E101:F101"/>
    <mergeCell ref="B99:D99"/>
    <mergeCell ref="E99:F99"/>
    <mergeCell ref="B100:D100"/>
    <mergeCell ref="E100:F100"/>
    <mergeCell ref="B107:D107"/>
    <mergeCell ref="E107:F107"/>
    <mergeCell ref="B108:D108"/>
    <mergeCell ref="E108:F108"/>
    <mergeCell ref="B109:D109"/>
    <mergeCell ref="E109:F109"/>
    <mergeCell ref="B105:D105"/>
    <mergeCell ref="E105:F105"/>
    <mergeCell ref="B106:D106"/>
    <mergeCell ref="E106:F106"/>
    <mergeCell ref="B113:D113"/>
    <mergeCell ref="E113:F113"/>
    <mergeCell ref="B114:D114"/>
    <mergeCell ref="E114:F114"/>
    <mergeCell ref="B115:D115"/>
    <mergeCell ref="E115:F115"/>
    <mergeCell ref="B110:D110"/>
    <mergeCell ref="E110:F110"/>
    <mergeCell ref="B111:D111"/>
    <mergeCell ref="E111:F111"/>
    <mergeCell ref="B112:D112"/>
    <mergeCell ref="E112:F112"/>
    <mergeCell ref="B119:D119"/>
    <mergeCell ref="E119:F119"/>
    <mergeCell ref="B120:D120"/>
    <mergeCell ref="E120:F120"/>
    <mergeCell ref="B121:D121"/>
    <mergeCell ref="E121:F121"/>
    <mergeCell ref="B116:D116"/>
    <mergeCell ref="E116:F116"/>
    <mergeCell ref="B117:D117"/>
    <mergeCell ref="E117:F117"/>
    <mergeCell ref="B118:D118"/>
    <mergeCell ref="E118:F118"/>
    <mergeCell ref="B124:D124"/>
    <mergeCell ref="E124:F124"/>
    <mergeCell ref="B125:D125"/>
    <mergeCell ref="E125:F125"/>
    <mergeCell ref="B126:D126"/>
    <mergeCell ref="E126:F126"/>
    <mergeCell ref="G121:H121"/>
    <mergeCell ref="K121:L121"/>
    <mergeCell ref="B122:D122"/>
    <mergeCell ref="E122:F122"/>
    <mergeCell ref="B123:D123"/>
    <mergeCell ref="E123:F123"/>
    <mergeCell ref="B130:D130"/>
    <mergeCell ref="E130:F130"/>
    <mergeCell ref="B131:D131"/>
    <mergeCell ref="E131:F131"/>
    <mergeCell ref="B132:D132"/>
    <mergeCell ref="E132:F132"/>
    <mergeCell ref="B127:D127"/>
    <mergeCell ref="E127:F127"/>
    <mergeCell ref="B128:D128"/>
    <mergeCell ref="E128:F128"/>
    <mergeCell ref="B129:D129"/>
    <mergeCell ref="E129:F129"/>
    <mergeCell ref="B136:D136"/>
    <mergeCell ref="E136:F136"/>
    <mergeCell ref="G136:H136"/>
    <mergeCell ref="K136:L136"/>
    <mergeCell ref="B137:D137"/>
    <mergeCell ref="E137:F137"/>
    <mergeCell ref="B133:D133"/>
    <mergeCell ref="E133:F133"/>
    <mergeCell ref="B134:D134"/>
    <mergeCell ref="E134:F134"/>
    <mergeCell ref="B135:D135"/>
    <mergeCell ref="E135:F135"/>
    <mergeCell ref="B141:D141"/>
    <mergeCell ref="E141:F141"/>
    <mergeCell ref="B142:D142"/>
    <mergeCell ref="E142:F142"/>
    <mergeCell ref="B143:D143"/>
    <mergeCell ref="E143:F143"/>
    <mergeCell ref="B138:D138"/>
    <mergeCell ref="E138:F138"/>
    <mergeCell ref="B139:D139"/>
    <mergeCell ref="E139:F139"/>
    <mergeCell ref="B140:D140"/>
    <mergeCell ref="E140:F140"/>
    <mergeCell ref="G151:H151"/>
    <mergeCell ref="K151:L151"/>
    <mergeCell ref="B147:D147"/>
    <mergeCell ref="E147:F147"/>
    <mergeCell ref="B148:D148"/>
    <mergeCell ref="E148:F148"/>
    <mergeCell ref="B149:D149"/>
    <mergeCell ref="E149:F149"/>
    <mergeCell ref="B144:D144"/>
    <mergeCell ref="E144:F144"/>
    <mergeCell ref="B145:D145"/>
    <mergeCell ref="E145:F145"/>
    <mergeCell ref="B146:D146"/>
    <mergeCell ref="E146:F146"/>
    <mergeCell ref="B152:D152"/>
    <mergeCell ref="E152:F152"/>
    <mergeCell ref="B153:D153"/>
    <mergeCell ref="E153:F153"/>
    <mergeCell ref="B154:D154"/>
    <mergeCell ref="E154:F154"/>
    <mergeCell ref="B150:D150"/>
    <mergeCell ref="E150:F150"/>
    <mergeCell ref="B151:D151"/>
    <mergeCell ref="E151:F151"/>
    <mergeCell ref="B158:D158"/>
    <mergeCell ref="E158:F158"/>
    <mergeCell ref="B159:D159"/>
    <mergeCell ref="E159:F159"/>
    <mergeCell ref="B160:D160"/>
    <mergeCell ref="E160:F160"/>
    <mergeCell ref="B155:D155"/>
    <mergeCell ref="E155:F155"/>
    <mergeCell ref="B156:D156"/>
    <mergeCell ref="E156:F156"/>
    <mergeCell ref="B157:D157"/>
    <mergeCell ref="E157:F157"/>
    <mergeCell ref="B164:D164"/>
    <mergeCell ref="E164:F164"/>
    <mergeCell ref="B165:D165"/>
    <mergeCell ref="E165:F165"/>
    <mergeCell ref="B166:D166"/>
    <mergeCell ref="E166:F166"/>
    <mergeCell ref="B161:D161"/>
    <mergeCell ref="E161:F161"/>
    <mergeCell ref="B162:D162"/>
    <mergeCell ref="E162:F162"/>
    <mergeCell ref="B163:D163"/>
    <mergeCell ref="E163:F163"/>
    <mergeCell ref="B169:D169"/>
    <mergeCell ref="E169:F169"/>
    <mergeCell ref="B170:D170"/>
    <mergeCell ref="E170:F170"/>
    <mergeCell ref="B171:D171"/>
    <mergeCell ref="E171:F171"/>
    <mergeCell ref="G166:H166"/>
    <mergeCell ref="K166:L166"/>
    <mergeCell ref="B167:D167"/>
    <mergeCell ref="E167:F167"/>
    <mergeCell ref="B168:D168"/>
    <mergeCell ref="E168:F168"/>
    <mergeCell ref="B175:D175"/>
    <mergeCell ref="E175:F175"/>
    <mergeCell ref="B176:D176"/>
    <mergeCell ref="E176:F176"/>
    <mergeCell ref="B177:D177"/>
    <mergeCell ref="E177:F177"/>
    <mergeCell ref="B172:D172"/>
    <mergeCell ref="E172:F172"/>
    <mergeCell ref="B173:D173"/>
    <mergeCell ref="E173:F173"/>
    <mergeCell ref="B174:D174"/>
    <mergeCell ref="E174:F174"/>
    <mergeCell ref="B181:D181"/>
    <mergeCell ref="E181:F181"/>
    <mergeCell ref="G181:H181"/>
    <mergeCell ref="K181:L181"/>
    <mergeCell ref="B182:D182"/>
    <mergeCell ref="E182:F182"/>
    <mergeCell ref="B178:D178"/>
    <mergeCell ref="E178:F178"/>
    <mergeCell ref="B179:D179"/>
    <mergeCell ref="E179:F179"/>
    <mergeCell ref="B180:D180"/>
    <mergeCell ref="E180:F180"/>
    <mergeCell ref="B186:D186"/>
    <mergeCell ref="E186:F186"/>
    <mergeCell ref="B187:D187"/>
    <mergeCell ref="E187:F187"/>
    <mergeCell ref="B188:D188"/>
    <mergeCell ref="E188:F188"/>
    <mergeCell ref="B183:D183"/>
    <mergeCell ref="E183:F183"/>
    <mergeCell ref="B184:D184"/>
    <mergeCell ref="E184:F184"/>
    <mergeCell ref="B185:D185"/>
    <mergeCell ref="E185:F185"/>
    <mergeCell ref="G196:H196"/>
    <mergeCell ref="K196:L196"/>
    <mergeCell ref="B192:D192"/>
    <mergeCell ref="E192:F192"/>
    <mergeCell ref="B193:D193"/>
    <mergeCell ref="E193:F193"/>
    <mergeCell ref="B194:D194"/>
    <mergeCell ref="E194:F194"/>
    <mergeCell ref="B189:D189"/>
    <mergeCell ref="E189:F189"/>
    <mergeCell ref="B190:D190"/>
    <mergeCell ref="E190:F190"/>
    <mergeCell ref="B191:D191"/>
    <mergeCell ref="E191:F191"/>
    <mergeCell ref="B197:D197"/>
    <mergeCell ref="E197:F197"/>
    <mergeCell ref="B198:D198"/>
    <mergeCell ref="E198:F198"/>
    <mergeCell ref="B199:D199"/>
    <mergeCell ref="E199:F199"/>
    <mergeCell ref="B195:D195"/>
    <mergeCell ref="E195:F195"/>
    <mergeCell ref="B196:D196"/>
    <mergeCell ref="E196:F196"/>
    <mergeCell ref="B203:D203"/>
    <mergeCell ref="E203:F203"/>
    <mergeCell ref="B204:D204"/>
    <mergeCell ref="E204:F204"/>
    <mergeCell ref="B205:D205"/>
    <mergeCell ref="E205:F205"/>
    <mergeCell ref="B200:D200"/>
    <mergeCell ref="E200:F200"/>
    <mergeCell ref="B201:D201"/>
    <mergeCell ref="E201:F201"/>
    <mergeCell ref="B202:D202"/>
    <mergeCell ref="E202:F202"/>
    <mergeCell ref="B209:D209"/>
    <mergeCell ref="E209:F209"/>
    <mergeCell ref="B210:D210"/>
    <mergeCell ref="E210:F210"/>
    <mergeCell ref="B211:D211"/>
    <mergeCell ref="E211:F211"/>
    <mergeCell ref="B206:D206"/>
    <mergeCell ref="E206:F206"/>
    <mergeCell ref="B207:D207"/>
    <mergeCell ref="E207:F207"/>
    <mergeCell ref="B208:D208"/>
    <mergeCell ref="E208:F208"/>
    <mergeCell ref="B214:D214"/>
    <mergeCell ref="E214:F214"/>
    <mergeCell ref="B215:D215"/>
    <mergeCell ref="E215:F215"/>
    <mergeCell ref="B216:D216"/>
    <mergeCell ref="E216:F216"/>
    <mergeCell ref="G211:H211"/>
    <mergeCell ref="K211:L211"/>
    <mergeCell ref="B212:D212"/>
    <mergeCell ref="E212:F212"/>
    <mergeCell ref="B213:D213"/>
    <mergeCell ref="E213:F213"/>
    <mergeCell ref="B220:D220"/>
    <mergeCell ref="E220:F220"/>
    <mergeCell ref="B221:D221"/>
    <mergeCell ref="E221:F221"/>
    <mergeCell ref="B222:D222"/>
    <mergeCell ref="E222:F222"/>
    <mergeCell ref="B217:D217"/>
    <mergeCell ref="E217:F217"/>
    <mergeCell ref="B218:D218"/>
    <mergeCell ref="E218:F218"/>
    <mergeCell ref="B219:D219"/>
    <mergeCell ref="E219:F219"/>
    <mergeCell ref="B226:D226"/>
    <mergeCell ref="E226:F226"/>
    <mergeCell ref="G226:H226"/>
    <mergeCell ref="K226:L226"/>
    <mergeCell ref="B227:D227"/>
    <mergeCell ref="E227:F227"/>
    <mergeCell ref="B223:D223"/>
    <mergeCell ref="E223:F223"/>
    <mergeCell ref="B224:D224"/>
    <mergeCell ref="E224:F224"/>
    <mergeCell ref="B225:D225"/>
    <mergeCell ref="E225:F225"/>
    <mergeCell ref="B231:D231"/>
    <mergeCell ref="E231:F231"/>
    <mergeCell ref="B232:D232"/>
    <mergeCell ref="E232:F232"/>
    <mergeCell ref="B233:D233"/>
    <mergeCell ref="E233:F233"/>
    <mergeCell ref="B228:D228"/>
    <mergeCell ref="E228:F228"/>
    <mergeCell ref="B229:D229"/>
    <mergeCell ref="E229:F229"/>
    <mergeCell ref="B230:D230"/>
    <mergeCell ref="E230:F230"/>
    <mergeCell ref="G241:H241"/>
    <mergeCell ref="K241:L241"/>
    <mergeCell ref="B237:D237"/>
    <mergeCell ref="E237:F237"/>
    <mergeCell ref="B238:D238"/>
    <mergeCell ref="E238:F238"/>
    <mergeCell ref="B239:D239"/>
    <mergeCell ref="E239:F239"/>
    <mergeCell ref="B234:D234"/>
    <mergeCell ref="E234:F234"/>
    <mergeCell ref="B235:D235"/>
    <mergeCell ref="E235:F235"/>
    <mergeCell ref="B236:D236"/>
    <mergeCell ref="E236:F236"/>
    <mergeCell ref="B242:D242"/>
    <mergeCell ref="E242:F242"/>
    <mergeCell ref="B243:D243"/>
    <mergeCell ref="E243:F243"/>
    <mergeCell ref="B244:D244"/>
    <mergeCell ref="E244:F244"/>
    <mergeCell ref="B240:D240"/>
    <mergeCell ref="E240:F240"/>
    <mergeCell ref="B241:D241"/>
    <mergeCell ref="E241:F241"/>
    <mergeCell ref="B248:D248"/>
    <mergeCell ref="E248:F248"/>
    <mergeCell ref="B249:D249"/>
    <mergeCell ref="E249:F249"/>
    <mergeCell ref="B250:D250"/>
    <mergeCell ref="E250:F250"/>
    <mergeCell ref="B245:D245"/>
    <mergeCell ref="E245:F245"/>
    <mergeCell ref="B246:D246"/>
    <mergeCell ref="E246:F246"/>
    <mergeCell ref="B247:D247"/>
    <mergeCell ref="E247:F247"/>
    <mergeCell ref="B254:D254"/>
    <mergeCell ref="E254:F254"/>
    <mergeCell ref="B255:D255"/>
    <mergeCell ref="E255:F255"/>
    <mergeCell ref="B256:D256"/>
    <mergeCell ref="E256:F256"/>
    <mergeCell ref="B251:D251"/>
    <mergeCell ref="E251:F251"/>
    <mergeCell ref="B252:D252"/>
    <mergeCell ref="E252:F252"/>
    <mergeCell ref="B253:D253"/>
    <mergeCell ref="E253:F253"/>
    <mergeCell ref="B259:D259"/>
    <mergeCell ref="E259:F259"/>
    <mergeCell ref="B260:D260"/>
    <mergeCell ref="E260:F260"/>
    <mergeCell ref="B261:D261"/>
    <mergeCell ref="E261:F261"/>
    <mergeCell ref="G256:H256"/>
    <mergeCell ref="K256:L256"/>
    <mergeCell ref="B257:D257"/>
    <mergeCell ref="E257:F257"/>
    <mergeCell ref="B258:D258"/>
    <mergeCell ref="E258:F258"/>
    <mergeCell ref="B265:D265"/>
    <mergeCell ref="E265:F265"/>
    <mergeCell ref="B266:D266"/>
    <mergeCell ref="E266:F266"/>
    <mergeCell ref="B267:D267"/>
    <mergeCell ref="E267:F267"/>
    <mergeCell ref="B262:D262"/>
    <mergeCell ref="E262:F262"/>
    <mergeCell ref="B263:D263"/>
    <mergeCell ref="E263:F263"/>
    <mergeCell ref="B264:D264"/>
    <mergeCell ref="E264:F264"/>
    <mergeCell ref="B271:D271"/>
    <mergeCell ref="E271:F271"/>
    <mergeCell ref="G271:H271"/>
    <mergeCell ref="K271:L271"/>
    <mergeCell ref="B272:D272"/>
    <mergeCell ref="E272:F272"/>
    <mergeCell ref="B268:D268"/>
    <mergeCell ref="E268:F268"/>
    <mergeCell ref="B269:D269"/>
    <mergeCell ref="E269:F269"/>
    <mergeCell ref="B270:D270"/>
    <mergeCell ref="E270:F270"/>
    <mergeCell ref="B276:D276"/>
    <mergeCell ref="E276:F276"/>
    <mergeCell ref="B277:D277"/>
    <mergeCell ref="E277:F277"/>
    <mergeCell ref="B278:D278"/>
    <mergeCell ref="E278:F278"/>
    <mergeCell ref="B273:D273"/>
    <mergeCell ref="E273:F273"/>
    <mergeCell ref="B274:D274"/>
    <mergeCell ref="E274:F274"/>
    <mergeCell ref="B275:D275"/>
    <mergeCell ref="E275:F275"/>
    <mergeCell ref="G286:H286"/>
    <mergeCell ref="K286:L286"/>
    <mergeCell ref="B282:D282"/>
    <mergeCell ref="E282:F282"/>
    <mergeCell ref="B283:D283"/>
    <mergeCell ref="E283:F283"/>
    <mergeCell ref="B284:D284"/>
    <mergeCell ref="E284:F284"/>
    <mergeCell ref="B279:D279"/>
    <mergeCell ref="E279:F279"/>
    <mergeCell ref="B280:D280"/>
    <mergeCell ref="E280:F280"/>
    <mergeCell ref="B281:D281"/>
    <mergeCell ref="E281:F281"/>
    <mergeCell ref="B287:D287"/>
    <mergeCell ref="E287:F287"/>
    <mergeCell ref="B288:D288"/>
    <mergeCell ref="E288:F288"/>
    <mergeCell ref="B289:D289"/>
    <mergeCell ref="E289:F289"/>
    <mergeCell ref="B285:D285"/>
    <mergeCell ref="E285:F285"/>
    <mergeCell ref="B286:D286"/>
    <mergeCell ref="E286:F286"/>
    <mergeCell ref="B293:D293"/>
    <mergeCell ref="E293:F293"/>
    <mergeCell ref="B294:D294"/>
    <mergeCell ref="E294:F294"/>
    <mergeCell ref="B295:D295"/>
    <mergeCell ref="E295:F295"/>
    <mergeCell ref="B290:D290"/>
    <mergeCell ref="E290:F290"/>
    <mergeCell ref="B291:D291"/>
    <mergeCell ref="E291:F291"/>
    <mergeCell ref="B292:D292"/>
    <mergeCell ref="E292:F292"/>
    <mergeCell ref="B299:D299"/>
    <mergeCell ref="E299:F299"/>
    <mergeCell ref="B300:D300"/>
    <mergeCell ref="E300:F300"/>
    <mergeCell ref="B301:D301"/>
    <mergeCell ref="E301:F301"/>
    <mergeCell ref="B296:D296"/>
    <mergeCell ref="E296:F296"/>
    <mergeCell ref="B297:D297"/>
    <mergeCell ref="E297:F297"/>
    <mergeCell ref="B298:D298"/>
    <mergeCell ref="E298:F298"/>
    <mergeCell ref="B304:D304"/>
    <mergeCell ref="E304:F304"/>
    <mergeCell ref="B305:D305"/>
    <mergeCell ref="E305:F305"/>
    <mergeCell ref="B306:D306"/>
    <mergeCell ref="E306:F306"/>
    <mergeCell ref="G301:H301"/>
    <mergeCell ref="K301:L301"/>
    <mergeCell ref="B302:D302"/>
    <mergeCell ref="E302:F302"/>
    <mergeCell ref="B303:D303"/>
    <mergeCell ref="E303:F303"/>
    <mergeCell ref="B310:D310"/>
    <mergeCell ref="E310:F310"/>
    <mergeCell ref="B311:D311"/>
    <mergeCell ref="E311:F311"/>
    <mergeCell ref="B312:D312"/>
    <mergeCell ref="E312:F312"/>
    <mergeCell ref="B307:D307"/>
    <mergeCell ref="E307:F307"/>
    <mergeCell ref="B308:D308"/>
    <mergeCell ref="E308:F308"/>
    <mergeCell ref="B309:D309"/>
    <mergeCell ref="E309:F309"/>
    <mergeCell ref="K316:L316"/>
    <mergeCell ref="B317:D317"/>
    <mergeCell ref="E317:F317"/>
    <mergeCell ref="B313:D313"/>
    <mergeCell ref="E313:F313"/>
    <mergeCell ref="B314:D314"/>
    <mergeCell ref="E314:F314"/>
    <mergeCell ref="B315:D315"/>
    <mergeCell ref="E315:F315"/>
    <mergeCell ref="B318:D318"/>
    <mergeCell ref="E318:F318"/>
    <mergeCell ref="B319:D319"/>
    <mergeCell ref="E319:F319"/>
    <mergeCell ref="B320:D320"/>
    <mergeCell ref="E320:F320"/>
    <mergeCell ref="B316:D316"/>
    <mergeCell ref="E316:F316"/>
    <mergeCell ref="G316:H316"/>
    <mergeCell ref="B324:D324"/>
    <mergeCell ref="E324:F324"/>
    <mergeCell ref="B325:D325"/>
    <mergeCell ref="E325:F325"/>
    <mergeCell ref="B326:D326"/>
    <mergeCell ref="E326:F326"/>
    <mergeCell ref="B321:D321"/>
    <mergeCell ref="E321:F321"/>
    <mergeCell ref="B322:D322"/>
    <mergeCell ref="E322:F322"/>
    <mergeCell ref="B323:D323"/>
    <mergeCell ref="E323:F323"/>
    <mergeCell ref="B330:D330"/>
    <mergeCell ref="E330:F330"/>
    <mergeCell ref="B331:D331"/>
    <mergeCell ref="E331:F331"/>
    <mergeCell ref="G331:H331"/>
    <mergeCell ref="K331:L331"/>
    <mergeCell ref="B327:D327"/>
    <mergeCell ref="E327:F327"/>
    <mergeCell ref="B328:D328"/>
    <mergeCell ref="E328:F328"/>
    <mergeCell ref="B329:D329"/>
    <mergeCell ref="E329:F329"/>
    <mergeCell ref="B337:D337"/>
    <mergeCell ref="E337:F337"/>
    <mergeCell ref="B338:D338"/>
    <mergeCell ref="E338:F338"/>
    <mergeCell ref="E339:F339"/>
    <mergeCell ref="E340:F340"/>
    <mergeCell ref="E333:F333"/>
    <mergeCell ref="B334:D334"/>
    <mergeCell ref="E334:F334"/>
    <mergeCell ref="B335:D335"/>
    <mergeCell ref="E335:F335"/>
    <mergeCell ref="B336:D336"/>
    <mergeCell ref="E336:F336"/>
    <mergeCell ref="B344:D344"/>
    <mergeCell ref="E344:F344"/>
    <mergeCell ref="B345:D345"/>
    <mergeCell ref="E345:F345"/>
    <mergeCell ref="E346:F346"/>
    <mergeCell ref="B347:D347"/>
    <mergeCell ref="E347:F347"/>
    <mergeCell ref="B341:D341"/>
    <mergeCell ref="E341:F341"/>
    <mergeCell ref="B342:D342"/>
    <mergeCell ref="E342:F342"/>
    <mergeCell ref="B343:D343"/>
    <mergeCell ref="E343:F343"/>
    <mergeCell ref="B350:D350"/>
    <mergeCell ref="E350:F350"/>
    <mergeCell ref="B351:D351"/>
    <mergeCell ref="E351:F351"/>
    <mergeCell ref="B352:D352"/>
    <mergeCell ref="E352:F352"/>
    <mergeCell ref="G347:H347"/>
    <mergeCell ref="K347:L347"/>
    <mergeCell ref="B348:D348"/>
    <mergeCell ref="E348:F348"/>
    <mergeCell ref="B349:D349"/>
    <mergeCell ref="E349:F349"/>
    <mergeCell ref="B356:D356"/>
    <mergeCell ref="E356:F356"/>
    <mergeCell ref="B357:D357"/>
    <mergeCell ref="E357:F357"/>
    <mergeCell ref="B358:D358"/>
    <mergeCell ref="E358:F358"/>
    <mergeCell ref="B353:D353"/>
    <mergeCell ref="E353:F353"/>
    <mergeCell ref="B354:D354"/>
    <mergeCell ref="E354:F354"/>
    <mergeCell ref="B355:D355"/>
    <mergeCell ref="E355:F355"/>
    <mergeCell ref="G369:H369"/>
    <mergeCell ref="B370:C370"/>
    <mergeCell ref="G370:H370"/>
    <mergeCell ref="E375:F375"/>
    <mergeCell ref="E378:F378"/>
    <mergeCell ref="B382:C382"/>
    <mergeCell ref="G382:H382"/>
    <mergeCell ref="B359:D359"/>
    <mergeCell ref="E359:F359"/>
    <mergeCell ref="B360:D360"/>
    <mergeCell ref="E360:F360"/>
    <mergeCell ref="E365:F365"/>
    <mergeCell ref="B369:C369"/>
    <mergeCell ref="B396:D396"/>
    <mergeCell ref="E396:F396"/>
    <mergeCell ref="B397:D397"/>
    <mergeCell ref="E397:F397"/>
    <mergeCell ref="B383:C383"/>
    <mergeCell ref="G383:H383"/>
    <mergeCell ref="E388:F388"/>
    <mergeCell ref="B393:D393"/>
    <mergeCell ref="E393:F393"/>
    <mergeCell ref="B394:D394"/>
    <mergeCell ref="E394:F394"/>
    <mergeCell ref="K408:L408"/>
    <mergeCell ref="E409:F409"/>
    <mergeCell ref="B410:D410"/>
    <mergeCell ref="E410:F410"/>
    <mergeCell ref="B404:D404"/>
    <mergeCell ref="E404:F404"/>
    <mergeCell ref="B405:D405"/>
    <mergeCell ref="E405:F405"/>
    <mergeCell ref="E406:F406"/>
    <mergeCell ref="E407:F407"/>
    <mergeCell ref="B15:D15"/>
    <mergeCell ref="B16:D16"/>
    <mergeCell ref="B17:D17"/>
    <mergeCell ref="B18:D18"/>
    <mergeCell ref="B19:D19"/>
    <mergeCell ref="G414:H414"/>
    <mergeCell ref="B411:D411"/>
    <mergeCell ref="E411:F411"/>
    <mergeCell ref="B412:D412"/>
    <mergeCell ref="E412:F412"/>
    <mergeCell ref="E413:F413"/>
    <mergeCell ref="E414:F414"/>
    <mergeCell ref="B408:D408"/>
    <mergeCell ref="E408:F408"/>
    <mergeCell ref="G408:H408"/>
    <mergeCell ref="E398:F398"/>
    <mergeCell ref="B401:D401"/>
    <mergeCell ref="E401:F401"/>
    <mergeCell ref="B402:D402"/>
    <mergeCell ref="E402:F402"/>
    <mergeCell ref="B403:D403"/>
    <mergeCell ref="E403:F403"/>
    <mergeCell ref="B395:D395"/>
    <mergeCell ref="E395:F395"/>
    <mergeCell ref="G23:I23"/>
    <mergeCell ref="K23:L23"/>
    <mergeCell ref="E24:F24"/>
    <mergeCell ref="G24:I24"/>
    <mergeCell ref="G18:I18"/>
    <mergeCell ref="K18:L18"/>
    <mergeCell ref="E19:F19"/>
    <mergeCell ref="G19:I19"/>
    <mergeCell ref="K19:L19"/>
    <mergeCell ref="G28:I28"/>
    <mergeCell ref="K28:L28"/>
    <mergeCell ref="E29:F29"/>
    <mergeCell ref="G29:I29"/>
    <mergeCell ref="K29:L29"/>
    <mergeCell ref="E30:F30"/>
    <mergeCell ref="G30:I30"/>
    <mergeCell ref="E20:F20"/>
    <mergeCell ref="G20:I20"/>
    <mergeCell ref="K20:L20"/>
    <mergeCell ref="K24:L24"/>
    <mergeCell ref="E25:F25"/>
    <mergeCell ref="G25:I25"/>
    <mergeCell ref="K25:L25"/>
    <mergeCell ref="E26:F26"/>
    <mergeCell ref="G26:I26"/>
    <mergeCell ref="K26:L26"/>
    <mergeCell ref="E21:F21"/>
    <mergeCell ref="G21:I21"/>
    <mergeCell ref="K21:L21"/>
    <mergeCell ref="E22:F22"/>
    <mergeCell ref="G22:I22"/>
    <mergeCell ref="K22:L22"/>
    <mergeCell ref="E23:F23"/>
    <mergeCell ref="B36:D36"/>
    <mergeCell ref="K36:L36"/>
    <mergeCell ref="E37:F37"/>
    <mergeCell ref="G37:I37"/>
    <mergeCell ref="K37:L37"/>
    <mergeCell ref="E33:F33"/>
    <mergeCell ref="G33:I33"/>
    <mergeCell ref="K33:L33"/>
    <mergeCell ref="E34:F34"/>
    <mergeCell ref="G34:I34"/>
    <mergeCell ref="K34:L34"/>
    <mergeCell ref="E35:F35"/>
    <mergeCell ref="G35:I35"/>
    <mergeCell ref="K35:L35"/>
    <mergeCell ref="B31:D31"/>
    <mergeCell ref="B32:D32"/>
    <mergeCell ref="B33:D33"/>
    <mergeCell ref="B34:D34"/>
    <mergeCell ref="B35:D35"/>
    <mergeCell ref="B20:D20"/>
    <mergeCell ref="B21:D21"/>
    <mergeCell ref="B22:D22"/>
    <mergeCell ref="B23:D23"/>
    <mergeCell ref="B24:D24"/>
    <mergeCell ref="B25:D25"/>
    <mergeCell ref="B26:D26"/>
    <mergeCell ref="B27:D27"/>
    <mergeCell ref="B28:D28"/>
    <mergeCell ref="B29:D29"/>
    <mergeCell ref="B30:D30"/>
    <mergeCell ref="K11:M12"/>
    <mergeCell ref="K41:M42"/>
    <mergeCell ref="K414:L414"/>
    <mergeCell ref="E11:F12"/>
    <mergeCell ref="G11:H12"/>
    <mergeCell ref="I11:I13"/>
    <mergeCell ref="J11:J12"/>
    <mergeCell ref="E41:F42"/>
    <mergeCell ref="G41:H42"/>
    <mergeCell ref="I41:I43"/>
    <mergeCell ref="J41:J42"/>
    <mergeCell ref="E36:F36"/>
    <mergeCell ref="G36:I36"/>
    <mergeCell ref="K30:L30"/>
    <mergeCell ref="E31:F31"/>
    <mergeCell ref="G31:I31"/>
    <mergeCell ref="K31:L31"/>
    <mergeCell ref="E32:F32"/>
    <mergeCell ref="G32:I32"/>
    <mergeCell ref="K32:L32"/>
    <mergeCell ref="E27:F27"/>
    <mergeCell ref="G27:I27"/>
    <mergeCell ref="K27:L27"/>
    <mergeCell ref="E28:F28"/>
  </mergeCells>
  <conditionalFormatting sqref="M45:M58 M348:M375 I348:I375 M409:M412 I409:I412 I388:I406 M388:M406">
    <cfRule type="expression" dxfId="488" priority="221">
      <formula>IF(ISBLANK(H45),FALSE,TRUE)</formula>
    </cfRule>
  </conditionalFormatting>
  <conditionalFormatting sqref="I45:I58">
    <cfRule type="expression" dxfId="487" priority="220">
      <formula>IF(ISBLANK(H45),FALSE,TRUE)</formula>
    </cfRule>
  </conditionalFormatting>
  <conditionalFormatting sqref="M60:M72">
    <cfRule type="expression" dxfId="486" priority="219">
      <formula>IF(ISBLANK(L60),FALSE,TRUE)</formula>
    </cfRule>
  </conditionalFormatting>
  <conditionalFormatting sqref="I60:I72">
    <cfRule type="expression" dxfId="485" priority="218">
      <formula>IF(ISBLANK(H60),FALSE,TRUE)</formula>
    </cfRule>
  </conditionalFormatting>
  <conditionalFormatting sqref="M75:M87">
    <cfRule type="expression" dxfId="484" priority="217">
      <formula>IF(ISBLANK(L75),FALSE,TRUE)</formula>
    </cfRule>
  </conditionalFormatting>
  <conditionalFormatting sqref="I75:I87">
    <cfRule type="expression" dxfId="483" priority="216">
      <formula>IF(ISBLANK(H75),FALSE,TRUE)</formula>
    </cfRule>
  </conditionalFormatting>
  <conditionalFormatting sqref="M73">
    <cfRule type="expression" dxfId="482" priority="215">
      <formula>IF(ISBLANK(L73),FALSE,TRUE)</formula>
    </cfRule>
  </conditionalFormatting>
  <conditionalFormatting sqref="I73">
    <cfRule type="expression" dxfId="481" priority="214">
      <formula>IF(ISBLANK(H73),FALSE,TRUE)</formula>
    </cfRule>
  </conditionalFormatting>
  <conditionalFormatting sqref="M88">
    <cfRule type="expression" dxfId="480" priority="213">
      <formula>IF(ISBLANK(L88),FALSE,TRUE)</formula>
    </cfRule>
  </conditionalFormatting>
  <conditionalFormatting sqref="I88">
    <cfRule type="expression" dxfId="479" priority="212">
      <formula>IF(ISBLANK(H88),FALSE,TRUE)</formula>
    </cfRule>
  </conditionalFormatting>
  <conditionalFormatting sqref="M90:M98 M101:M104">
    <cfRule type="expression" dxfId="478" priority="211">
      <formula>IF(ISBLANK(L90),FALSE,TRUE)</formula>
    </cfRule>
  </conditionalFormatting>
  <conditionalFormatting sqref="I90:I98 I101:I104">
    <cfRule type="expression" dxfId="477" priority="210">
      <formula>IF(ISBLANK(H90),FALSE,TRUE)</formula>
    </cfRule>
  </conditionalFormatting>
  <conditionalFormatting sqref="I227:I239">
    <cfRule type="expression" dxfId="476" priority="209">
      <formula>IF(ISBLANK(H227),FALSE,TRUE)</formula>
    </cfRule>
  </conditionalFormatting>
  <conditionalFormatting sqref="M257:M269">
    <cfRule type="expression" dxfId="475" priority="208">
      <formula>IF(ISBLANK(L257),FALSE,TRUE)</formula>
    </cfRule>
  </conditionalFormatting>
  <conditionalFormatting sqref="M107:M119">
    <cfRule type="expression" dxfId="474" priority="207">
      <formula>IF(ISBLANK(L107),FALSE,TRUE)</formula>
    </cfRule>
  </conditionalFormatting>
  <conditionalFormatting sqref="I107:I119">
    <cfRule type="expression" dxfId="473" priority="206">
      <formula>IF(ISBLANK(H107),FALSE,TRUE)</formula>
    </cfRule>
  </conditionalFormatting>
  <conditionalFormatting sqref="I257:I269">
    <cfRule type="expression" dxfId="472" priority="205">
      <formula>IF(ISBLANK(H257),FALSE,TRUE)</formula>
    </cfRule>
  </conditionalFormatting>
  <conditionalFormatting sqref="M242:M254">
    <cfRule type="expression" dxfId="471" priority="204">
      <formula>IF(ISBLANK(L242),FALSE,TRUE)</formula>
    </cfRule>
  </conditionalFormatting>
  <conditionalFormatting sqref="M122:M134">
    <cfRule type="expression" dxfId="470" priority="203">
      <formula>IF(ISBLANK(L122),FALSE,TRUE)</formula>
    </cfRule>
  </conditionalFormatting>
  <conditionalFormatting sqref="I122:I134">
    <cfRule type="expression" dxfId="469" priority="202">
      <formula>IF(ISBLANK(H122),FALSE,TRUE)</formula>
    </cfRule>
  </conditionalFormatting>
  <conditionalFormatting sqref="I242:I254">
    <cfRule type="expression" dxfId="468" priority="201">
      <formula>IF(ISBLANK(H242),FALSE,TRUE)</formula>
    </cfRule>
  </conditionalFormatting>
  <conditionalFormatting sqref="M272:M284">
    <cfRule type="expression" dxfId="467" priority="200">
      <formula>IF(ISBLANK(L272),FALSE,TRUE)</formula>
    </cfRule>
  </conditionalFormatting>
  <conditionalFormatting sqref="M137:M149">
    <cfRule type="expression" dxfId="466" priority="199">
      <formula>IF(ISBLANK(L137),FALSE,TRUE)</formula>
    </cfRule>
  </conditionalFormatting>
  <conditionalFormatting sqref="I137:I149">
    <cfRule type="expression" dxfId="465" priority="198">
      <formula>IF(ISBLANK(H137),FALSE,TRUE)</formula>
    </cfRule>
  </conditionalFormatting>
  <conditionalFormatting sqref="I272:I284">
    <cfRule type="expression" dxfId="464" priority="197">
      <formula>IF(ISBLANK(H272),FALSE,TRUE)</formula>
    </cfRule>
  </conditionalFormatting>
  <conditionalFormatting sqref="M152:M164">
    <cfRule type="expression" dxfId="463" priority="196">
      <formula>IF(ISBLANK(L152),FALSE,TRUE)</formula>
    </cfRule>
  </conditionalFormatting>
  <conditionalFormatting sqref="I152:I164">
    <cfRule type="expression" dxfId="462" priority="195">
      <formula>IF(ISBLANK(H152),FALSE,TRUE)</formula>
    </cfRule>
  </conditionalFormatting>
  <conditionalFormatting sqref="M287:M299">
    <cfRule type="expression" dxfId="461" priority="194">
      <formula>IF(ISBLANK(L287),FALSE,TRUE)</formula>
    </cfRule>
  </conditionalFormatting>
  <conditionalFormatting sqref="M167:M179">
    <cfRule type="expression" dxfId="460" priority="193">
      <formula>IF(ISBLANK(L167),FALSE,TRUE)</formula>
    </cfRule>
  </conditionalFormatting>
  <conditionalFormatting sqref="I167:I179">
    <cfRule type="expression" dxfId="459" priority="192">
      <formula>IF(ISBLANK(H167),FALSE,TRUE)</formula>
    </cfRule>
  </conditionalFormatting>
  <conditionalFormatting sqref="I287:I299">
    <cfRule type="expression" dxfId="458" priority="191">
      <formula>IF(ISBLANK(H287),FALSE,TRUE)</formula>
    </cfRule>
  </conditionalFormatting>
  <conditionalFormatting sqref="M182:M194">
    <cfRule type="expression" dxfId="457" priority="190">
      <formula>IF(ISBLANK(L182),FALSE,TRUE)</formula>
    </cfRule>
  </conditionalFormatting>
  <conditionalFormatting sqref="I182:I194">
    <cfRule type="expression" dxfId="456" priority="189">
      <formula>IF(ISBLANK(H182),FALSE,TRUE)</formula>
    </cfRule>
  </conditionalFormatting>
  <conditionalFormatting sqref="M302:M314">
    <cfRule type="expression" dxfId="455" priority="188">
      <formula>IF(ISBLANK(L302),FALSE,TRUE)</formula>
    </cfRule>
  </conditionalFormatting>
  <conditionalFormatting sqref="M197:M209">
    <cfRule type="expression" dxfId="454" priority="187">
      <formula>IF(ISBLANK(L197),FALSE,TRUE)</formula>
    </cfRule>
  </conditionalFormatting>
  <conditionalFormatting sqref="I197:I209">
    <cfRule type="expression" dxfId="453" priority="186">
      <formula>IF(ISBLANK(H197),FALSE,TRUE)</formula>
    </cfRule>
  </conditionalFormatting>
  <conditionalFormatting sqref="I302:I314">
    <cfRule type="expression" dxfId="452" priority="185">
      <formula>IF(ISBLANK(H302),FALSE,TRUE)</formula>
    </cfRule>
  </conditionalFormatting>
  <conditionalFormatting sqref="M212:M224">
    <cfRule type="expression" dxfId="451" priority="184">
      <formula>IF(ISBLANK(L212),FALSE,TRUE)</formula>
    </cfRule>
  </conditionalFormatting>
  <conditionalFormatting sqref="I212:I224">
    <cfRule type="expression" dxfId="450" priority="183">
      <formula>IF(ISBLANK(H212),FALSE,TRUE)</formula>
    </cfRule>
  </conditionalFormatting>
  <conditionalFormatting sqref="M317:M329">
    <cfRule type="expression" dxfId="449" priority="182">
      <formula>IF(ISBLANK(L317),FALSE,TRUE)</formula>
    </cfRule>
  </conditionalFormatting>
  <conditionalFormatting sqref="M227:M239">
    <cfRule type="expression" dxfId="448" priority="181">
      <formula>IF(ISBLANK(L227),FALSE,TRUE)</formula>
    </cfRule>
  </conditionalFormatting>
  <conditionalFormatting sqref="I317:I329">
    <cfRule type="expression" dxfId="447" priority="180">
      <formula>IF(ISBLANK(H317),FALSE,TRUE)</formula>
    </cfRule>
  </conditionalFormatting>
  <conditionalFormatting sqref="M333:M345">
    <cfRule type="expression" dxfId="446" priority="179">
      <formula>IF(ISBLANK(L333),FALSE,TRUE)</formula>
    </cfRule>
  </conditionalFormatting>
  <conditionalFormatting sqref="I333:I345">
    <cfRule type="expression" dxfId="445" priority="178">
      <formula>IF(ISBLANK(H333),FALSE,TRUE)</formula>
    </cfRule>
  </conditionalFormatting>
  <conditionalFormatting sqref="M105">
    <cfRule type="expression" dxfId="444" priority="177">
      <formula>IF(ISBLANK(L105),FALSE,TRUE)</formula>
    </cfRule>
  </conditionalFormatting>
  <conditionalFormatting sqref="I105">
    <cfRule type="expression" dxfId="443" priority="176">
      <formula>IF(ISBLANK(H105),FALSE,TRUE)</formula>
    </cfRule>
  </conditionalFormatting>
  <conditionalFormatting sqref="M120">
    <cfRule type="expression" dxfId="442" priority="175">
      <formula>IF(ISBLANK(L120),FALSE,TRUE)</formula>
    </cfRule>
  </conditionalFormatting>
  <conditionalFormatting sqref="I120">
    <cfRule type="expression" dxfId="441" priority="174">
      <formula>IF(ISBLANK(H120),FALSE,TRUE)</formula>
    </cfRule>
  </conditionalFormatting>
  <conditionalFormatting sqref="M135">
    <cfRule type="expression" dxfId="440" priority="173">
      <formula>IF(ISBLANK(L135),FALSE,TRUE)</formula>
    </cfRule>
  </conditionalFormatting>
  <conditionalFormatting sqref="I135">
    <cfRule type="expression" dxfId="439" priority="172">
      <formula>IF(ISBLANK(H135),FALSE,TRUE)</formula>
    </cfRule>
  </conditionalFormatting>
  <conditionalFormatting sqref="M150">
    <cfRule type="expression" dxfId="438" priority="171">
      <formula>IF(ISBLANK(L150),FALSE,TRUE)</formula>
    </cfRule>
  </conditionalFormatting>
  <conditionalFormatting sqref="I150">
    <cfRule type="expression" dxfId="437" priority="170">
      <formula>IF(ISBLANK(H150),FALSE,TRUE)</formula>
    </cfRule>
  </conditionalFormatting>
  <conditionalFormatting sqref="M165">
    <cfRule type="expression" dxfId="436" priority="169">
      <formula>IF(ISBLANK(L165),FALSE,TRUE)</formula>
    </cfRule>
  </conditionalFormatting>
  <conditionalFormatting sqref="I165">
    <cfRule type="expression" dxfId="435" priority="168">
      <formula>IF(ISBLANK(H165),FALSE,TRUE)</formula>
    </cfRule>
  </conditionalFormatting>
  <conditionalFormatting sqref="M180">
    <cfRule type="expression" dxfId="434" priority="167">
      <formula>IF(ISBLANK(L180),FALSE,TRUE)</formula>
    </cfRule>
  </conditionalFormatting>
  <conditionalFormatting sqref="I180">
    <cfRule type="expression" dxfId="433" priority="166">
      <formula>IF(ISBLANK(H180),FALSE,TRUE)</formula>
    </cfRule>
  </conditionalFormatting>
  <conditionalFormatting sqref="M195">
    <cfRule type="expression" dxfId="432" priority="165">
      <formula>IF(ISBLANK(L195),FALSE,TRUE)</formula>
    </cfRule>
  </conditionalFormatting>
  <conditionalFormatting sqref="I195">
    <cfRule type="expression" dxfId="431" priority="164">
      <formula>IF(ISBLANK(H195),FALSE,TRUE)</formula>
    </cfRule>
  </conditionalFormatting>
  <conditionalFormatting sqref="M210">
    <cfRule type="expression" dxfId="430" priority="163">
      <formula>IF(ISBLANK(L210),FALSE,TRUE)</formula>
    </cfRule>
  </conditionalFormatting>
  <conditionalFormatting sqref="I210">
    <cfRule type="expression" dxfId="429" priority="162">
      <formula>IF(ISBLANK(H210),FALSE,TRUE)</formula>
    </cfRule>
  </conditionalFormatting>
  <conditionalFormatting sqref="M225">
    <cfRule type="expression" dxfId="428" priority="161">
      <formula>IF(ISBLANK(L225),FALSE,TRUE)</formula>
    </cfRule>
  </conditionalFormatting>
  <conditionalFormatting sqref="I225">
    <cfRule type="expression" dxfId="427" priority="160">
      <formula>IF(ISBLANK(H225),FALSE,TRUE)</formula>
    </cfRule>
  </conditionalFormatting>
  <conditionalFormatting sqref="M240">
    <cfRule type="expression" dxfId="426" priority="159">
      <formula>IF(ISBLANK(L240),FALSE,TRUE)</formula>
    </cfRule>
  </conditionalFormatting>
  <conditionalFormatting sqref="I240">
    <cfRule type="expression" dxfId="425" priority="158">
      <formula>IF(ISBLANK(H240),FALSE,TRUE)</formula>
    </cfRule>
  </conditionalFormatting>
  <conditionalFormatting sqref="M255">
    <cfRule type="expression" dxfId="424" priority="157">
      <formula>IF(ISBLANK(L255),FALSE,TRUE)</formula>
    </cfRule>
  </conditionalFormatting>
  <conditionalFormatting sqref="I255">
    <cfRule type="expression" dxfId="423" priority="156">
      <formula>IF(ISBLANK(H255),FALSE,TRUE)</formula>
    </cfRule>
  </conditionalFormatting>
  <conditionalFormatting sqref="M270">
    <cfRule type="expression" dxfId="422" priority="155">
      <formula>IF(ISBLANK(L270),FALSE,TRUE)</formula>
    </cfRule>
  </conditionalFormatting>
  <conditionalFormatting sqref="I270">
    <cfRule type="expression" dxfId="421" priority="154">
      <formula>IF(ISBLANK(H270),FALSE,TRUE)</formula>
    </cfRule>
  </conditionalFormatting>
  <conditionalFormatting sqref="M285">
    <cfRule type="expression" dxfId="420" priority="153">
      <formula>IF(ISBLANK(L285),FALSE,TRUE)</formula>
    </cfRule>
  </conditionalFormatting>
  <conditionalFormatting sqref="I285">
    <cfRule type="expression" dxfId="419" priority="152">
      <formula>IF(ISBLANK(H285),FALSE,TRUE)</formula>
    </cfRule>
  </conditionalFormatting>
  <conditionalFormatting sqref="M300">
    <cfRule type="expression" dxfId="418" priority="151">
      <formula>IF(ISBLANK(L300),FALSE,TRUE)</formula>
    </cfRule>
  </conditionalFormatting>
  <conditionalFormatting sqref="I300">
    <cfRule type="expression" dxfId="417" priority="150">
      <formula>IF(ISBLANK(H300),FALSE,TRUE)</formula>
    </cfRule>
  </conditionalFormatting>
  <conditionalFormatting sqref="M315">
    <cfRule type="expression" dxfId="416" priority="149">
      <formula>IF(ISBLANK(L315),FALSE,TRUE)</formula>
    </cfRule>
  </conditionalFormatting>
  <conditionalFormatting sqref="I315">
    <cfRule type="expression" dxfId="415" priority="148">
      <formula>IF(ISBLANK(H315),FALSE,TRUE)</formula>
    </cfRule>
  </conditionalFormatting>
  <conditionalFormatting sqref="M330">
    <cfRule type="expression" dxfId="414" priority="147">
      <formula>IF(ISBLANK(L330),FALSE,TRUE)</formula>
    </cfRule>
  </conditionalFormatting>
  <conditionalFormatting sqref="I330">
    <cfRule type="expression" dxfId="413" priority="146">
      <formula>IF(ISBLANK(H330),FALSE,TRUE)</formula>
    </cfRule>
  </conditionalFormatting>
  <conditionalFormatting sqref="I413">
    <cfRule type="expression" dxfId="412" priority="145">
      <formula>IF(ISBLANK(H413),FALSE,TRUE)</formula>
    </cfRule>
  </conditionalFormatting>
  <conditionalFormatting sqref="M346">
    <cfRule type="expression" dxfId="411" priority="144">
      <formula>IF(ISBLANK(L346),FALSE,TRUE)</formula>
    </cfRule>
  </conditionalFormatting>
  <conditionalFormatting sqref="I346">
    <cfRule type="expression" dxfId="410" priority="143">
      <formula>IF(ISBLANK(H346),FALSE,TRUE)</formula>
    </cfRule>
  </conditionalFormatting>
  <conditionalFormatting sqref="M413">
    <cfRule type="expression" dxfId="409" priority="142">
      <formula>IF(ISBLANK(L413),FALSE,TRUE)</formula>
    </cfRule>
  </conditionalFormatting>
  <conditionalFormatting sqref="M376:M387 I376:I387">
    <cfRule type="expression" dxfId="408" priority="140">
      <formula>IF(ISBLANK(H376),FALSE,TRUE)</formula>
    </cfRule>
  </conditionalFormatting>
  <conditionalFormatting sqref="M407">
    <cfRule type="expression" dxfId="407" priority="137">
      <formula>IF(ISBLANK(L407),FALSE,TRUE)</formula>
    </cfRule>
  </conditionalFormatting>
  <conditionalFormatting sqref="I407">
    <cfRule type="expression" dxfId="406" priority="136">
      <formula>IF(ISBLANK(H407),FALSE,TRUE)</formula>
    </cfRule>
  </conditionalFormatting>
  <conditionalFormatting sqref="K52:K57 K71:K72 K82:K87 K107:K119 K132:K134 K146:K149 K152:K164 K176:K179 K187:K194 K197:K209 K212:K224 K227:K239 K250:K254 K257:K269 K281:K284 K287:K299 K302:K314 K317:K329 K333:K345 K103:K104">
    <cfRule type="expression" dxfId="405" priority="135">
      <formula>L52&lt;&gt;""</formula>
    </cfRule>
  </conditionalFormatting>
  <conditionalFormatting sqref="G52:G57">
    <cfRule type="expression" dxfId="404" priority="134">
      <formula>H52&lt;&gt;""</formula>
    </cfRule>
  </conditionalFormatting>
  <conditionalFormatting sqref="G82:G87 G107:G119 G132:G134 G146:G149 G152:G164 G176:G179 G187:G194 G197:G209 G212:G224 G227:G239 G250:G254 G257:G269 G281:G284 G287:G299 G302:G314 G317:G329 G333:G345 G348:G360 G103:G104">
    <cfRule type="expression" dxfId="403" priority="132">
      <formula>H82&lt;&gt;""</formula>
    </cfRule>
  </conditionalFormatting>
  <conditionalFormatting sqref="M15:M37">
    <cfRule type="expression" dxfId="402" priority="131">
      <formula>IF(ISBLANK(L15),FALSE,TRUE)</formula>
    </cfRule>
  </conditionalFormatting>
  <conditionalFormatting sqref="K15:K37 G15:G37">
    <cfRule type="expression" dxfId="401" priority="130">
      <formula>H15&lt;&gt;""</formula>
    </cfRule>
  </conditionalFormatting>
  <conditionalFormatting sqref="M15:M37">
    <cfRule type="expression" dxfId="400" priority="129">
      <formula>IF(ISBLANK(L15),FALSE,TRUE)</formula>
    </cfRule>
  </conditionalFormatting>
  <conditionalFormatting sqref="K15:K37 G15:G37">
    <cfRule type="expression" dxfId="399" priority="128">
      <formula>H15&lt;&gt;""</formula>
    </cfRule>
  </conditionalFormatting>
  <conditionalFormatting sqref="E15">
    <cfRule type="expression" dxfId="398" priority="127">
      <formula>$X$11</formula>
    </cfRule>
  </conditionalFormatting>
  <conditionalFormatting sqref="J15">
    <cfRule type="expression" dxfId="397" priority="126">
      <formula>$X$11</formula>
    </cfRule>
  </conditionalFormatting>
  <conditionalFormatting sqref="M15">
    <cfRule type="expression" dxfId="396" priority="125">
      <formula>$X$11</formula>
    </cfRule>
  </conditionalFormatting>
  <conditionalFormatting sqref="M45:M58 M348:M375 I348:I375 M409:M412 I409:I412 I388:I406 M388:M406">
    <cfRule type="expression" dxfId="395" priority="124">
      <formula>IF(ISBLANK(H45),FALSE,TRUE)</formula>
    </cfRule>
  </conditionalFormatting>
  <conditionalFormatting sqref="I45:I58">
    <cfRule type="expression" dxfId="394" priority="123">
      <formula>IF(ISBLANK(H45),FALSE,TRUE)</formula>
    </cfRule>
  </conditionalFormatting>
  <conditionalFormatting sqref="M60:M72">
    <cfRule type="expression" dxfId="393" priority="122">
      <formula>IF(ISBLANK(L60),FALSE,TRUE)</formula>
    </cfRule>
  </conditionalFormatting>
  <conditionalFormatting sqref="I60:I72">
    <cfRule type="expression" dxfId="392" priority="121">
      <formula>IF(ISBLANK(H60),FALSE,TRUE)</formula>
    </cfRule>
  </conditionalFormatting>
  <conditionalFormatting sqref="M75:M87">
    <cfRule type="expression" dxfId="391" priority="120">
      <formula>IF(ISBLANK(L75),FALSE,TRUE)</formula>
    </cfRule>
  </conditionalFormatting>
  <conditionalFormatting sqref="I75:I87">
    <cfRule type="expression" dxfId="390" priority="119">
      <formula>IF(ISBLANK(H75),FALSE,TRUE)</formula>
    </cfRule>
  </conditionalFormatting>
  <conditionalFormatting sqref="M73">
    <cfRule type="expression" dxfId="389" priority="118">
      <formula>IF(ISBLANK(L73),FALSE,TRUE)</formula>
    </cfRule>
  </conditionalFormatting>
  <conditionalFormatting sqref="I73">
    <cfRule type="expression" dxfId="388" priority="117">
      <formula>IF(ISBLANK(H73),FALSE,TRUE)</formula>
    </cfRule>
  </conditionalFormatting>
  <conditionalFormatting sqref="M88">
    <cfRule type="expression" dxfId="387" priority="116">
      <formula>IF(ISBLANK(L88),FALSE,TRUE)</formula>
    </cfRule>
  </conditionalFormatting>
  <conditionalFormatting sqref="I88">
    <cfRule type="expression" dxfId="386" priority="115">
      <formula>IF(ISBLANK(H88),FALSE,TRUE)</formula>
    </cfRule>
  </conditionalFormatting>
  <conditionalFormatting sqref="M90:M98 M101:M104">
    <cfRule type="expression" dxfId="385" priority="114">
      <formula>IF(ISBLANK(L90),FALSE,TRUE)</formula>
    </cfRule>
  </conditionalFormatting>
  <conditionalFormatting sqref="I90:I98 I101:I104">
    <cfRule type="expression" dxfId="384" priority="113">
      <formula>IF(ISBLANK(H90),FALSE,TRUE)</formula>
    </cfRule>
  </conditionalFormatting>
  <conditionalFormatting sqref="I227:I239">
    <cfRule type="expression" dxfId="383" priority="112">
      <formula>IF(ISBLANK(H227),FALSE,TRUE)</formula>
    </cfRule>
  </conditionalFormatting>
  <conditionalFormatting sqref="M257:M269">
    <cfRule type="expression" dxfId="382" priority="111">
      <formula>IF(ISBLANK(L257),FALSE,TRUE)</formula>
    </cfRule>
  </conditionalFormatting>
  <conditionalFormatting sqref="M107:M119">
    <cfRule type="expression" dxfId="381" priority="110">
      <formula>IF(ISBLANK(L107),FALSE,TRUE)</formula>
    </cfRule>
  </conditionalFormatting>
  <conditionalFormatting sqref="I107:I119">
    <cfRule type="expression" dxfId="380" priority="109">
      <formula>IF(ISBLANK(H107),FALSE,TRUE)</formula>
    </cfRule>
  </conditionalFormatting>
  <conditionalFormatting sqref="I257:I269">
    <cfRule type="expression" dxfId="379" priority="108">
      <formula>IF(ISBLANK(H257),FALSE,TRUE)</formula>
    </cfRule>
  </conditionalFormatting>
  <conditionalFormatting sqref="M242:M254">
    <cfRule type="expression" dxfId="378" priority="107">
      <formula>IF(ISBLANK(L242),FALSE,TRUE)</formula>
    </cfRule>
  </conditionalFormatting>
  <conditionalFormatting sqref="M122:M134">
    <cfRule type="expression" dxfId="377" priority="106">
      <formula>IF(ISBLANK(L122),FALSE,TRUE)</formula>
    </cfRule>
  </conditionalFormatting>
  <conditionalFormatting sqref="I122:I134">
    <cfRule type="expression" dxfId="376" priority="105">
      <formula>IF(ISBLANK(H122),FALSE,TRUE)</formula>
    </cfRule>
  </conditionalFormatting>
  <conditionalFormatting sqref="I242:I254">
    <cfRule type="expression" dxfId="375" priority="104">
      <formula>IF(ISBLANK(H242),FALSE,TRUE)</formula>
    </cfRule>
  </conditionalFormatting>
  <conditionalFormatting sqref="M272:M284">
    <cfRule type="expression" dxfId="374" priority="103">
      <formula>IF(ISBLANK(L272),FALSE,TRUE)</formula>
    </cfRule>
  </conditionalFormatting>
  <conditionalFormatting sqref="M137:M149">
    <cfRule type="expression" dxfId="373" priority="102">
      <formula>IF(ISBLANK(L137),FALSE,TRUE)</formula>
    </cfRule>
  </conditionalFormatting>
  <conditionalFormatting sqref="I137:I149">
    <cfRule type="expression" dxfId="372" priority="101">
      <formula>IF(ISBLANK(H137),FALSE,TRUE)</formula>
    </cfRule>
  </conditionalFormatting>
  <conditionalFormatting sqref="I272:I284">
    <cfRule type="expression" dxfId="371" priority="100">
      <formula>IF(ISBLANK(H272),FALSE,TRUE)</formula>
    </cfRule>
  </conditionalFormatting>
  <conditionalFormatting sqref="M152:M164">
    <cfRule type="expression" dxfId="370" priority="99">
      <formula>IF(ISBLANK(L152),FALSE,TRUE)</formula>
    </cfRule>
  </conditionalFormatting>
  <conditionalFormatting sqref="I152:I164">
    <cfRule type="expression" dxfId="369" priority="98">
      <formula>IF(ISBLANK(H152),FALSE,TRUE)</formula>
    </cfRule>
  </conditionalFormatting>
  <conditionalFormatting sqref="M287:M299">
    <cfRule type="expression" dxfId="368" priority="97">
      <formula>IF(ISBLANK(L287),FALSE,TRUE)</formula>
    </cfRule>
  </conditionalFormatting>
  <conditionalFormatting sqref="M167:M179">
    <cfRule type="expression" dxfId="367" priority="96">
      <formula>IF(ISBLANK(L167),FALSE,TRUE)</formula>
    </cfRule>
  </conditionalFormatting>
  <conditionalFormatting sqref="I167:I179">
    <cfRule type="expression" dxfId="366" priority="95">
      <formula>IF(ISBLANK(H167),FALSE,TRUE)</formula>
    </cfRule>
  </conditionalFormatting>
  <conditionalFormatting sqref="I287:I299">
    <cfRule type="expression" dxfId="365" priority="94">
      <formula>IF(ISBLANK(H287),FALSE,TRUE)</formula>
    </cfRule>
  </conditionalFormatting>
  <conditionalFormatting sqref="M182:M194">
    <cfRule type="expression" dxfId="364" priority="93">
      <formula>IF(ISBLANK(L182),FALSE,TRUE)</formula>
    </cfRule>
  </conditionalFormatting>
  <conditionalFormatting sqref="I182:I194">
    <cfRule type="expression" dxfId="363" priority="92">
      <formula>IF(ISBLANK(H182),FALSE,TRUE)</formula>
    </cfRule>
  </conditionalFormatting>
  <conditionalFormatting sqref="M302:M314">
    <cfRule type="expression" dxfId="362" priority="91">
      <formula>IF(ISBLANK(L302),FALSE,TRUE)</formula>
    </cfRule>
  </conditionalFormatting>
  <conditionalFormatting sqref="M197:M209">
    <cfRule type="expression" dxfId="361" priority="90">
      <formula>IF(ISBLANK(L197),FALSE,TRUE)</formula>
    </cfRule>
  </conditionalFormatting>
  <conditionalFormatting sqref="I197:I209">
    <cfRule type="expression" dxfId="360" priority="89">
      <formula>IF(ISBLANK(H197),FALSE,TRUE)</formula>
    </cfRule>
  </conditionalFormatting>
  <conditionalFormatting sqref="I302:I314">
    <cfRule type="expression" dxfId="359" priority="88">
      <formula>IF(ISBLANK(H302),FALSE,TRUE)</formula>
    </cfRule>
  </conditionalFormatting>
  <conditionalFormatting sqref="M212:M224">
    <cfRule type="expression" dxfId="358" priority="87">
      <formula>IF(ISBLANK(L212),FALSE,TRUE)</formula>
    </cfRule>
  </conditionalFormatting>
  <conditionalFormatting sqref="I212:I224">
    <cfRule type="expression" dxfId="357" priority="86">
      <formula>IF(ISBLANK(H212),FALSE,TRUE)</formula>
    </cfRule>
  </conditionalFormatting>
  <conditionalFormatting sqref="M317:M329">
    <cfRule type="expression" dxfId="356" priority="85">
      <formula>IF(ISBLANK(L317),FALSE,TRUE)</formula>
    </cfRule>
  </conditionalFormatting>
  <conditionalFormatting sqref="M227:M239">
    <cfRule type="expression" dxfId="355" priority="84">
      <formula>IF(ISBLANK(L227),FALSE,TRUE)</formula>
    </cfRule>
  </conditionalFormatting>
  <conditionalFormatting sqref="I317:I329">
    <cfRule type="expression" dxfId="354" priority="83">
      <formula>IF(ISBLANK(H317),FALSE,TRUE)</formula>
    </cfRule>
  </conditionalFormatting>
  <conditionalFormatting sqref="M333:M345">
    <cfRule type="expression" dxfId="353" priority="82">
      <formula>IF(ISBLANK(L333),FALSE,TRUE)</formula>
    </cfRule>
  </conditionalFormatting>
  <conditionalFormatting sqref="I333:I345">
    <cfRule type="expression" dxfId="352" priority="81">
      <formula>IF(ISBLANK(H333),FALSE,TRUE)</formula>
    </cfRule>
  </conditionalFormatting>
  <conditionalFormatting sqref="M105">
    <cfRule type="expression" dxfId="351" priority="80">
      <formula>IF(ISBLANK(L105),FALSE,TRUE)</formula>
    </cfRule>
  </conditionalFormatting>
  <conditionalFormatting sqref="I105">
    <cfRule type="expression" dxfId="350" priority="79">
      <formula>IF(ISBLANK(H105),FALSE,TRUE)</formula>
    </cfRule>
  </conditionalFormatting>
  <conditionalFormatting sqref="M120">
    <cfRule type="expression" dxfId="349" priority="78">
      <formula>IF(ISBLANK(L120),FALSE,TRUE)</formula>
    </cfRule>
  </conditionalFormatting>
  <conditionalFormatting sqref="I120">
    <cfRule type="expression" dxfId="348" priority="77">
      <formula>IF(ISBLANK(H120),FALSE,TRUE)</formula>
    </cfRule>
  </conditionalFormatting>
  <conditionalFormatting sqref="M135">
    <cfRule type="expression" dxfId="347" priority="76">
      <formula>IF(ISBLANK(L135),FALSE,TRUE)</formula>
    </cfRule>
  </conditionalFormatting>
  <conditionalFormatting sqref="I135">
    <cfRule type="expression" dxfId="346" priority="75">
      <formula>IF(ISBLANK(H135),FALSE,TRUE)</formula>
    </cfRule>
  </conditionalFormatting>
  <conditionalFormatting sqref="M150">
    <cfRule type="expression" dxfId="345" priority="74">
      <formula>IF(ISBLANK(L150),FALSE,TRUE)</formula>
    </cfRule>
  </conditionalFormatting>
  <conditionalFormatting sqref="I150">
    <cfRule type="expression" dxfId="344" priority="73">
      <formula>IF(ISBLANK(H150),FALSE,TRUE)</formula>
    </cfRule>
  </conditionalFormatting>
  <conditionalFormatting sqref="M165">
    <cfRule type="expression" dxfId="343" priority="72">
      <formula>IF(ISBLANK(L165),FALSE,TRUE)</formula>
    </cfRule>
  </conditionalFormatting>
  <conditionalFormatting sqref="I165">
    <cfRule type="expression" dxfId="342" priority="71">
      <formula>IF(ISBLANK(H165),FALSE,TRUE)</formula>
    </cfRule>
  </conditionalFormatting>
  <conditionalFormatting sqref="M180">
    <cfRule type="expression" dxfId="341" priority="70">
      <formula>IF(ISBLANK(L180),FALSE,TRUE)</formula>
    </cfRule>
  </conditionalFormatting>
  <conditionalFormatting sqref="I180">
    <cfRule type="expression" dxfId="340" priority="69">
      <formula>IF(ISBLANK(H180),FALSE,TRUE)</formula>
    </cfRule>
  </conditionalFormatting>
  <conditionalFormatting sqref="M195">
    <cfRule type="expression" dxfId="339" priority="68">
      <formula>IF(ISBLANK(L195),FALSE,TRUE)</formula>
    </cfRule>
  </conditionalFormatting>
  <conditionalFormatting sqref="I195">
    <cfRule type="expression" dxfId="338" priority="67">
      <formula>IF(ISBLANK(H195),FALSE,TRUE)</formula>
    </cfRule>
  </conditionalFormatting>
  <conditionalFormatting sqref="M210">
    <cfRule type="expression" dxfId="337" priority="66">
      <formula>IF(ISBLANK(L210),FALSE,TRUE)</formula>
    </cfRule>
  </conditionalFormatting>
  <conditionalFormatting sqref="I210">
    <cfRule type="expression" dxfId="336" priority="65">
      <formula>IF(ISBLANK(H210),FALSE,TRUE)</formula>
    </cfRule>
  </conditionalFormatting>
  <conditionalFormatting sqref="M225">
    <cfRule type="expression" dxfId="335" priority="64">
      <formula>IF(ISBLANK(L225),FALSE,TRUE)</formula>
    </cfRule>
  </conditionalFormatting>
  <conditionalFormatting sqref="I225">
    <cfRule type="expression" dxfId="334" priority="63">
      <formula>IF(ISBLANK(H225),FALSE,TRUE)</formula>
    </cfRule>
  </conditionalFormatting>
  <conditionalFormatting sqref="M240">
    <cfRule type="expression" dxfId="333" priority="62">
      <formula>IF(ISBLANK(L240),FALSE,TRUE)</formula>
    </cfRule>
  </conditionalFormatting>
  <conditionalFormatting sqref="I240">
    <cfRule type="expression" dxfId="332" priority="61">
      <formula>IF(ISBLANK(H240),FALSE,TRUE)</formula>
    </cfRule>
  </conditionalFormatting>
  <conditionalFormatting sqref="M255">
    <cfRule type="expression" dxfId="331" priority="60">
      <formula>IF(ISBLANK(L255),FALSE,TRUE)</formula>
    </cfRule>
  </conditionalFormatting>
  <conditionalFormatting sqref="I255">
    <cfRule type="expression" dxfId="330" priority="59">
      <formula>IF(ISBLANK(H255),FALSE,TRUE)</formula>
    </cfRule>
  </conditionalFormatting>
  <conditionalFormatting sqref="M270">
    <cfRule type="expression" dxfId="329" priority="58">
      <formula>IF(ISBLANK(L270),FALSE,TRUE)</formula>
    </cfRule>
  </conditionalFormatting>
  <conditionalFormatting sqref="I270">
    <cfRule type="expression" dxfId="328" priority="57">
      <formula>IF(ISBLANK(H270),FALSE,TRUE)</formula>
    </cfRule>
  </conditionalFormatting>
  <conditionalFormatting sqref="M285">
    <cfRule type="expression" dxfId="327" priority="56">
      <formula>IF(ISBLANK(L285),FALSE,TRUE)</formula>
    </cfRule>
  </conditionalFormatting>
  <conditionalFormatting sqref="I285">
    <cfRule type="expression" dxfId="326" priority="55">
      <formula>IF(ISBLANK(H285),FALSE,TRUE)</formula>
    </cfRule>
  </conditionalFormatting>
  <conditionalFormatting sqref="M300">
    <cfRule type="expression" dxfId="325" priority="54">
      <formula>IF(ISBLANK(L300),FALSE,TRUE)</formula>
    </cfRule>
  </conditionalFormatting>
  <conditionalFormatting sqref="I300">
    <cfRule type="expression" dxfId="324" priority="53">
      <formula>IF(ISBLANK(H300),FALSE,TRUE)</formula>
    </cfRule>
  </conditionalFormatting>
  <conditionalFormatting sqref="M315">
    <cfRule type="expression" dxfId="323" priority="52">
      <formula>IF(ISBLANK(L315),FALSE,TRUE)</formula>
    </cfRule>
  </conditionalFormatting>
  <conditionalFormatting sqref="I315">
    <cfRule type="expression" dxfId="322" priority="51">
      <formula>IF(ISBLANK(H315),FALSE,TRUE)</formula>
    </cfRule>
  </conditionalFormatting>
  <conditionalFormatting sqref="M330">
    <cfRule type="expression" dxfId="321" priority="50">
      <formula>IF(ISBLANK(L330),FALSE,TRUE)</formula>
    </cfRule>
  </conditionalFormatting>
  <conditionalFormatting sqref="I330">
    <cfRule type="expression" dxfId="320" priority="49">
      <formula>IF(ISBLANK(H330),FALSE,TRUE)</formula>
    </cfRule>
  </conditionalFormatting>
  <conditionalFormatting sqref="I413">
    <cfRule type="expression" dxfId="319" priority="48">
      <formula>IF(ISBLANK(H413),FALSE,TRUE)</formula>
    </cfRule>
  </conditionalFormatting>
  <conditionalFormatting sqref="M346">
    <cfRule type="expression" dxfId="318" priority="47">
      <formula>IF(ISBLANK(L346),FALSE,TRUE)</formula>
    </cfRule>
  </conditionalFormatting>
  <conditionalFormatting sqref="I346">
    <cfRule type="expression" dxfId="317" priority="46">
      <formula>IF(ISBLANK(H346),FALSE,TRUE)</formula>
    </cfRule>
  </conditionalFormatting>
  <conditionalFormatting sqref="M413">
    <cfRule type="expression" dxfId="316" priority="45">
      <formula>IF(ISBLANK(L413),FALSE,TRUE)</formula>
    </cfRule>
  </conditionalFormatting>
  <conditionalFormatting sqref="M376:M387 I376:I387">
    <cfRule type="expression" dxfId="315" priority="44">
      <formula>IF(ISBLANK(H376),FALSE,TRUE)</formula>
    </cfRule>
  </conditionalFormatting>
  <conditionalFormatting sqref="M407">
    <cfRule type="expression" dxfId="314" priority="43">
      <formula>IF(ISBLANK(L407),FALSE,TRUE)</formula>
    </cfRule>
  </conditionalFormatting>
  <conditionalFormatting sqref="I407">
    <cfRule type="expression" dxfId="313" priority="42">
      <formula>IF(ISBLANK(H407),FALSE,TRUE)</formula>
    </cfRule>
  </conditionalFormatting>
  <conditionalFormatting sqref="G52:G57">
    <cfRule type="expression" dxfId="312" priority="41">
      <formula>H52&lt;&gt;""</formula>
    </cfRule>
  </conditionalFormatting>
  <conditionalFormatting sqref="G45:G51">
    <cfRule type="expression" dxfId="311" priority="36">
      <formula>H45&lt;&gt;""</formula>
    </cfRule>
  </conditionalFormatting>
  <conditionalFormatting sqref="G82:G87 G107:G119 G132:G134 G146:G149 G152:G164 G176:G179 G187:G194 G197:G209 G212:G224 G227:G239 G250:G254 G257:G269 G281:G284 G287:G299 G302:G314 G317:G329 G333:G345 G348:G360 G103:G104">
    <cfRule type="expression" dxfId="310" priority="39">
      <formula>H82&lt;&gt;""</formula>
    </cfRule>
  </conditionalFormatting>
  <conditionalFormatting sqref="K52:K57 K71:K72 K82:K87 K107:K119 K132:K134 K146:K149 K152:K164 K176:K179 K187:K194 K197:K209 K212:K224 K227:K239 K250:K254 K257:K269 K281:K284 K287:K299 K302:K314 K317:K329 K333:K345 K103:K104">
    <cfRule type="expression" dxfId="309" priority="38">
      <formula>L52&lt;&gt;""</formula>
    </cfRule>
  </conditionalFormatting>
  <conditionalFormatting sqref="M414">
    <cfRule type="expression" dxfId="308" priority="37">
      <formula>IF(ISBLANK(L414),FALSE,TRUE)</formula>
    </cfRule>
  </conditionalFormatting>
  <conditionalFormatting sqref="K122:K131">
    <cfRule type="expression" dxfId="307" priority="11">
      <formula>L122&lt;&gt;""</formula>
    </cfRule>
  </conditionalFormatting>
  <conditionalFormatting sqref="K45:K51">
    <cfRule type="expression" dxfId="306" priority="35">
      <formula>L45&lt;&gt;""</formula>
    </cfRule>
  </conditionalFormatting>
  <conditionalFormatting sqref="G60:G70">
    <cfRule type="expression" dxfId="305" priority="34">
      <formula>H60&lt;&gt;""</formula>
    </cfRule>
  </conditionalFormatting>
  <conditionalFormatting sqref="K60:K70">
    <cfRule type="expression" dxfId="304" priority="33">
      <formula>L60&lt;&gt;""</formula>
    </cfRule>
  </conditionalFormatting>
  <conditionalFormatting sqref="G75:G81">
    <cfRule type="expression" dxfId="303" priority="32">
      <formula>H75&lt;&gt;""</formula>
    </cfRule>
  </conditionalFormatting>
  <conditionalFormatting sqref="K75:K81">
    <cfRule type="expression" dxfId="302" priority="31">
      <formula>L75&lt;&gt;""</formula>
    </cfRule>
  </conditionalFormatting>
  <conditionalFormatting sqref="M99:M100">
    <cfRule type="expression" dxfId="301" priority="30">
      <formula>IF(ISBLANK(L99),FALSE,TRUE)</formula>
    </cfRule>
  </conditionalFormatting>
  <conditionalFormatting sqref="I99:I100">
    <cfRule type="expression" dxfId="300" priority="29">
      <formula>IF(ISBLANK(H99),FALSE,TRUE)</formula>
    </cfRule>
  </conditionalFormatting>
  <conditionalFormatting sqref="G182:G186">
    <cfRule type="expression" dxfId="299" priority="6">
      <formula>H182&lt;&gt;""</formula>
    </cfRule>
  </conditionalFormatting>
  <conditionalFormatting sqref="K182:K186">
    <cfRule type="expression" dxfId="298" priority="5">
      <formula>L182&lt;&gt;""</formula>
    </cfRule>
  </conditionalFormatting>
  <conditionalFormatting sqref="M99:M100">
    <cfRule type="expression" dxfId="297" priority="26">
      <formula>IF(ISBLANK(L99),FALSE,TRUE)</formula>
    </cfRule>
  </conditionalFormatting>
  <conditionalFormatting sqref="I99:I100">
    <cfRule type="expression" dxfId="296" priority="25">
      <formula>IF(ISBLANK(H99),FALSE,TRUE)</formula>
    </cfRule>
  </conditionalFormatting>
  <conditionalFormatting sqref="G272:G280">
    <cfRule type="expression" dxfId="295" priority="2">
      <formula>H272&lt;&gt;""</formula>
    </cfRule>
  </conditionalFormatting>
  <conditionalFormatting sqref="G91:G93 G95 G98:G102">
    <cfRule type="expression" dxfId="294" priority="22">
      <formula>H91&lt;&gt;""</formula>
    </cfRule>
  </conditionalFormatting>
  <conditionalFormatting sqref="G90">
    <cfRule type="expression" dxfId="293" priority="21">
      <formula>H90&lt;&gt;""</formula>
    </cfRule>
  </conditionalFormatting>
  <conditionalFormatting sqref="G94">
    <cfRule type="expression" dxfId="292" priority="20">
      <formula>H94&lt;&gt;""</formula>
    </cfRule>
  </conditionalFormatting>
  <conditionalFormatting sqref="G96">
    <cfRule type="expression" dxfId="291" priority="19">
      <formula>H96&lt;&gt;""</formula>
    </cfRule>
  </conditionalFormatting>
  <conditionalFormatting sqref="G97">
    <cfRule type="expression" dxfId="290" priority="18">
      <formula>H97&lt;&gt;""</formula>
    </cfRule>
  </conditionalFormatting>
  <conditionalFormatting sqref="K91:K93 K95 K98:K102">
    <cfRule type="expression" dxfId="289" priority="17">
      <formula>L91&lt;&gt;""</formula>
    </cfRule>
  </conditionalFormatting>
  <conditionalFormatting sqref="K90">
    <cfRule type="expression" dxfId="288" priority="16">
      <formula>L90&lt;&gt;""</formula>
    </cfRule>
  </conditionalFormatting>
  <conditionalFormatting sqref="K94">
    <cfRule type="expression" dxfId="287" priority="15">
      <formula>L94&lt;&gt;""</formula>
    </cfRule>
  </conditionalFormatting>
  <conditionalFormatting sqref="K96">
    <cfRule type="expression" dxfId="286" priority="14">
      <formula>L96&lt;&gt;""</formula>
    </cfRule>
  </conditionalFormatting>
  <conditionalFormatting sqref="K97">
    <cfRule type="expression" dxfId="285" priority="13">
      <formula>L97&lt;&gt;""</formula>
    </cfRule>
  </conditionalFormatting>
  <conditionalFormatting sqref="G122:G131">
    <cfRule type="expression" dxfId="284" priority="12">
      <formula>H122&lt;&gt;""</formula>
    </cfRule>
  </conditionalFormatting>
  <conditionalFormatting sqref="G137:G145">
    <cfRule type="expression" dxfId="283" priority="10">
      <formula>H137&lt;&gt;""</formula>
    </cfRule>
  </conditionalFormatting>
  <conditionalFormatting sqref="K137:K145">
    <cfRule type="expression" dxfId="282" priority="9">
      <formula>L137&lt;&gt;""</formula>
    </cfRule>
  </conditionalFormatting>
  <conditionalFormatting sqref="G167:G175">
    <cfRule type="expression" dxfId="281" priority="8">
      <formula>H167&lt;&gt;""</formula>
    </cfRule>
  </conditionalFormatting>
  <conditionalFormatting sqref="K167:K175">
    <cfRule type="expression" dxfId="280" priority="7">
      <formula>L167&lt;&gt;""</formula>
    </cfRule>
  </conditionalFormatting>
  <conditionalFormatting sqref="G242:G249">
    <cfRule type="expression" dxfId="279" priority="4">
      <formula>H242&lt;&gt;""</formula>
    </cfRule>
  </conditionalFormatting>
  <conditionalFormatting sqref="K242:K249">
    <cfRule type="expression" dxfId="278" priority="3">
      <formula>L242&lt;&gt;""</formula>
    </cfRule>
  </conditionalFormatting>
  <conditionalFormatting sqref="K272:K280">
    <cfRule type="expression" dxfId="277" priority="1">
      <formula>L272&lt;&gt;""</formula>
    </cfRule>
  </conditionalFormatting>
  <hyperlinks>
    <hyperlink ref="F2" location="Neu_in_Version" display="i"/>
  </hyperlinks>
  <pageMargins left="0.70866141732283472" right="0.70866141732283472" top="0.39370078740157483" bottom="0.98425196850393704" header="0.39370078740157483" footer="0.39370078740157483"/>
  <pageSetup paperSize="9" scale="82" firstPageNumber="3" fitToHeight="0" orientation="portrait" r:id="rId1"/>
  <headerFooter scaleWithDoc="0">
    <oddFooter>&amp;L&amp;8Das Amt für Hochbauten ist eine Dienstabteilung des
Hochbaudepartements der Stadt Zürich&amp;CSeite &amp;P/&amp;N&amp;6
                                                          &amp;D/&amp;F&amp;R&amp;G</oddFooter>
  </headerFooter>
  <rowBreaks count="6" manualBreakCount="6">
    <brk id="73" max="12" man="1"/>
    <brk id="135" max="12" man="1"/>
    <brk id="195" max="12" man="1"/>
    <brk id="255" max="12" man="1"/>
    <brk id="315" max="12" man="1"/>
    <brk id="346" max="12"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39997558519241921"/>
    <outlinePr summaryBelow="0"/>
    <pageSetUpPr fitToPage="1"/>
  </sheetPr>
  <dimension ref="A1:BV167"/>
  <sheetViews>
    <sheetView showGridLines="0" showZeros="0" zoomScaleNormal="100" zoomScaleSheetLayoutView="100" workbookViewId="0">
      <pane ySplit="8" topLeftCell="A9" activePane="bottomLeft" state="frozen"/>
      <selection activeCell="A5" sqref="A5:M5"/>
      <selection pane="bottomLeft" activeCell="A15" sqref="A15"/>
    </sheetView>
  </sheetViews>
  <sheetFormatPr baseColWidth="10" defaultColWidth="11.375" defaultRowHeight="12.9" customHeight="1" x14ac:dyDescent="0.2"/>
  <cols>
    <col min="1" max="1" width="15.375" style="86" customWidth="1"/>
    <col min="2" max="2" width="13.75" style="86" customWidth="1"/>
    <col min="3" max="3" width="9.375" style="84" customWidth="1"/>
    <col min="4" max="5" width="6.625" style="84" customWidth="1"/>
    <col min="6" max="6" width="6.25" style="84" customWidth="1"/>
    <col min="7" max="7" width="8.625" style="84" customWidth="1"/>
    <col min="8" max="9" width="4.375" style="83" customWidth="1"/>
    <col min="10" max="10" width="10.75" style="83" customWidth="1"/>
    <col min="11" max="11" width="4.875" style="86" customWidth="1"/>
    <col min="12" max="13" width="4.25" style="86" customWidth="1"/>
    <col min="14" max="14" width="9.75" style="86" customWidth="1"/>
    <col min="15" max="15" width="4.25" style="86" customWidth="1"/>
    <col min="16" max="16" width="15.75" style="86" customWidth="1"/>
    <col min="17" max="19" width="8.75" style="270" customWidth="1"/>
    <col min="20" max="20" width="8.75" style="278" customWidth="1"/>
    <col min="21" max="33" width="8.75" style="270" customWidth="1"/>
    <col min="34" max="36" width="8.75" style="380" customWidth="1"/>
    <col min="37" max="69" width="8.75" style="381" customWidth="1"/>
    <col min="70" max="70" width="5" style="83" customWidth="1"/>
    <col min="71" max="16384" width="11.375" style="83"/>
  </cols>
  <sheetData>
    <row r="1" spans="1:74" s="268" customFormat="1" ht="56.25" customHeight="1" x14ac:dyDescent="0.2">
      <c r="A1" s="1131"/>
      <c r="B1" s="1131"/>
      <c r="C1" s="2705"/>
      <c r="D1" s="2705"/>
      <c r="E1" s="2705"/>
      <c r="F1" s="2705"/>
      <c r="G1" s="2705"/>
      <c r="H1" s="2705"/>
      <c r="I1" s="313"/>
      <c r="J1" s="313"/>
      <c r="K1" s="313"/>
      <c r="L1" s="313"/>
      <c r="M1" s="313"/>
      <c r="N1" s="313"/>
      <c r="O1" s="867"/>
      <c r="P1" s="313"/>
      <c r="Q1" s="295"/>
      <c r="R1" s="274"/>
      <c r="S1" s="437"/>
      <c r="T1" s="437"/>
      <c r="U1" s="437"/>
      <c r="V1" s="437"/>
      <c r="W1" s="437"/>
      <c r="X1" s="437"/>
      <c r="Y1" s="437"/>
      <c r="Z1" s="437"/>
      <c r="AA1" s="437"/>
      <c r="AB1" s="437"/>
      <c r="AC1" s="437"/>
      <c r="AD1" s="437"/>
      <c r="AE1" s="437"/>
      <c r="AF1" s="296"/>
      <c r="AG1" s="296"/>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c r="BQ1" s="1009"/>
    </row>
    <row r="2" spans="1:74" s="268" customFormat="1" ht="13.6" customHeight="1" x14ac:dyDescent="0.25">
      <c r="A2" s="1132" t="str">
        <f>CONCATENATE("Variantenvergleich Energiesysteme - Version ",Versionsinfo!$B$4)</f>
        <v>Variantenvergleich Energiesysteme - Version 2.2</v>
      </c>
      <c r="B2" s="1132"/>
      <c r="C2" s="314"/>
      <c r="D2" s="314"/>
      <c r="E2" s="314"/>
      <c r="F2" s="1535"/>
      <c r="G2" s="1536" t="s">
        <v>684</v>
      </c>
      <c r="H2" s="313"/>
      <c r="I2" s="313"/>
      <c r="J2" s="313"/>
      <c r="K2" s="313"/>
      <c r="L2" s="313"/>
      <c r="M2" s="313"/>
      <c r="N2" s="313"/>
      <c r="O2" s="867"/>
      <c r="P2" s="199"/>
      <c r="Q2" s="199"/>
      <c r="R2" s="199"/>
      <c r="S2" s="199"/>
      <c r="T2" s="199"/>
      <c r="U2" s="439"/>
      <c r="V2" s="440"/>
      <c r="W2" s="437"/>
      <c r="X2" s="437"/>
      <c r="Y2" s="437"/>
      <c r="Z2" s="437"/>
      <c r="AA2" s="437"/>
      <c r="AB2" s="437"/>
      <c r="AC2" s="437"/>
      <c r="AD2" s="437"/>
      <c r="AE2" s="437"/>
      <c r="AF2" s="296"/>
      <c r="AG2" s="296"/>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c r="BR2" s="199"/>
      <c r="BS2" s="199"/>
      <c r="BT2" s="199"/>
      <c r="BU2" s="199"/>
      <c r="BV2" s="199"/>
    </row>
    <row r="3" spans="1:74" s="268" customFormat="1" ht="12.75" customHeight="1" x14ac:dyDescent="0.2">
      <c r="A3" s="1133" t="s">
        <v>178</v>
      </c>
      <c r="B3" s="1133"/>
      <c r="C3" s="314"/>
      <c r="D3" s="314"/>
      <c r="E3" s="314"/>
      <c r="F3" s="314"/>
      <c r="G3" s="314"/>
      <c r="H3" s="314"/>
      <c r="I3" s="314"/>
      <c r="J3" s="314"/>
      <c r="K3" s="314"/>
      <c r="L3" s="314"/>
      <c r="M3" s="314"/>
      <c r="N3" s="314"/>
      <c r="P3" s="199"/>
      <c r="Q3" s="199"/>
      <c r="R3" s="199"/>
      <c r="S3" s="199"/>
      <c r="T3" s="199"/>
      <c r="U3" s="296"/>
      <c r="V3" s="296"/>
      <c r="W3" s="296"/>
      <c r="X3" s="296"/>
      <c r="Y3" s="296"/>
      <c r="Z3" s="296"/>
      <c r="AA3" s="296"/>
      <c r="AB3" s="296"/>
      <c r="AC3" s="296"/>
      <c r="AD3" s="296"/>
      <c r="AE3" s="296"/>
      <c r="AF3" s="296"/>
      <c r="AG3" s="296"/>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c r="BR3" s="199"/>
      <c r="BS3" s="199"/>
      <c r="BT3" s="199"/>
      <c r="BU3" s="199"/>
      <c r="BV3" s="199"/>
    </row>
    <row r="4" spans="1:74" s="268" customFormat="1" ht="23.95" customHeight="1" x14ac:dyDescent="0.2">
      <c r="A4" s="314"/>
      <c r="B4" s="314"/>
      <c r="C4" s="314"/>
      <c r="D4" s="314"/>
      <c r="E4" s="314"/>
      <c r="F4" s="314"/>
      <c r="G4" s="314"/>
      <c r="H4" s="314"/>
      <c r="I4" s="314"/>
      <c r="J4" s="314"/>
      <c r="K4" s="314"/>
      <c r="L4" s="314"/>
      <c r="M4" s="314"/>
      <c r="N4" s="314"/>
      <c r="P4" s="314"/>
      <c r="Q4" s="296"/>
      <c r="R4" s="275"/>
      <c r="S4" s="551"/>
      <c r="T4" s="296"/>
      <c r="U4" s="296"/>
      <c r="V4" s="296"/>
      <c r="W4" s="296"/>
      <c r="X4" s="296"/>
      <c r="Y4" s="296"/>
      <c r="Z4" s="296"/>
      <c r="AA4" s="296"/>
      <c r="AB4" s="296"/>
      <c r="AC4" s="296"/>
      <c r="AD4" s="296"/>
      <c r="AE4" s="296"/>
      <c r="AF4" s="296"/>
      <c r="AG4" s="296"/>
      <c r="AH4" s="1009"/>
      <c r="AI4" s="1009"/>
      <c r="AJ4" s="1009"/>
      <c r="AK4" s="1009"/>
      <c r="AL4" s="1009"/>
      <c r="AM4" s="1009"/>
      <c r="AN4" s="1009"/>
      <c r="AO4" s="1009"/>
      <c r="AP4" s="1009"/>
      <c r="AQ4" s="1009"/>
      <c r="AR4" s="1009"/>
      <c r="AS4" s="1009"/>
      <c r="AT4" s="1009"/>
      <c r="AU4" s="1009"/>
      <c r="AV4" s="1009"/>
      <c r="AW4" s="1009"/>
      <c r="AX4" s="1009"/>
      <c r="AY4" s="1009"/>
      <c r="AZ4" s="1009"/>
      <c r="BA4" s="1009"/>
      <c r="BB4" s="1009"/>
      <c r="BC4" s="1009"/>
      <c r="BD4" s="1009"/>
      <c r="BE4" s="1009"/>
      <c r="BF4" s="1009"/>
      <c r="BG4" s="1009"/>
      <c r="BH4" s="1009"/>
      <c r="BI4" s="1009"/>
      <c r="BJ4" s="1009"/>
      <c r="BK4" s="1009"/>
      <c r="BL4" s="1009"/>
      <c r="BM4" s="1009"/>
      <c r="BN4" s="1009"/>
      <c r="BO4" s="1009"/>
      <c r="BP4" s="1009"/>
      <c r="BQ4" s="1009"/>
    </row>
    <row r="5" spans="1:74" s="108" customFormat="1" ht="12.9" customHeight="1" x14ac:dyDescent="0.2">
      <c r="A5" s="1308">
        <f>Projektdaten!C8</f>
        <v>0</v>
      </c>
      <c r="B5" s="1308"/>
      <c r="L5" s="164"/>
      <c r="M5" s="164"/>
      <c r="N5" s="164">
        <f>Projektdaten!I8</f>
        <v>0</v>
      </c>
      <c r="P5" s="164"/>
      <c r="Q5" s="270"/>
      <c r="R5" s="276"/>
      <c r="S5" s="268"/>
      <c r="T5" s="278"/>
      <c r="U5" s="270"/>
      <c r="V5" s="270"/>
      <c r="W5" s="270"/>
      <c r="X5" s="270"/>
      <c r="Y5" s="270"/>
      <c r="Z5" s="270"/>
      <c r="AA5" s="270"/>
      <c r="AB5" s="270"/>
      <c r="AC5" s="270"/>
      <c r="AD5" s="270"/>
      <c r="AE5" s="270"/>
      <c r="AF5" s="270"/>
      <c r="AG5" s="270"/>
      <c r="AH5" s="380"/>
      <c r="AI5" s="380"/>
      <c r="AJ5" s="380"/>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row>
    <row r="6" spans="1:74" ht="5.3" customHeight="1" x14ac:dyDescent="0.2"/>
    <row r="7" spans="1:74" s="106" customFormat="1" ht="14.95" customHeight="1" x14ac:dyDescent="0.3">
      <c r="A7" s="521" t="s">
        <v>558</v>
      </c>
      <c r="B7" s="521"/>
      <c r="C7" s="343">
        <f>EV_Var4!E6</f>
        <v>0</v>
      </c>
      <c r="D7" s="343"/>
      <c r="E7" s="343"/>
      <c r="F7" s="165"/>
      <c r="G7" s="165"/>
      <c r="H7" s="1134"/>
      <c r="I7" s="1134"/>
      <c r="J7" s="1135"/>
      <c r="K7" s="1135"/>
      <c r="L7" s="1135"/>
      <c r="M7" s="1135"/>
      <c r="N7" s="1135"/>
      <c r="P7" s="315"/>
      <c r="Q7" s="297"/>
      <c r="R7" s="279"/>
      <c r="S7" s="441" t="s">
        <v>12</v>
      </c>
      <c r="T7" s="272"/>
      <c r="U7" s="442"/>
      <c r="V7" s="400"/>
      <c r="W7" s="442"/>
      <c r="X7" s="442"/>
      <c r="Y7" s="442"/>
      <c r="Z7" s="442"/>
      <c r="AA7" s="442"/>
      <c r="AB7" s="443"/>
      <c r="AC7" s="443"/>
      <c r="AD7" s="443"/>
      <c r="AE7" s="443"/>
      <c r="AF7" s="443"/>
      <c r="AG7" s="443"/>
      <c r="AH7" s="444"/>
      <c r="AI7" s="444"/>
      <c r="AJ7" s="444"/>
      <c r="AK7" s="445"/>
      <c r="AL7" s="445"/>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row>
    <row r="8" spans="1:74" s="104" customFormat="1" ht="5.95" customHeight="1" x14ac:dyDescent="0.3">
      <c r="A8" s="105"/>
      <c r="B8" s="105"/>
      <c r="H8" s="31" t="s">
        <v>12</v>
      </c>
      <c r="I8" s="31"/>
      <c r="J8" s="84"/>
      <c r="K8" s="84"/>
      <c r="L8" s="84"/>
      <c r="M8" s="84"/>
      <c r="N8" s="84"/>
      <c r="O8" s="84"/>
      <c r="P8" s="84"/>
      <c r="Q8" s="270"/>
      <c r="R8" s="280" t="s">
        <v>12</v>
      </c>
      <c r="S8" s="281" t="s">
        <v>12</v>
      </c>
      <c r="T8" s="272"/>
      <c r="U8" s="271"/>
      <c r="V8" s="271"/>
      <c r="W8" s="271"/>
      <c r="X8" s="271"/>
      <c r="Y8" s="271"/>
      <c r="Z8" s="271"/>
      <c r="AA8" s="271"/>
      <c r="AB8" s="270"/>
      <c r="AC8" s="270"/>
      <c r="AD8" s="270"/>
      <c r="AE8" s="270"/>
      <c r="AF8" s="270"/>
      <c r="AG8" s="270"/>
      <c r="AH8" s="380"/>
      <c r="AI8" s="380"/>
      <c r="AJ8" s="380"/>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row>
    <row r="9" spans="1:74" ht="17.350000000000001" customHeight="1" x14ac:dyDescent="0.25">
      <c r="A9" s="1108" t="s">
        <v>729</v>
      </c>
      <c r="B9" s="1108"/>
      <c r="I9" s="317" t="s">
        <v>757</v>
      </c>
      <c r="J9" s="318">
        <f>IF(ISBLANK(Grunddaten!$V$5),Grunddaten!$U$5,Grunddaten!$V$5)</f>
        <v>2.5000000000000001E-2</v>
      </c>
      <c r="K9" s="1124" t="s">
        <v>568</v>
      </c>
      <c r="L9" s="103"/>
      <c r="M9" s="103"/>
      <c r="N9" s="103"/>
      <c r="O9" s="103"/>
      <c r="P9" s="2540" t="s">
        <v>563</v>
      </c>
      <c r="Q9" s="2540"/>
      <c r="R9" s="2540"/>
      <c r="S9" s="2540"/>
      <c r="T9" s="272"/>
      <c r="U9" s="271"/>
      <c r="V9" s="271"/>
      <c r="W9" s="271"/>
      <c r="X9" s="271"/>
      <c r="Y9" s="271"/>
      <c r="Z9" s="271"/>
      <c r="AA9" s="271"/>
    </row>
    <row r="10" spans="1:74" ht="2.25" customHeight="1" thickBot="1" x14ac:dyDescent="0.25">
      <c r="O10" s="1110"/>
      <c r="P10" s="1123"/>
      <c r="Q10" s="1125"/>
      <c r="R10" s="1125"/>
      <c r="S10" s="1125"/>
      <c r="T10" s="272"/>
      <c r="U10" s="271"/>
      <c r="V10" s="271"/>
      <c r="W10" s="271"/>
      <c r="X10" s="271"/>
      <c r="Y10" s="271"/>
      <c r="Z10" s="271"/>
      <c r="AA10" s="271"/>
    </row>
    <row r="11" spans="1:74" s="382" customFormat="1" ht="11.25" customHeight="1" x14ac:dyDescent="0.2">
      <c r="A11" s="388" t="s">
        <v>318</v>
      </c>
      <c r="B11" s="2723" t="s">
        <v>578</v>
      </c>
      <c r="C11" s="2724"/>
      <c r="D11" s="2725"/>
      <c r="E11" s="2482" t="s">
        <v>651</v>
      </c>
      <c r="F11" s="2483"/>
      <c r="G11" s="2714" t="s">
        <v>653</v>
      </c>
      <c r="H11" s="2482" t="s">
        <v>667</v>
      </c>
      <c r="I11" s="2483"/>
      <c r="J11" s="2714" t="s">
        <v>730</v>
      </c>
      <c r="K11" s="2482" t="s">
        <v>731</v>
      </c>
      <c r="L11" s="2494"/>
      <c r="M11" s="2494"/>
      <c r="N11" s="2495"/>
      <c r="O11" s="1110"/>
      <c r="P11" s="1126" t="s">
        <v>564</v>
      </c>
      <c r="Q11" s="2521" t="s">
        <v>571</v>
      </c>
      <c r="R11" s="2521"/>
      <c r="S11" s="2521"/>
      <c r="T11" s="280"/>
      <c r="U11" s="1269" t="s">
        <v>583</v>
      </c>
      <c r="V11" s="1270"/>
      <c r="W11" s="1271"/>
      <c r="X11" s="1275" t="b">
        <f>(U11=B11)</f>
        <v>0</v>
      </c>
      <c r="Y11" s="271"/>
      <c r="Z11" s="271"/>
      <c r="AA11" s="270"/>
      <c r="AB11" s="270"/>
      <c r="AC11" s="270"/>
      <c r="AD11" s="270"/>
      <c r="AE11" s="270"/>
      <c r="AF11" s="270"/>
      <c r="AG11" s="380"/>
      <c r="AH11" s="380"/>
      <c r="AI11" s="380"/>
      <c r="AJ11" s="381"/>
      <c r="AK11" s="381"/>
    </row>
    <row r="12" spans="1:74" s="382" customFormat="1" ht="11.25" customHeight="1" x14ac:dyDescent="0.2">
      <c r="A12" s="389"/>
      <c r="B12" s="1383"/>
      <c r="C12" s="1277"/>
      <c r="D12" s="1277"/>
      <c r="E12" s="2484"/>
      <c r="F12" s="2485"/>
      <c r="G12" s="2715"/>
      <c r="H12" s="2484"/>
      <c r="I12" s="2485"/>
      <c r="J12" s="2715"/>
      <c r="K12" s="2484"/>
      <c r="L12" s="2496"/>
      <c r="M12" s="2496"/>
      <c r="N12" s="2497"/>
      <c r="O12" s="1110"/>
      <c r="P12" s="1127"/>
      <c r="Q12" s="2521"/>
      <c r="R12" s="2521"/>
      <c r="S12" s="2521"/>
      <c r="T12" s="280"/>
      <c r="U12" s="1272" t="s">
        <v>578</v>
      </c>
      <c r="V12" s="1273"/>
      <c r="W12" s="1274"/>
      <c r="X12" s="1276" t="b">
        <f>(U12=B11)</f>
        <v>1</v>
      </c>
      <c r="Y12" s="271"/>
      <c r="Z12" s="271"/>
      <c r="AA12" s="270"/>
      <c r="AB12" s="270"/>
      <c r="AC12" s="270"/>
      <c r="AD12" s="270"/>
      <c r="AE12" s="270"/>
      <c r="AF12" s="270"/>
      <c r="AG12" s="380"/>
      <c r="AH12" s="380"/>
      <c r="AI12" s="380"/>
      <c r="AJ12" s="381"/>
      <c r="AK12" s="381"/>
    </row>
    <row r="13" spans="1:74" s="382" customFormat="1" ht="11.25" customHeight="1" x14ac:dyDescent="0.2">
      <c r="A13" s="389"/>
      <c r="B13" s="1383"/>
      <c r="C13" s="1278"/>
      <c r="D13" s="1278"/>
      <c r="E13" s="2609" t="s">
        <v>652</v>
      </c>
      <c r="F13" s="2613"/>
      <c r="G13" s="1462" t="s">
        <v>29</v>
      </c>
      <c r="H13" s="2486" t="s">
        <v>641</v>
      </c>
      <c r="I13" s="2487"/>
      <c r="J13" s="693" t="s">
        <v>655</v>
      </c>
      <c r="K13" s="1473" t="s">
        <v>677</v>
      </c>
      <c r="L13" s="2498" t="s">
        <v>668</v>
      </c>
      <c r="M13" s="2498"/>
      <c r="N13" s="1474" t="s">
        <v>655</v>
      </c>
      <c r="O13" s="1110"/>
      <c r="P13" s="1127"/>
      <c r="Q13" s="2521"/>
      <c r="R13" s="2521"/>
      <c r="S13" s="2521"/>
      <c r="T13" s="280"/>
      <c r="U13" s="271"/>
      <c r="V13" s="271"/>
      <c r="W13" s="271"/>
      <c r="X13" s="271"/>
      <c r="Y13" s="271"/>
      <c r="Z13" s="271"/>
      <c r="AA13" s="270"/>
      <c r="AB13" s="270"/>
      <c r="AC13" s="270"/>
      <c r="AD13" s="270"/>
      <c r="AE13" s="270"/>
      <c r="AF13" s="270"/>
      <c r="AG13" s="380"/>
      <c r="AH13" s="380"/>
      <c r="AI13" s="380"/>
      <c r="AJ13" s="381"/>
      <c r="AK13" s="381"/>
    </row>
    <row r="14" spans="1:74" s="88" customFormat="1" ht="12.1" customHeight="1" x14ac:dyDescent="0.2">
      <c r="A14" s="2726" t="s">
        <v>573</v>
      </c>
      <c r="B14" s="2727"/>
      <c r="C14" s="2727"/>
      <c r="D14" s="2727"/>
      <c r="E14" s="2732">
        <f>DK_Var4!E414</f>
        <v>0</v>
      </c>
      <c r="F14" s="2733"/>
      <c r="G14" s="1471">
        <f>DK_Var4!G414</f>
        <v>0</v>
      </c>
      <c r="H14" s="2728">
        <f>DK_Var4!I414</f>
        <v>0</v>
      </c>
      <c r="I14" s="2729"/>
      <c r="J14" s="1411">
        <f>DK_Var4!J414</f>
        <v>0</v>
      </c>
      <c r="K14" s="1475">
        <f>IF(E14=0,0,N14/E14*100)</f>
        <v>0</v>
      </c>
      <c r="L14" s="2520"/>
      <c r="M14" s="2520"/>
      <c r="N14" s="1476">
        <f>DK_Var4!M414</f>
        <v>0</v>
      </c>
      <c r="O14" s="1110"/>
      <c r="P14" s="2522" t="s">
        <v>569</v>
      </c>
      <c r="Q14" s="2522"/>
      <c r="R14" s="2522"/>
      <c r="S14" s="2522"/>
      <c r="T14" s="280"/>
      <c r="U14" s="280"/>
      <c r="V14" s="280"/>
      <c r="W14" s="280"/>
      <c r="X14" s="280"/>
      <c r="Y14" s="280"/>
      <c r="Z14" s="280"/>
      <c r="AA14" s="284"/>
      <c r="AB14" s="284"/>
      <c r="AC14" s="284"/>
      <c r="AD14" s="284"/>
      <c r="AE14" s="284"/>
      <c r="AF14" s="284"/>
      <c r="AG14" s="447"/>
      <c r="AH14" s="447"/>
      <c r="AI14" s="447"/>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row>
    <row r="15" spans="1:74" s="88" customFormat="1" ht="11.25" customHeight="1" x14ac:dyDescent="0.2">
      <c r="A15" s="1803"/>
      <c r="B15" s="1804"/>
      <c r="C15" s="1812"/>
      <c r="D15" s="1812"/>
      <c r="E15" s="2734"/>
      <c r="F15" s="2735"/>
      <c r="G15" s="1468"/>
      <c r="H15" s="2730">
        <f t="shared" ref="H15:H38" si="0">IF($G15&gt;0,-PMT(($J$9),$G15,1),0)</f>
        <v>0</v>
      </c>
      <c r="I15" s="2731"/>
      <c r="J15" s="1405">
        <f t="shared" ref="J15:J38" si="1">ROUND(E15*H15,-1)</f>
        <v>0</v>
      </c>
      <c r="K15" s="1477"/>
      <c r="L15" s="2541"/>
      <c r="M15" s="2541"/>
      <c r="N15" s="1478">
        <f>IF(L15,L15,ROUND(E15/100*K15,-1))</f>
        <v>0</v>
      </c>
      <c r="O15" s="1111"/>
      <c r="P15" s="1127"/>
      <c r="Q15" s="1128"/>
      <c r="R15" s="1129"/>
      <c r="S15" s="1130"/>
      <c r="T15" s="280"/>
      <c r="U15" s="280"/>
      <c r="V15" s="280"/>
      <c r="W15" s="280"/>
      <c r="X15" s="280"/>
      <c r="Y15" s="280"/>
      <c r="Z15" s="280"/>
      <c r="AA15" s="284"/>
      <c r="AB15" s="284"/>
      <c r="AC15" s="284"/>
      <c r="AD15" s="284"/>
      <c r="AE15" s="284"/>
      <c r="AF15" s="284"/>
      <c r="AG15" s="447"/>
      <c r="AH15" s="447"/>
      <c r="AI15" s="447"/>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row>
    <row r="16" spans="1:74" s="88" customFormat="1" ht="11.25" customHeight="1" x14ac:dyDescent="0.2">
      <c r="A16" s="1803"/>
      <c r="B16" s="1806"/>
      <c r="C16" s="1813"/>
      <c r="D16" s="1813"/>
      <c r="E16" s="2561"/>
      <c r="F16" s="2562"/>
      <c r="G16" s="1469"/>
      <c r="H16" s="2712">
        <f t="shared" si="0"/>
        <v>0</v>
      </c>
      <c r="I16" s="2713"/>
      <c r="J16" s="1405">
        <f t="shared" si="1"/>
        <v>0</v>
      </c>
      <c r="K16" s="1479"/>
      <c r="L16" s="2534"/>
      <c r="M16" s="2535"/>
      <c r="N16" s="1478">
        <f t="shared" ref="N16:N38" si="2">IF(L16,L16,ROUND(E16/100*K16,-1))</f>
        <v>0</v>
      </c>
      <c r="O16" s="1111"/>
      <c r="P16" s="1126"/>
      <c r="Q16" s="1128"/>
      <c r="R16" s="1129"/>
      <c r="S16" s="1130"/>
      <c r="T16" s="280"/>
      <c r="U16" s="280"/>
      <c r="V16" s="280"/>
      <c r="W16" s="280"/>
      <c r="X16" s="280"/>
      <c r="Y16" s="280"/>
      <c r="Z16" s="280"/>
      <c r="AA16" s="284"/>
      <c r="AB16" s="284"/>
      <c r="AC16" s="284"/>
      <c r="AD16" s="284"/>
      <c r="AE16" s="284"/>
      <c r="AF16" s="284"/>
      <c r="AG16" s="447"/>
      <c r="AH16" s="447"/>
      <c r="AI16" s="447"/>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row>
    <row r="17" spans="1:68" s="88" customFormat="1" ht="11.25" customHeight="1" x14ac:dyDescent="0.2">
      <c r="A17" s="1803"/>
      <c r="B17" s="1806"/>
      <c r="C17" s="1813"/>
      <c r="D17" s="1813"/>
      <c r="E17" s="2561"/>
      <c r="F17" s="2562"/>
      <c r="G17" s="1469"/>
      <c r="H17" s="2712">
        <f t="shared" si="0"/>
        <v>0</v>
      </c>
      <c r="I17" s="2713"/>
      <c r="J17" s="1405">
        <f t="shared" si="1"/>
        <v>0</v>
      </c>
      <c r="K17" s="1480"/>
      <c r="L17" s="2534"/>
      <c r="M17" s="2535"/>
      <c r="N17" s="1478">
        <f t="shared" si="2"/>
        <v>0</v>
      </c>
      <c r="O17" s="1111"/>
      <c r="P17" s="1127"/>
      <c r="Q17" s="1128"/>
      <c r="R17" s="1129"/>
      <c r="S17" s="1130"/>
      <c r="T17" s="280"/>
      <c r="U17" s="280"/>
      <c r="V17" s="280"/>
      <c r="W17" s="280"/>
      <c r="X17" s="280"/>
      <c r="Y17" s="280"/>
      <c r="Z17" s="280"/>
      <c r="AA17" s="284"/>
      <c r="AB17" s="284"/>
      <c r="AC17" s="284"/>
      <c r="AD17" s="284"/>
      <c r="AE17" s="284"/>
      <c r="AF17" s="284"/>
      <c r="AG17" s="447"/>
      <c r="AH17" s="447"/>
      <c r="AI17" s="447"/>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row>
    <row r="18" spans="1:68" s="88" customFormat="1" ht="11.25" customHeight="1" x14ac:dyDescent="0.2">
      <c r="A18" s="1803"/>
      <c r="B18" s="1806"/>
      <c r="C18" s="1813"/>
      <c r="D18" s="1813"/>
      <c r="E18" s="2561"/>
      <c r="F18" s="2562"/>
      <c r="G18" s="1469"/>
      <c r="H18" s="2712">
        <f t="shared" si="0"/>
        <v>0</v>
      </c>
      <c r="I18" s="2713"/>
      <c r="J18" s="1405">
        <f t="shared" si="1"/>
        <v>0</v>
      </c>
      <c r="K18" s="1480"/>
      <c r="L18" s="2534"/>
      <c r="M18" s="2535"/>
      <c r="N18" s="1478">
        <f t="shared" si="2"/>
        <v>0</v>
      </c>
      <c r="O18" s="1111"/>
      <c r="P18" s="1127"/>
      <c r="Q18" s="1128"/>
      <c r="R18" s="1129"/>
      <c r="S18" s="1130"/>
      <c r="T18" s="280"/>
      <c r="U18" s="280"/>
      <c r="V18" s="280"/>
      <c r="W18" s="280"/>
      <c r="X18" s="280"/>
      <c r="Y18" s="280"/>
      <c r="Z18" s="280"/>
      <c r="AA18" s="284"/>
      <c r="AB18" s="284"/>
      <c r="AC18" s="284"/>
      <c r="AD18" s="284"/>
      <c r="AE18" s="284"/>
      <c r="AF18" s="284"/>
      <c r="AG18" s="447"/>
      <c r="AH18" s="447"/>
      <c r="AI18" s="447"/>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row>
    <row r="19" spans="1:68" s="88" customFormat="1" ht="11.25" customHeight="1" x14ac:dyDescent="0.2">
      <c r="A19" s="1803"/>
      <c r="B19" s="1806"/>
      <c r="C19" s="1813"/>
      <c r="D19" s="1813"/>
      <c r="E19" s="2561"/>
      <c r="F19" s="2562"/>
      <c r="G19" s="1469"/>
      <c r="H19" s="2712">
        <f t="shared" si="0"/>
        <v>0</v>
      </c>
      <c r="I19" s="2713"/>
      <c r="J19" s="1405">
        <f t="shared" si="1"/>
        <v>0</v>
      </c>
      <c r="K19" s="1480"/>
      <c r="L19" s="2534"/>
      <c r="M19" s="2535"/>
      <c r="N19" s="1478">
        <f t="shared" si="2"/>
        <v>0</v>
      </c>
      <c r="O19" s="1111"/>
      <c r="P19" s="1127"/>
      <c r="Q19" s="1128"/>
      <c r="R19" s="1129"/>
      <c r="S19" s="1130"/>
      <c r="T19" s="280"/>
      <c r="U19" s="280"/>
      <c r="V19" s="280"/>
      <c r="W19" s="280"/>
      <c r="X19" s="280"/>
      <c r="Y19" s="280"/>
      <c r="Z19" s="280"/>
      <c r="AA19" s="284"/>
      <c r="AB19" s="284"/>
      <c r="AC19" s="284"/>
      <c r="AD19" s="284"/>
      <c r="AE19" s="284"/>
      <c r="AF19" s="284"/>
      <c r="AG19" s="447"/>
      <c r="AH19" s="447"/>
      <c r="AI19" s="447"/>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row>
    <row r="20" spans="1:68" s="88" customFormat="1" ht="11.25" customHeight="1" x14ac:dyDescent="0.2">
      <c r="A20" s="1803"/>
      <c r="B20" s="1806"/>
      <c r="C20" s="1806"/>
      <c r="D20" s="1813"/>
      <c r="E20" s="2561"/>
      <c r="F20" s="2562"/>
      <c r="G20" s="1469"/>
      <c r="H20" s="2712">
        <f t="shared" si="0"/>
        <v>0</v>
      </c>
      <c r="I20" s="2713"/>
      <c r="J20" s="1405">
        <f t="shared" si="1"/>
        <v>0</v>
      </c>
      <c r="K20" s="1480"/>
      <c r="L20" s="2534"/>
      <c r="M20" s="2535"/>
      <c r="N20" s="1478">
        <f t="shared" si="2"/>
        <v>0</v>
      </c>
      <c r="O20" s="1111"/>
      <c r="P20" s="1127"/>
      <c r="Q20" s="1128"/>
      <c r="R20" s="1129"/>
      <c r="S20" s="1130"/>
      <c r="T20" s="280"/>
      <c r="U20" s="280"/>
      <c r="V20" s="280"/>
      <c r="W20" s="280"/>
      <c r="X20" s="280"/>
      <c r="Y20" s="280"/>
      <c r="Z20" s="280"/>
      <c r="AA20" s="284"/>
      <c r="AB20" s="284"/>
      <c r="AC20" s="284"/>
      <c r="AD20" s="284"/>
      <c r="AE20" s="284"/>
      <c r="AF20" s="284"/>
      <c r="AG20" s="447"/>
      <c r="AH20" s="447"/>
      <c r="AI20" s="447"/>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row>
    <row r="21" spans="1:68" s="88" customFormat="1" ht="11.25" customHeight="1" x14ac:dyDescent="0.2">
      <c r="A21" s="1803"/>
      <c r="B21" s="1806"/>
      <c r="C21" s="1813"/>
      <c r="D21" s="1813"/>
      <c r="E21" s="2561"/>
      <c r="F21" s="2562"/>
      <c r="G21" s="1469"/>
      <c r="H21" s="2712">
        <f t="shared" si="0"/>
        <v>0</v>
      </c>
      <c r="I21" s="2713"/>
      <c r="J21" s="1405">
        <f t="shared" si="1"/>
        <v>0</v>
      </c>
      <c r="K21" s="1480"/>
      <c r="L21" s="2534"/>
      <c r="M21" s="2535"/>
      <c r="N21" s="1478">
        <f t="shared" si="2"/>
        <v>0</v>
      </c>
      <c r="O21" s="1111"/>
      <c r="P21" s="1127"/>
      <c r="Q21" s="1128"/>
      <c r="R21" s="1129"/>
      <c r="S21" s="1130"/>
      <c r="T21" s="280"/>
      <c r="U21" s="280"/>
      <c r="V21" s="280"/>
      <c r="W21" s="280"/>
      <c r="X21" s="280"/>
      <c r="Y21" s="280"/>
      <c r="Z21" s="280"/>
      <c r="AA21" s="284"/>
      <c r="AB21" s="284"/>
      <c r="AC21" s="284"/>
      <c r="AD21" s="284"/>
      <c r="AE21" s="284"/>
      <c r="AF21" s="284"/>
      <c r="AG21" s="447"/>
      <c r="AH21" s="447"/>
      <c r="AI21" s="447"/>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row>
    <row r="22" spans="1:68" s="88" customFormat="1" ht="11.25" customHeight="1" x14ac:dyDescent="0.2">
      <c r="A22" s="1803"/>
      <c r="B22" s="1806"/>
      <c r="C22" s="1813"/>
      <c r="D22" s="1813"/>
      <c r="E22" s="2561"/>
      <c r="F22" s="2562"/>
      <c r="G22" s="1469"/>
      <c r="H22" s="2712">
        <f t="shared" si="0"/>
        <v>0</v>
      </c>
      <c r="I22" s="2713"/>
      <c r="J22" s="1405">
        <f t="shared" si="1"/>
        <v>0</v>
      </c>
      <c r="K22" s="1480"/>
      <c r="L22" s="2534"/>
      <c r="M22" s="2535"/>
      <c r="N22" s="1478">
        <f t="shared" si="2"/>
        <v>0</v>
      </c>
      <c r="O22" s="1111"/>
      <c r="P22" s="1127"/>
      <c r="Q22" s="1128"/>
      <c r="R22" s="1129"/>
      <c r="S22" s="1130"/>
      <c r="T22" s="280"/>
      <c r="U22" s="280"/>
      <c r="V22" s="280"/>
      <c r="W22" s="280"/>
      <c r="X22" s="280"/>
      <c r="Y22" s="280"/>
      <c r="Z22" s="280"/>
      <c r="AA22" s="284"/>
      <c r="AB22" s="284"/>
      <c r="AC22" s="284"/>
      <c r="AD22" s="284"/>
      <c r="AE22" s="284"/>
      <c r="AF22" s="284"/>
      <c r="AG22" s="447"/>
      <c r="AH22" s="447"/>
      <c r="AI22" s="447"/>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c r="BP22" s="382"/>
    </row>
    <row r="23" spans="1:68" s="88" customFormat="1" ht="11.25" customHeight="1" x14ac:dyDescent="0.2">
      <c r="A23" s="1808"/>
      <c r="B23" s="1809"/>
      <c r="C23" s="1809"/>
      <c r="D23" s="1809"/>
      <c r="E23" s="2561"/>
      <c r="F23" s="2562"/>
      <c r="G23" s="1469"/>
      <c r="H23" s="2712">
        <f t="shared" si="0"/>
        <v>0</v>
      </c>
      <c r="I23" s="2713"/>
      <c r="J23" s="1405">
        <f t="shared" si="1"/>
        <v>0</v>
      </c>
      <c r="K23" s="1480"/>
      <c r="L23" s="2534"/>
      <c r="M23" s="2535"/>
      <c r="N23" s="1478">
        <f t="shared" si="2"/>
        <v>0</v>
      </c>
      <c r="O23" s="1111"/>
      <c r="P23" s="1127"/>
      <c r="Q23" s="1128"/>
      <c r="R23" s="1129"/>
      <c r="S23" s="1130"/>
      <c r="T23" s="280"/>
      <c r="U23" s="280"/>
      <c r="V23" s="280"/>
      <c r="W23" s="280"/>
      <c r="X23" s="280"/>
      <c r="Y23" s="280"/>
      <c r="Z23" s="280"/>
      <c r="AA23" s="284"/>
      <c r="AB23" s="284"/>
      <c r="AC23" s="284"/>
      <c r="AD23" s="284"/>
      <c r="AE23" s="284"/>
      <c r="AF23" s="284"/>
      <c r="AG23" s="447"/>
      <c r="AH23" s="447"/>
      <c r="AI23" s="447"/>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row>
    <row r="24" spans="1:68" s="88" customFormat="1" ht="11.25" customHeight="1" x14ac:dyDescent="0.2">
      <c r="A24" s="1808"/>
      <c r="B24" s="1809"/>
      <c r="C24" s="1809"/>
      <c r="D24" s="1809"/>
      <c r="E24" s="2561"/>
      <c r="F24" s="2562"/>
      <c r="G24" s="1469"/>
      <c r="H24" s="2712">
        <f t="shared" si="0"/>
        <v>0</v>
      </c>
      <c r="I24" s="2713"/>
      <c r="J24" s="1405">
        <f t="shared" si="1"/>
        <v>0</v>
      </c>
      <c r="K24" s="1480"/>
      <c r="L24" s="2534"/>
      <c r="M24" s="2535"/>
      <c r="N24" s="1478">
        <f t="shared" si="2"/>
        <v>0</v>
      </c>
      <c r="O24" s="1111"/>
      <c r="P24" s="1127"/>
      <c r="Q24" s="1128"/>
      <c r="R24" s="1129"/>
      <c r="S24" s="1130"/>
      <c r="T24" s="280"/>
      <c r="U24" s="280"/>
      <c r="V24" s="280"/>
      <c r="W24" s="280"/>
      <c r="X24" s="280"/>
      <c r="Y24" s="280"/>
      <c r="Z24" s="280"/>
      <c r="AA24" s="284"/>
      <c r="AB24" s="284"/>
      <c r="AC24" s="284"/>
      <c r="AD24" s="284"/>
      <c r="AE24" s="284"/>
      <c r="AF24" s="284"/>
      <c r="AG24" s="447"/>
      <c r="AH24" s="447"/>
      <c r="AI24" s="447"/>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row>
    <row r="25" spans="1:68" s="88" customFormat="1" ht="11.25" customHeight="1" x14ac:dyDescent="0.2">
      <c r="A25" s="1808"/>
      <c r="B25" s="1809"/>
      <c r="C25" s="1809"/>
      <c r="D25" s="1809"/>
      <c r="E25" s="2561"/>
      <c r="F25" s="2562"/>
      <c r="G25" s="1469"/>
      <c r="H25" s="2712">
        <f t="shared" si="0"/>
        <v>0</v>
      </c>
      <c r="I25" s="2713"/>
      <c r="J25" s="1405">
        <f t="shared" si="1"/>
        <v>0</v>
      </c>
      <c r="K25" s="1480"/>
      <c r="L25" s="2534"/>
      <c r="M25" s="2535"/>
      <c r="N25" s="1478">
        <f t="shared" si="2"/>
        <v>0</v>
      </c>
      <c r="O25" s="1111"/>
      <c r="P25" s="1127"/>
      <c r="Q25" s="1128"/>
      <c r="R25" s="1129"/>
      <c r="S25" s="1130"/>
      <c r="T25" s="280"/>
      <c r="U25" s="280"/>
      <c r="V25" s="280"/>
      <c r="W25" s="280"/>
      <c r="X25" s="280"/>
      <c r="Y25" s="280"/>
      <c r="Z25" s="280"/>
      <c r="AA25" s="284"/>
      <c r="AB25" s="284"/>
      <c r="AC25" s="284"/>
      <c r="AD25" s="284"/>
      <c r="AE25" s="284"/>
      <c r="AF25" s="284"/>
      <c r="AG25" s="447"/>
      <c r="AH25" s="447"/>
      <c r="AI25" s="447"/>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row>
    <row r="26" spans="1:68" s="88" customFormat="1" ht="11.25" customHeight="1" x14ac:dyDescent="0.2">
      <c r="A26" s="1808"/>
      <c r="B26" s="1809"/>
      <c r="C26" s="1809"/>
      <c r="D26" s="1809"/>
      <c r="E26" s="2561"/>
      <c r="F26" s="2562"/>
      <c r="G26" s="1469"/>
      <c r="H26" s="2712">
        <f t="shared" si="0"/>
        <v>0</v>
      </c>
      <c r="I26" s="2713"/>
      <c r="J26" s="1405">
        <f t="shared" si="1"/>
        <v>0</v>
      </c>
      <c r="K26" s="1480"/>
      <c r="L26" s="2534"/>
      <c r="M26" s="2535"/>
      <c r="N26" s="1478">
        <f t="shared" si="2"/>
        <v>0</v>
      </c>
      <c r="O26" s="1111"/>
      <c r="P26" s="2523" t="s">
        <v>566</v>
      </c>
      <c r="Q26" s="2524" t="s">
        <v>567</v>
      </c>
      <c r="R26" s="2524"/>
      <c r="S26" s="2524"/>
      <c r="T26" s="280"/>
      <c r="U26" s="280"/>
      <c r="V26" s="280"/>
      <c r="W26" s="280"/>
      <c r="X26" s="280"/>
      <c r="Y26" s="280"/>
      <c r="Z26" s="280"/>
      <c r="AA26" s="284"/>
      <c r="AB26" s="284"/>
      <c r="AC26" s="284"/>
      <c r="AD26" s="284"/>
      <c r="AE26" s="284"/>
      <c r="AF26" s="284"/>
      <c r="AG26" s="447"/>
      <c r="AH26" s="447"/>
      <c r="AI26" s="447"/>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row>
    <row r="27" spans="1:68" s="88" customFormat="1" ht="11.25" customHeight="1" x14ac:dyDescent="0.2">
      <c r="A27" s="1808"/>
      <c r="B27" s="1809"/>
      <c r="C27" s="1809"/>
      <c r="D27" s="1809"/>
      <c r="E27" s="2561"/>
      <c r="F27" s="2562"/>
      <c r="G27" s="1469"/>
      <c r="H27" s="2712">
        <f t="shared" si="0"/>
        <v>0</v>
      </c>
      <c r="I27" s="2713"/>
      <c r="J27" s="1405">
        <f t="shared" si="1"/>
        <v>0</v>
      </c>
      <c r="K27" s="1480"/>
      <c r="L27" s="2534"/>
      <c r="M27" s="2535"/>
      <c r="N27" s="1478">
        <f t="shared" si="2"/>
        <v>0</v>
      </c>
      <c r="O27" s="1111"/>
      <c r="P27" s="2523"/>
      <c r="Q27" s="2524"/>
      <c r="R27" s="2524"/>
      <c r="S27" s="2524"/>
      <c r="T27" s="280"/>
      <c r="U27" s="280"/>
      <c r="V27" s="280"/>
      <c r="W27" s="280"/>
      <c r="X27" s="280"/>
      <c r="Y27" s="280"/>
      <c r="Z27" s="280"/>
      <c r="AA27" s="284"/>
      <c r="AB27" s="284"/>
      <c r="AC27" s="284"/>
      <c r="AD27" s="284"/>
      <c r="AE27" s="284"/>
      <c r="AF27" s="284"/>
      <c r="AG27" s="447"/>
      <c r="AH27" s="447"/>
      <c r="AI27" s="447"/>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row>
    <row r="28" spans="1:68" s="88" customFormat="1" ht="11.25" customHeight="1" x14ac:dyDescent="0.2">
      <c r="A28" s="1808"/>
      <c r="B28" s="1809"/>
      <c r="C28" s="1809"/>
      <c r="D28" s="1809"/>
      <c r="E28" s="2561"/>
      <c r="F28" s="2562"/>
      <c r="G28" s="1469"/>
      <c r="H28" s="2712">
        <f t="shared" si="0"/>
        <v>0</v>
      </c>
      <c r="I28" s="2713"/>
      <c r="J28" s="1405">
        <f t="shared" si="1"/>
        <v>0</v>
      </c>
      <c r="K28" s="1480"/>
      <c r="L28" s="2534"/>
      <c r="M28" s="2535"/>
      <c r="N28" s="1478">
        <f t="shared" si="2"/>
        <v>0</v>
      </c>
      <c r="O28" s="1111"/>
      <c r="P28" s="1127"/>
      <c r="Q28" s="1128"/>
      <c r="R28" s="1129"/>
      <c r="S28" s="1130"/>
      <c r="T28" s="280"/>
      <c r="U28" s="280"/>
      <c r="V28" s="280"/>
      <c r="W28" s="280"/>
      <c r="X28" s="280"/>
      <c r="Y28" s="280"/>
      <c r="Z28" s="280"/>
      <c r="AA28" s="284"/>
      <c r="AB28" s="284"/>
      <c r="AC28" s="284"/>
      <c r="AD28" s="284"/>
      <c r="AE28" s="284"/>
      <c r="AF28" s="284"/>
      <c r="AG28" s="447"/>
      <c r="AH28" s="447"/>
      <c r="AI28" s="447"/>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row>
    <row r="29" spans="1:68" s="88" customFormat="1" ht="11.25" customHeight="1" x14ac:dyDescent="0.2">
      <c r="A29" s="1808"/>
      <c r="B29" s="1809"/>
      <c r="C29" s="1809"/>
      <c r="D29" s="1809"/>
      <c r="E29" s="2561"/>
      <c r="F29" s="2562"/>
      <c r="G29" s="1469"/>
      <c r="H29" s="2712">
        <f t="shared" si="0"/>
        <v>0</v>
      </c>
      <c r="I29" s="2713"/>
      <c r="J29" s="1405">
        <f t="shared" si="1"/>
        <v>0</v>
      </c>
      <c r="K29" s="1480"/>
      <c r="L29" s="2534"/>
      <c r="M29" s="2535"/>
      <c r="N29" s="1478">
        <f t="shared" si="2"/>
        <v>0</v>
      </c>
      <c r="O29" s="1111"/>
      <c r="P29" s="1127"/>
      <c r="Q29" s="1128"/>
      <c r="R29" s="1129"/>
      <c r="S29" s="1130"/>
      <c r="T29" s="280"/>
      <c r="U29" s="280"/>
      <c r="V29" s="280"/>
      <c r="W29" s="280"/>
      <c r="X29" s="280"/>
      <c r="Y29" s="280"/>
      <c r="Z29" s="280"/>
      <c r="AA29" s="284"/>
      <c r="AB29" s="284"/>
      <c r="AC29" s="284"/>
      <c r="AD29" s="284"/>
      <c r="AE29" s="284"/>
      <c r="AF29" s="284"/>
      <c r="AG29" s="447"/>
      <c r="AH29" s="447"/>
      <c r="AI29" s="447"/>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row>
    <row r="30" spans="1:68" s="88" customFormat="1" ht="11.25" customHeight="1" x14ac:dyDescent="0.2">
      <c r="A30" s="1808"/>
      <c r="B30" s="1809"/>
      <c r="C30" s="1809"/>
      <c r="D30" s="1809"/>
      <c r="E30" s="2561"/>
      <c r="F30" s="2562"/>
      <c r="G30" s="1469"/>
      <c r="H30" s="2712">
        <f t="shared" si="0"/>
        <v>0</v>
      </c>
      <c r="I30" s="2713"/>
      <c r="J30" s="1405">
        <f t="shared" si="1"/>
        <v>0</v>
      </c>
      <c r="K30" s="1480"/>
      <c r="L30" s="2534"/>
      <c r="M30" s="2535"/>
      <c r="N30" s="1478">
        <f t="shared" si="2"/>
        <v>0</v>
      </c>
      <c r="O30" s="1111"/>
      <c r="P30" s="1127"/>
      <c r="Q30" s="1128"/>
      <c r="R30" s="1129"/>
      <c r="S30" s="1130"/>
      <c r="T30" s="280"/>
      <c r="U30" s="280"/>
      <c r="V30" s="280"/>
      <c r="W30" s="280"/>
      <c r="X30" s="280"/>
      <c r="Y30" s="280"/>
      <c r="Z30" s="280"/>
      <c r="AA30" s="284"/>
      <c r="AB30" s="284"/>
      <c r="AC30" s="284"/>
      <c r="AD30" s="284"/>
      <c r="AE30" s="284"/>
      <c r="AF30" s="284"/>
      <c r="AG30" s="447"/>
      <c r="AH30" s="447"/>
      <c r="AI30" s="447"/>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row>
    <row r="31" spans="1:68" s="88" customFormat="1" ht="11.25" customHeight="1" x14ac:dyDescent="0.2">
      <c r="A31" s="1808"/>
      <c r="B31" s="1809"/>
      <c r="C31" s="1809"/>
      <c r="D31" s="1809"/>
      <c r="E31" s="2561"/>
      <c r="F31" s="2562"/>
      <c r="G31" s="1469"/>
      <c r="H31" s="2712">
        <f t="shared" si="0"/>
        <v>0</v>
      </c>
      <c r="I31" s="2713"/>
      <c r="J31" s="1405">
        <f t="shared" si="1"/>
        <v>0</v>
      </c>
      <c r="K31" s="1480"/>
      <c r="L31" s="2534"/>
      <c r="M31" s="2535"/>
      <c r="N31" s="1478">
        <f t="shared" si="2"/>
        <v>0</v>
      </c>
      <c r="O31" s="1111"/>
      <c r="P31" s="1127"/>
      <c r="Q31" s="1128"/>
      <c r="R31" s="1129"/>
      <c r="S31" s="1130"/>
      <c r="T31" s="280"/>
      <c r="U31" s="280"/>
      <c r="V31" s="280"/>
      <c r="W31" s="280"/>
      <c r="X31" s="280"/>
      <c r="Y31" s="280"/>
      <c r="Z31" s="280"/>
      <c r="AA31" s="284"/>
      <c r="AB31" s="284"/>
      <c r="AC31" s="284"/>
      <c r="AD31" s="284"/>
      <c r="AE31" s="284"/>
      <c r="AF31" s="284"/>
      <c r="AG31" s="447"/>
      <c r="AH31" s="447"/>
      <c r="AI31" s="447"/>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row>
    <row r="32" spans="1:68" s="88" customFormat="1" ht="11.25" customHeight="1" x14ac:dyDescent="0.2">
      <c r="A32" s="1808"/>
      <c r="B32" s="1809"/>
      <c r="C32" s="1809"/>
      <c r="D32" s="1809"/>
      <c r="E32" s="2561"/>
      <c r="F32" s="2562"/>
      <c r="G32" s="1469"/>
      <c r="H32" s="2712">
        <f t="shared" si="0"/>
        <v>0</v>
      </c>
      <c r="I32" s="2713"/>
      <c r="J32" s="1405">
        <f t="shared" si="1"/>
        <v>0</v>
      </c>
      <c r="K32" s="1480"/>
      <c r="L32" s="2534"/>
      <c r="M32" s="2535"/>
      <c r="N32" s="1478">
        <f t="shared" si="2"/>
        <v>0</v>
      </c>
      <c r="O32" s="1111"/>
      <c r="P32" s="1127"/>
      <c r="Q32" s="1128"/>
      <c r="R32" s="1129"/>
      <c r="S32" s="1130"/>
      <c r="T32" s="280"/>
      <c r="U32" s="280"/>
      <c r="V32" s="280"/>
      <c r="W32" s="280"/>
      <c r="X32" s="280"/>
      <c r="Y32" s="280"/>
      <c r="Z32" s="280"/>
      <c r="AA32" s="284"/>
      <c r="AB32" s="284"/>
      <c r="AC32" s="284"/>
      <c r="AD32" s="284"/>
      <c r="AE32" s="284"/>
      <c r="AF32" s="284"/>
      <c r="AG32" s="447"/>
      <c r="AH32" s="447"/>
      <c r="AI32" s="447"/>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row>
    <row r="33" spans="1:69" s="88" customFormat="1" ht="11.25" customHeight="1" x14ac:dyDescent="0.2">
      <c r="A33" s="1808"/>
      <c r="B33" s="1809"/>
      <c r="C33" s="1809"/>
      <c r="D33" s="1809"/>
      <c r="E33" s="2561"/>
      <c r="F33" s="2562"/>
      <c r="G33" s="1469"/>
      <c r="H33" s="2712">
        <f t="shared" si="0"/>
        <v>0</v>
      </c>
      <c r="I33" s="2713"/>
      <c r="J33" s="1405">
        <f t="shared" si="1"/>
        <v>0</v>
      </c>
      <c r="K33" s="1480"/>
      <c r="L33" s="2534"/>
      <c r="M33" s="2535"/>
      <c r="N33" s="1478">
        <f t="shared" si="2"/>
        <v>0</v>
      </c>
      <c r="O33" s="1111"/>
      <c r="P33" s="1127"/>
      <c r="Q33" s="1128"/>
      <c r="R33" s="1129"/>
      <c r="S33" s="1130"/>
      <c r="T33" s="280"/>
      <c r="U33" s="280"/>
      <c r="V33" s="280"/>
      <c r="W33" s="280"/>
      <c r="X33" s="280"/>
      <c r="Y33" s="280"/>
      <c r="Z33" s="280"/>
      <c r="AA33" s="284"/>
      <c r="AB33" s="284"/>
      <c r="AC33" s="284"/>
      <c r="AD33" s="284"/>
      <c r="AE33" s="284"/>
      <c r="AF33" s="284"/>
      <c r="AG33" s="447"/>
      <c r="AH33" s="447"/>
      <c r="AI33" s="447"/>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row>
    <row r="34" spans="1:69" s="88" customFormat="1" ht="11.25" customHeight="1" x14ac:dyDescent="0.2">
      <c r="A34" s="1808"/>
      <c r="B34" s="1809"/>
      <c r="C34" s="1809"/>
      <c r="D34" s="1809"/>
      <c r="E34" s="2561"/>
      <c r="F34" s="2562"/>
      <c r="G34" s="1469"/>
      <c r="H34" s="2712">
        <f t="shared" si="0"/>
        <v>0</v>
      </c>
      <c r="I34" s="2713"/>
      <c r="J34" s="1405">
        <f t="shared" si="1"/>
        <v>0</v>
      </c>
      <c r="K34" s="1480"/>
      <c r="L34" s="2534"/>
      <c r="M34" s="2535"/>
      <c r="N34" s="1478">
        <f t="shared" si="2"/>
        <v>0</v>
      </c>
      <c r="O34" s="1111"/>
      <c r="P34" s="1127"/>
      <c r="Q34" s="1128"/>
      <c r="R34" s="1129"/>
      <c r="S34" s="1130"/>
      <c r="T34" s="280"/>
      <c r="U34" s="280"/>
      <c r="V34" s="280"/>
      <c r="W34" s="280"/>
      <c r="X34" s="280"/>
      <c r="Y34" s="280"/>
      <c r="Z34" s="280"/>
      <c r="AA34" s="284"/>
      <c r="AB34" s="284"/>
      <c r="AC34" s="284"/>
      <c r="AD34" s="284"/>
      <c r="AE34" s="284"/>
      <c r="AF34" s="284"/>
      <c r="AG34" s="447"/>
      <c r="AH34" s="447"/>
      <c r="AI34" s="447"/>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row>
    <row r="35" spans="1:69" s="88" customFormat="1" ht="11.25" customHeight="1" x14ac:dyDescent="0.2">
      <c r="A35" s="1808"/>
      <c r="B35" s="1809"/>
      <c r="C35" s="1809"/>
      <c r="D35" s="1809"/>
      <c r="E35" s="2561"/>
      <c r="F35" s="2562"/>
      <c r="G35" s="1469"/>
      <c r="H35" s="2712">
        <f t="shared" si="0"/>
        <v>0</v>
      </c>
      <c r="I35" s="2713"/>
      <c r="J35" s="1405">
        <f t="shared" si="1"/>
        <v>0</v>
      </c>
      <c r="K35" s="1480"/>
      <c r="L35" s="2534"/>
      <c r="M35" s="2535"/>
      <c r="N35" s="1478">
        <f t="shared" si="2"/>
        <v>0</v>
      </c>
      <c r="O35" s="1111"/>
      <c r="P35" s="1127"/>
      <c r="Q35" s="1128"/>
      <c r="R35" s="1129"/>
      <c r="S35" s="1130"/>
      <c r="T35" s="280"/>
      <c r="U35" s="280"/>
      <c r="V35" s="280"/>
      <c r="W35" s="280"/>
      <c r="X35" s="280"/>
      <c r="Y35" s="280"/>
      <c r="Z35" s="280"/>
      <c r="AA35" s="284"/>
      <c r="AB35" s="284"/>
      <c r="AC35" s="284"/>
      <c r="AD35" s="284"/>
      <c r="AE35" s="284"/>
      <c r="AF35" s="284"/>
      <c r="AG35" s="447"/>
      <c r="AH35" s="447"/>
      <c r="AI35" s="447"/>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row>
    <row r="36" spans="1:69" s="88" customFormat="1" ht="11.25" customHeight="1" x14ac:dyDescent="0.2">
      <c r="A36" s="1808"/>
      <c r="B36" s="1809"/>
      <c r="C36" s="1809"/>
      <c r="D36" s="1809"/>
      <c r="E36" s="2561"/>
      <c r="F36" s="2562"/>
      <c r="G36" s="1469"/>
      <c r="H36" s="2712">
        <f t="shared" si="0"/>
        <v>0</v>
      </c>
      <c r="I36" s="2713"/>
      <c r="J36" s="1405">
        <f t="shared" si="1"/>
        <v>0</v>
      </c>
      <c r="K36" s="1480"/>
      <c r="L36" s="2534"/>
      <c r="M36" s="2535"/>
      <c r="N36" s="1478">
        <f t="shared" si="2"/>
        <v>0</v>
      </c>
      <c r="O36" s="1111"/>
      <c r="P36" s="1127"/>
      <c r="Q36" s="1128"/>
      <c r="R36" s="1129"/>
      <c r="S36" s="1130"/>
      <c r="T36" s="280"/>
      <c r="U36" s="280"/>
      <c r="V36" s="280"/>
      <c r="W36" s="280"/>
      <c r="X36" s="280"/>
      <c r="Y36" s="280"/>
      <c r="Z36" s="280"/>
      <c r="AA36" s="284"/>
      <c r="AB36" s="284"/>
      <c r="AC36" s="284"/>
      <c r="AD36" s="284"/>
      <c r="AE36" s="284"/>
      <c r="AF36" s="284"/>
      <c r="AG36" s="447"/>
      <c r="AH36" s="447"/>
      <c r="AI36" s="447"/>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row>
    <row r="37" spans="1:69" s="88" customFormat="1" ht="11.25" customHeight="1" x14ac:dyDescent="0.2">
      <c r="A37" s="1808"/>
      <c r="B37" s="1809"/>
      <c r="C37" s="1809"/>
      <c r="D37" s="1809"/>
      <c r="E37" s="2561"/>
      <c r="F37" s="2562"/>
      <c r="G37" s="1469"/>
      <c r="H37" s="2712">
        <f t="shared" si="0"/>
        <v>0</v>
      </c>
      <c r="I37" s="2713"/>
      <c r="J37" s="1405">
        <f t="shared" si="1"/>
        <v>0</v>
      </c>
      <c r="K37" s="1480"/>
      <c r="L37" s="2534"/>
      <c r="M37" s="2535"/>
      <c r="N37" s="1478">
        <f t="shared" si="2"/>
        <v>0</v>
      </c>
      <c r="O37" s="1111"/>
      <c r="P37" s="1127"/>
      <c r="Q37" s="1128"/>
      <c r="R37" s="1129"/>
      <c r="S37" s="1130"/>
      <c r="T37" s="280"/>
      <c r="U37" s="280"/>
      <c r="V37" s="280"/>
      <c r="W37" s="280"/>
      <c r="X37" s="280"/>
      <c r="Y37" s="280"/>
      <c r="Z37" s="280"/>
      <c r="AA37" s="284"/>
      <c r="AB37" s="284"/>
      <c r="AC37" s="284"/>
      <c r="AD37" s="284"/>
      <c r="AE37" s="284"/>
      <c r="AF37" s="284"/>
      <c r="AG37" s="447"/>
      <c r="AH37" s="447"/>
      <c r="AI37" s="447"/>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row>
    <row r="38" spans="1:69" s="88" customFormat="1" ht="11.25" customHeight="1" x14ac:dyDescent="0.2">
      <c r="A38" s="1810"/>
      <c r="B38" s="1814"/>
      <c r="C38" s="1814"/>
      <c r="D38" s="1814"/>
      <c r="E38" s="2716"/>
      <c r="F38" s="2717"/>
      <c r="G38" s="1470"/>
      <c r="H38" s="2736">
        <f t="shared" si="0"/>
        <v>0</v>
      </c>
      <c r="I38" s="2737"/>
      <c r="J38" s="1408">
        <f t="shared" si="1"/>
        <v>0</v>
      </c>
      <c r="K38" s="1481"/>
      <c r="L38" s="2718"/>
      <c r="M38" s="2719"/>
      <c r="N38" s="1478">
        <f t="shared" si="2"/>
        <v>0</v>
      </c>
      <c r="O38" s="1111"/>
      <c r="P38" s="1127"/>
      <c r="Q38" s="1128"/>
      <c r="R38" s="1129"/>
      <c r="S38" s="1130"/>
      <c r="T38" s="280"/>
      <c r="U38" s="280"/>
      <c r="V38" s="280"/>
      <c r="W38" s="280"/>
      <c r="X38" s="280"/>
      <c r="Y38" s="280"/>
      <c r="Z38" s="280"/>
      <c r="AA38" s="284"/>
      <c r="AB38" s="284"/>
      <c r="AC38" s="284"/>
      <c r="AD38" s="284"/>
      <c r="AE38" s="284"/>
      <c r="AF38" s="284"/>
      <c r="AG38" s="447"/>
      <c r="AH38" s="447"/>
      <c r="AI38" s="447"/>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row>
    <row r="39" spans="1:69" s="88" customFormat="1" ht="14.1" customHeight="1" thickBot="1" x14ac:dyDescent="0.25">
      <c r="A39" s="391" t="s">
        <v>14</v>
      </c>
      <c r="B39" s="91"/>
      <c r="C39" s="90"/>
      <c r="D39" s="90"/>
      <c r="E39" s="2519">
        <f>IF($X$11,E14,ROUND(SUM(E15:E38),-2))</f>
        <v>0</v>
      </c>
      <c r="F39" s="2519"/>
      <c r="G39" s="1472">
        <f>IF($X$11,G14,IF($E$39&gt;0,SUMPRODUCT($E$15:$E$38,$G$15:$G$38)/$E$39,0))</f>
        <v>0</v>
      </c>
      <c r="H39" s="2492">
        <f>IF(E39=0,0,J39/E39)</f>
        <v>0</v>
      </c>
      <c r="I39" s="2493"/>
      <c r="J39" s="1407">
        <f>IF($X$11,J14,ROUND(SUM(J15:J38),0))</f>
        <v>0</v>
      </c>
      <c r="K39" s="1482">
        <f>IF(E39=0,0,N39/E39*100)</f>
        <v>0</v>
      </c>
      <c r="L39" s="2499"/>
      <c r="M39" s="2499"/>
      <c r="N39" s="1483">
        <f>IF($X$11,N14,ROUND(SUM(N15:N38),-1))</f>
        <v>0</v>
      </c>
      <c r="O39" s="268"/>
      <c r="P39" s="320"/>
      <c r="Q39" s="288"/>
      <c r="R39" s="280"/>
      <c r="S39" s="287"/>
      <c r="T39" s="289"/>
      <c r="U39" s="271"/>
      <c r="V39" s="271"/>
      <c r="W39" s="271"/>
      <c r="X39" s="271"/>
      <c r="Y39" s="271"/>
      <c r="Z39" s="271"/>
      <c r="AA39" s="270"/>
      <c r="AB39" s="270"/>
      <c r="AC39" s="270"/>
      <c r="AD39" s="270"/>
      <c r="AE39" s="270"/>
      <c r="AF39" s="270"/>
      <c r="AG39" s="380"/>
      <c r="AH39" s="380"/>
      <c r="AI39" s="380"/>
      <c r="AJ39" s="381"/>
      <c r="AK39" s="381"/>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row>
    <row r="40" spans="1:69" ht="5.95" customHeight="1" x14ac:dyDescent="0.2">
      <c r="A40" s="86" t="s">
        <v>12</v>
      </c>
      <c r="C40" s="101"/>
      <c r="D40" s="101"/>
      <c r="E40" s="101"/>
      <c r="F40" s="101"/>
      <c r="G40" s="101"/>
      <c r="P40" s="270"/>
      <c r="Q40" s="558"/>
      <c r="R40" s="558"/>
      <c r="S40" s="272"/>
      <c r="T40" s="271"/>
      <c r="U40" s="271"/>
      <c r="V40" s="271"/>
      <c r="W40" s="271"/>
      <c r="X40" s="271"/>
      <c r="Y40" s="271"/>
      <c r="Z40" s="271"/>
      <c r="AG40" s="380"/>
      <c r="AJ40" s="381"/>
      <c r="BQ40" s="83"/>
    </row>
    <row r="41" spans="1:69" ht="17.350000000000001" customHeight="1" x14ac:dyDescent="0.25">
      <c r="A41" s="107" t="s">
        <v>102</v>
      </c>
      <c r="B41" s="107"/>
      <c r="F41" s="102"/>
      <c r="G41" s="102"/>
      <c r="H41" s="1466"/>
      <c r="I41" s="1466"/>
      <c r="J41" s="1466"/>
      <c r="K41" s="1466"/>
      <c r="L41" s="1466"/>
      <c r="M41" s="101"/>
      <c r="N41" s="101"/>
      <c r="O41" s="101"/>
      <c r="P41" s="268"/>
      <c r="Q41" s="268"/>
      <c r="R41" s="557"/>
      <c r="S41" s="557"/>
      <c r="T41" s="557"/>
      <c r="V41" s="271"/>
      <c r="W41" s="271"/>
      <c r="AD41" s="380"/>
      <c r="AE41" s="380"/>
      <c r="AF41" s="380"/>
      <c r="AG41" s="381"/>
      <c r="AH41" s="381"/>
      <c r="AI41" s="381"/>
      <c r="AJ41" s="381"/>
      <c r="BQ41" s="83"/>
    </row>
    <row r="42" spans="1:69" ht="2.25" customHeight="1" thickBot="1" x14ac:dyDescent="0.25">
      <c r="A42" s="94"/>
      <c r="B42" s="94"/>
      <c r="C42" s="100"/>
      <c r="D42" s="100"/>
      <c r="E42" s="100"/>
      <c r="F42" s="100"/>
      <c r="G42" s="100"/>
      <c r="H42" s="1466"/>
      <c r="I42" s="1466"/>
      <c r="J42" s="1466"/>
      <c r="K42" s="1466"/>
      <c r="L42" s="1466"/>
      <c r="P42" s="268"/>
      <c r="Q42" s="268"/>
      <c r="R42" s="558"/>
      <c r="S42" s="271"/>
      <c r="T42" s="271"/>
      <c r="U42" s="271"/>
      <c r="V42" s="271"/>
      <c r="W42" s="271"/>
      <c r="AD42" s="380"/>
      <c r="AE42" s="380"/>
      <c r="AF42" s="380"/>
      <c r="AG42" s="381"/>
      <c r="AH42" s="381"/>
      <c r="AI42" s="381"/>
      <c r="AJ42" s="381"/>
      <c r="BQ42" s="83"/>
    </row>
    <row r="43" spans="1:69" s="382" customFormat="1" ht="12.1" customHeight="1" x14ac:dyDescent="0.2">
      <c r="A43" s="388" t="s">
        <v>535</v>
      </c>
      <c r="B43" s="2720" t="s">
        <v>536</v>
      </c>
      <c r="C43" s="2721"/>
      <c r="D43" s="2722"/>
      <c r="E43" s="2517" t="s">
        <v>656</v>
      </c>
      <c r="F43" s="2518"/>
      <c r="G43" s="1053" t="s">
        <v>319</v>
      </c>
      <c r="H43" s="1054"/>
      <c r="I43" s="1054"/>
      <c r="J43" s="1054"/>
      <c r="K43" s="1054"/>
      <c r="L43" s="1054"/>
      <c r="M43" s="1054"/>
      <c r="N43" s="1055"/>
      <c r="O43" s="268"/>
      <c r="P43" s="268"/>
      <c r="Q43" s="268"/>
      <c r="R43" s="285"/>
      <c r="S43" s="285"/>
      <c r="T43" s="280"/>
      <c r="U43" s="271"/>
      <c r="V43" s="271"/>
      <c r="W43" s="271"/>
      <c r="X43" s="271"/>
      <c r="Y43" s="271"/>
      <c r="Z43" s="271"/>
      <c r="AA43" s="270"/>
      <c r="AB43" s="270"/>
      <c r="AC43" s="270"/>
      <c r="AD43" s="270"/>
      <c r="AE43" s="270"/>
      <c r="AF43" s="270"/>
      <c r="AG43" s="380"/>
      <c r="AH43" s="380"/>
      <c r="AI43" s="380"/>
      <c r="AJ43" s="381"/>
      <c r="AK43" s="381"/>
    </row>
    <row r="44" spans="1:69" s="382" customFormat="1" ht="11.25" customHeight="1" x14ac:dyDescent="0.2">
      <c r="A44" s="849" t="s">
        <v>537</v>
      </c>
      <c r="B44" s="2500"/>
      <c r="C44" s="2501"/>
      <c r="D44" s="2502"/>
      <c r="E44" s="2509"/>
      <c r="F44" s="2510"/>
      <c r="G44" s="2447"/>
      <c r="H44" s="2448"/>
      <c r="I44" s="2448"/>
      <c r="J44" s="2448"/>
      <c r="K44" s="2448"/>
      <c r="L44" s="2448"/>
      <c r="M44" s="2448"/>
      <c r="N44" s="2449"/>
      <c r="O44" s="268"/>
      <c r="P44" s="268"/>
      <c r="Q44" s="268"/>
      <c r="T44" s="280"/>
      <c r="U44" s="271"/>
      <c r="V44" s="271"/>
      <c r="W44" s="271"/>
      <c r="X44" s="271"/>
      <c r="Y44" s="271"/>
      <c r="Z44" s="271"/>
      <c r="AA44" s="270"/>
      <c r="AB44" s="270"/>
      <c r="AC44" s="270"/>
      <c r="AD44" s="270"/>
      <c r="AE44" s="270"/>
      <c r="AF44" s="270"/>
      <c r="AG44" s="380"/>
      <c r="AH44" s="380"/>
      <c r="AI44" s="380"/>
      <c r="AJ44" s="381"/>
      <c r="AK44" s="381"/>
    </row>
    <row r="45" spans="1:69" s="382" customFormat="1" ht="11.25" customHeight="1" x14ac:dyDescent="0.2">
      <c r="A45" s="850" t="s">
        <v>538</v>
      </c>
      <c r="B45" s="2503"/>
      <c r="C45" s="2504"/>
      <c r="D45" s="2505"/>
      <c r="E45" s="2511"/>
      <c r="F45" s="2512"/>
      <c r="G45" s="2450"/>
      <c r="H45" s="2451"/>
      <c r="I45" s="2451"/>
      <c r="J45" s="2451"/>
      <c r="K45" s="2451"/>
      <c r="L45" s="2451"/>
      <c r="M45" s="2451"/>
      <c r="N45" s="2452"/>
      <c r="O45" s="268"/>
      <c r="T45" s="280"/>
      <c r="U45" s="271"/>
      <c r="V45" s="271"/>
      <c r="W45" s="271"/>
      <c r="X45" s="271"/>
      <c r="Y45" s="271"/>
      <c r="Z45" s="271"/>
      <c r="AA45" s="270"/>
      <c r="AB45" s="270"/>
      <c r="AC45" s="270"/>
      <c r="AD45" s="270"/>
      <c r="AE45" s="270"/>
      <c r="AF45" s="270"/>
      <c r="AG45" s="380"/>
      <c r="AH45" s="380"/>
      <c r="AI45" s="380"/>
      <c r="AJ45" s="381"/>
      <c r="AK45" s="381"/>
    </row>
    <row r="46" spans="1:69" s="382" customFormat="1" ht="11.25" customHeight="1" x14ac:dyDescent="0.2">
      <c r="A46" s="851" t="s">
        <v>539</v>
      </c>
      <c r="B46" s="2506"/>
      <c r="C46" s="2507"/>
      <c r="D46" s="2508"/>
      <c r="E46" s="2513"/>
      <c r="F46" s="2514"/>
      <c r="G46" s="2453"/>
      <c r="H46" s="2454"/>
      <c r="I46" s="2454"/>
      <c r="J46" s="2454"/>
      <c r="K46" s="2454"/>
      <c r="L46" s="2454"/>
      <c r="M46" s="2454"/>
      <c r="N46" s="2455"/>
      <c r="O46" s="268"/>
      <c r="T46" s="280"/>
      <c r="U46" s="271"/>
      <c r="V46" s="271"/>
      <c r="W46" s="271"/>
      <c r="X46" s="271"/>
      <c r="Y46" s="271"/>
      <c r="Z46" s="271"/>
      <c r="AA46" s="270"/>
      <c r="AB46" s="270"/>
      <c r="AC46" s="270"/>
      <c r="AD46" s="270"/>
      <c r="AE46" s="270"/>
      <c r="AF46" s="270"/>
      <c r="AG46" s="380"/>
      <c r="AH46" s="380"/>
      <c r="AI46" s="380"/>
      <c r="AJ46" s="381"/>
      <c r="AK46" s="381"/>
    </row>
    <row r="47" spans="1:69" s="382" customFormat="1" ht="13.6" customHeight="1" thickBot="1" x14ac:dyDescent="0.25">
      <c r="A47" s="391" t="s">
        <v>14</v>
      </c>
      <c r="B47" s="805"/>
      <c r="C47" s="805"/>
      <c r="D47" s="805"/>
      <c r="E47" s="2515">
        <f>SUM(E44:F46)</f>
        <v>0</v>
      </c>
      <c r="F47" s="2516"/>
      <c r="G47" s="1056"/>
      <c r="H47" s="1056"/>
      <c r="I47" s="1056"/>
      <c r="J47" s="1056"/>
      <c r="K47" s="1056"/>
      <c r="L47" s="1056"/>
      <c r="M47" s="1056"/>
      <c r="N47" s="1057"/>
      <c r="O47" s="268"/>
      <c r="R47" s="285"/>
      <c r="S47" s="285"/>
      <c r="T47" s="280"/>
      <c r="U47" s="271"/>
      <c r="V47" s="271"/>
      <c r="W47" s="271"/>
      <c r="X47" s="271"/>
      <c r="Y47" s="271"/>
      <c r="Z47" s="271"/>
      <c r="AA47" s="270"/>
      <c r="AB47" s="270"/>
      <c r="AC47" s="270"/>
      <c r="AD47" s="270"/>
      <c r="AE47" s="270"/>
      <c r="AF47" s="270"/>
      <c r="AG47" s="380"/>
      <c r="AH47" s="380"/>
      <c r="AI47" s="380"/>
      <c r="AJ47" s="381"/>
      <c r="AK47" s="381"/>
    </row>
    <row r="48" spans="1:69" ht="5.95" customHeight="1" x14ac:dyDescent="0.2">
      <c r="A48" s="86" t="s">
        <v>12</v>
      </c>
      <c r="C48" s="101"/>
      <c r="D48" s="101"/>
      <c r="E48" s="101"/>
      <c r="F48" s="101"/>
      <c r="G48" s="101"/>
      <c r="P48" s="268"/>
      <c r="Q48" s="268"/>
      <c r="R48" s="558"/>
      <c r="S48" s="272"/>
      <c r="T48" s="271"/>
      <c r="U48" s="271"/>
      <c r="V48" s="271"/>
      <c r="W48" s="271"/>
      <c r="X48" s="271"/>
      <c r="Y48" s="271"/>
      <c r="Z48" s="271"/>
      <c r="AG48" s="380"/>
      <c r="AJ48" s="381"/>
      <c r="BQ48" s="83"/>
    </row>
    <row r="49" spans="1:69" ht="17.350000000000001" customHeight="1" x14ac:dyDescent="0.25">
      <c r="A49" s="1108" t="s">
        <v>732</v>
      </c>
      <c r="B49" s="1108"/>
      <c r="F49" s="102"/>
      <c r="G49" s="102"/>
      <c r="H49" s="314"/>
      <c r="I49" s="314"/>
      <c r="J49" s="314"/>
      <c r="K49" s="314"/>
      <c r="L49" s="314"/>
      <c r="M49" s="101"/>
      <c r="N49" s="101"/>
      <c r="O49" s="101"/>
      <c r="P49" s="268"/>
      <c r="Q49" s="268"/>
      <c r="R49" s="268"/>
      <c r="S49" s="268"/>
      <c r="T49" s="557"/>
      <c r="V49" s="271"/>
      <c r="W49" s="271"/>
      <c r="AD49" s="380"/>
      <c r="AE49" s="380"/>
      <c r="AF49" s="380"/>
      <c r="AG49" s="381"/>
      <c r="AH49" s="381"/>
      <c r="AI49" s="381"/>
      <c r="AJ49" s="381"/>
      <c r="BQ49" s="83"/>
    </row>
    <row r="50" spans="1:69" ht="2.25" customHeight="1" thickBot="1" x14ac:dyDescent="0.25">
      <c r="A50" s="94"/>
      <c r="B50" s="94"/>
      <c r="C50" s="100"/>
      <c r="D50" s="100"/>
      <c r="E50" s="100"/>
      <c r="F50" s="100"/>
      <c r="G50" s="100"/>
      <c r="H50" s="314"/>
      <c r="I50" s="314"/>
      <c r="J50" s="314"/>
      <c r="K50" s="314"/>
      <c r="L50" s="314"/>
      <c r="P50" s="268"/>
      <c r="Q50" s="268"/>
      <c r="R50" s="268"/>
      <c r="S50" s="268"/>
      <c r="T50" s="271"/>
      <c r="U50" s="271"/>
      <c r="V50" s="271"/>
      <c r="W50" s="271"/>
      <c r="AD50" s="380"/>
      <c r="AE50" s="380"/>
      <c r="AF50" s="380"/>
      <c r="AG50" s="381"/>
      <c r="AH50" s="381"/>
      <c r="AI50" s="381"/>
      <c r="AJ50" s="381"/>
      <c r="BQ50" s="83"/>
    </row>
    <row r="51" spans="1:69" s="382" customFormat="1" ht="11.25" customHeight="1" x14ac:dyDescent="0.2">
      <c r="A51" s="388" t="s">
        <v>318</v>
      </c>
      <c r="B51" s="99"/>
      <c r="C51" s="1460"/>
      <c r="D51" s="1460"/>
      <c r="E51" s="2482" t="s">
        <v>651</v>
      </c>
      <c r="F51" s="2483"/>
      <c r="G51" s="2482" t="s">
        <v>653</v>
      </c>
      <c r="H51" s="2482" t="s">
        <v>667</v>
      </c>
      <c r="I51" s="2483"/>
      <c r="J51" s="2714" t="s">
        <v>730</v>
      </c>
      <c r="K51" s="2482" t="s">
        <v>731</v>
      </c>
      <c r="L51" s="2494"/>
      <c r="M51" s="2494"/>
      <c r="N51" s="2495"/>
      <c r="O51" s="268"/>
      <c r="P51" s="268"/>
      <c r="Q51" s="268"/>
      <c r="R51" s="268"/>
      <c r="S51" s="268"/>
      <c r="T51" s="280"/>
      <c r="U51" s="271"/>
      <c r="V51" s="271"/>
      <c r="W51" s="271"/>
      <c r="X51" s="271"/>
      <c r="Y51" s="271"/>
      <c r="Z51" s="271"/>
      <c r="AA51" s="270"/>
      <c r="AB51" s="270"/>
      <c r="AC51" s="270"/>
      <c r="AD51" s="270"/>
      <c r="AE51" s="270"/>
      <c r="AF51" s="270"/>
      <c r="AG51" s="380"/>
      <c r="AH51" s="380"/>
      <c r="AI51" s="380"/>
      <c r="AJ51" s="381"/>
      <c r="AK51" s="381"/>
    </row>
    <row r="52" spans="1:69" s="382" customFormat="1" ht="11.25" customHeight="1" x14ac:dyDescent="0.2">
      <c r="A52" s="389"/>
      <c r="B52" s="1383"/>
      <c r="C52" s="555"/>
      <c r="D52" s="555"/>
      <c r="E52" s="2484"/>
      <c r="F52" s="2485"/>
      <c r="G52" s="2484"/>
      <c r="H52" s="2484"/>
      <c r="I52" s="2485"/>
      <c r="J52" s="2715"/>
      <c r="K52" s="2484"/>
      <c r="L52" s="2496"/>
      <c r="M52" s="2496"/>
      <c r="N52" s="2497"/>
      <c r="O52" s="268"/>
      <c r="P52" s="268"/>
      <c r="Q52" s="268"/>
      <c r="R52" s="268"/>
      <c r="S52" s="268"/>
      <c r="T52" s="280"/>
      <c r="U52" s="271"/>
      <c r="V52" s="271"/>
      <c r="W52" s="271"/>
      <c r="X52" s="271"/>
      <c r="Y52" s="271"/>
      <c r="Z52" s="271"/>
      <c r="AA52" s="270"/>
      <c r="AB52" s="270"/>
      <c r="AC52" s="270"/>
      <c r="AD52" s="270"/>
      <c r="AE52" s="270"/>
      <c r="AF52" s="270"/>
      <c r="AG52" s="380"/>
      <c r="AH52" s="380"/>
      <c r="AI52" s="380"/>
      <c r="AJ52" s="381"/>
      <c r="AK52" s="381"/>
    </row>
    <row r="53" spans="1:69" s="382" customFormat="1" ht="11.25" customHeight="1" x14ac:dyDescent="0.2">
      <c r="A53" s="507"/>
      <c r="B53" s="98"/>
      <c r="C53" s="799"/>
      <c r="D53" s="799"/>
      <c r="E53" s="2528" t="s">
        <v>652</v>
      </c>
      <c r="F53" s="2711"/>
      <c r="G53" s="1462" t="s">
        <v>29</v>
      </c>
      <c r="H53" s="2486" t="s">
        <v>641</v>
      </c>
      <c r="I53" s="2487"/>
      <c r="J53" s="693" t="s">
        <v>655</v>
      </c>
      <c r="K53" s="1473" t="s">
        <v>677</v>
      </c>
      <c r="L53" s="2498" t="s">
        <v>668</v>
      </c>
      <c r="M53" s="2498"/>
      <c r="N53" s="1474" t="s">
        <v>655</v>
      </c>
      <c r="O53" s="268"/>
      <c r="P53" s="268"/>
      <c r="Q53" s="268"/>
      <c r="R53" s="268"/>
      <c r="S53" s="268"/>
      <c r="T53" s="280"/>
      <c r="U53" s="271"/>
      <c r="V53" s="271"/>
      <c r="W53" s="271"/>
      <c r="X53" s="271"/>
      <c r="Y53" s="271"/>
      <c r="Z53" s="271"/>
      <c r="AA53" s="270"/>
      <c r="AB53" s="270"/>
      <c r="AC53" s="270"/>
      <c r="AD53" s="270"/>
      <c r="AE53" s="270"/>
      <c r="AF53" s="270"/>
      <c r="AG53" s="380"/>
      <c r="AH53" s="380"/>
      <c r="AI53" s="380"/>
      <c r="AJ53" s="381"/>
      <c r="AK53" s="381"/>
    </row>
    <row r="54" spans="1:69" s="88" customFormat="1" ht="14.1" customHeight="1" thickBot="1" x14ac:dyDescent="0.25">
      <c r="A54" s="391" t="s">
        <v>14</v>
      </c>
      <c r="B54" s="91"/>
      <c r="C54" s="90"/>
      <c r="D54" s="90"/>
      <c r="E54" s="2519">
        <f>E39-E47</f>
        <v>0</v>
      </c>
      <c r="F54" s="2519"/>
      <c r="G54" s="1472">
        <f>G39</f>
        <v>0</v>
      </c>
      <c r="H54" s="2492">
        <f>H39</f>
        <v>0</v>
      </c>
      <c r="I54" s="2493"/>
      <c r="J54" s="1407">
        <f>ROUND(E54*H54,-1)</f>
        <v>0</v>
      </c>
      <c r="K54" s="1482">
        <f>IF(E54=0,0,N54/E54*100)</f>
        <v>0</v>
      </c>
      <c r="L54" s="2499"/>
      <c r="M54" s="2499"/>
      <c r="N54" s="1483">
        <f>N39</f>
        <v>0</v>
      </c>
      <c r="O54" s="268"/>
      <c r="P54" s="320"/>
      <c r="Q54" s="288"/>
      <c r="R54" s="280"/>
      <c r="S54" s="287"/>
      <c r="T54" s="289"/>
      <c r="U54" s="271"/>
      <c r="V54" s="271"/>
      <c r="W54" s="271"/>
      <c r="X54" s="271"/>
      <c r="Y54" s="271"/>
      <c r="Z54" s="271"/>
      <c r="AA54" s="270"/>
      <c r="AB54" s="270"/>
      <c r="AC54" s="270"/>
      <c r="AD54" s="270"/>
      <c r="AE54" s="270"/>
      <c r="AF54" s="270"/>
      <c r="AG54" s="380"/>
      <c r="AH54" s="380"/>
      <c r="AI54" s="380"/>
      <c r="AJ54" s="381"/>
      <c r="AK54" s="381"/>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row>
    <row r="55" spans="1:69" s="798" customFormat="1" ht="5.95" customHeight="1" x14ac:dyDescent="0.2">
      <c r="A55" s="1058"/>
      <c r="B55" s="1032"/>
      <c r="C55" s="2887"/>
      <c r="D55" s="2887"/>
      <c r="E55" s="2887"/>
      <c r="F55" s="2888"/>
      <c r="G55" s="2888"/>
      <c r="H55" s="884"/>
      <c r="I55" s="884"/>
      <c r="J55" s="884"/>
      <c r="K55" s="884"/>
      <c r="L55" s="884"/>
      <c r="M55" s="884"/>
      <c r="N55" s="884"/>
      <c r="O55" s="884"/>
      <c r="P55" s="800">
        <f>IF(ISBLANK(I55),H55,I55)</f>
        <v>0</v>
      </c>
      <c r="Q55" s="801"/>
      <c r="R55" s="286"/>
      <c r="S55" s="802"/>
      <c r="T55" s="291"/>
      <c r="U55" s="291"/>
      <c r="V55" s="291"/>
      <c r="W55" s="291"/>
      <c r="X55" s="291"/>
      <c r="Y55" s="291"/>
      <c r="Z55" s="291"/>
      <c r="AA55" s="803"/>
      <c r="AB55" s="803"/>
      <c r="AC55" s="803"/>
      <c r="AD55" s="803"/>
      <c r="AE55" s="803"/>
      <c r="AF55" s="803"/>
      <c r="AG55" s="804"/>
      <c r="AH55" s="804"/>
      <c r="AI55" s="804"/>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row>
    <row r="56" spans="1:69" ht="17.350000000000001" customHeight="1" x14ac:dyDescent="0.25">
      <c r="A56" s="107" t="s">
        <v>30</v>
      </c>
      <c r="B56" s="107"/>
      <c r="C56" s="2563" t="str">
        <f>IF(R109=1,"(inkl. externe Kosten)","(ohne externe Kosten)")</f>
        <v>(ohne externe Kosten)</v>
      </c>
      <c r="D56" s="2563"/>
      <c r="F56" s="102"/>
      <c r="G56" s="102"/>
      <c r="K56" s="101"/>
      <c r="L56" s="101"/>
      <c r="M56" s="101"/>
      <c r="N56" s="101"/>
      <c r="O56" s="101"/>
      <c r="P56" s="270"/>
      <c r="Q56" s="559"/>
      <c r="R56" s="557"/>
      <c r="S56" s="557"/>
      <c r="T56" s="557"/>
      <c r="V56" s="271"/>
      <c r="W56" s="271"/>
      <c r="AD56" s="380"/>
      <c r="AE56" s="380"/>
      <c r="AF56" s="380"/>
      <c r="AG56" s="381"/>
      <c r="AH56" s="381"/>
      <c r="AI56" s="381"/>
      <c r="AJ56" s="381"/>
      <c r="BQ56" s="83"/>
    </row>
    <row r="57" spans="1:69" ht="2.25" customHeight="1" thickBot="1" x14ac:dyDescent="0.25">
      <c r="A57" s="94"/>
      <c r="B57" s="94"/>
      <c r="C57" s="100"/>
      <c r="D57" s="100"/>
      <c r="E57" s="100"/>
      <c r="F57" s="100"/>
      <c r="G57" s="100"/>
      <c r="H57" s="94"/>
      <c r="I57" s="94"/>
      <c r="J57" s="94"/>
      <c r="K57" s="94"/>
      <c r="P57" s="272"/>
      <c r="Q57" s="558"/>
      <c r="R57" s="558"/>
      <c r="S57" s="271"/>
      <c r="T57" s="271"/>
      <c r="U57" s="271"/>
      <c r="V57" s="271"/>
      <c r="W57" s="271"/>
      <c r="AD57" s="380"/>
      <c r="AE57" s="380"/>
      <c r="AF57" s="380"/>
      <c r="AG57" s="381"/>
      <c r="AH57" s="381"/>
      <c r="AI57" s="381"/>
      <c r="AJ57" s="381"/>
      <c r="BQ57" s="83"/>
    </row>
    <row r="58" spans="1:69" s="88" customFormat="1" ht="11.25" customHeight="1" x14ac:dyDescent="0.2">
      <c r="A58" s="388" t="s">
        <v>13</v>
      </c>
      <c r="B58" s="99"/>
      <c r="C58" s="99"/>
      <c r="E58" s="2441" t="s">
        <v>631</v>
      </c>
      <c r="F58" s="2443"/>
      <c r="G58" s="2482" t="s">
        <v>31</v>
      </c>
      <c r="H58" s="2494"/>
      <c r="I58" s="2483"/>
      <c r="J58" s="2482" t="s">
        <v>297</v>
      </c>
      <c r="K58" s="2483"/>
      <c r="L58" s="2482" t="s">
        <v>658</v>
      </c>
      <c r="M58" s="2494"/>
      <c r="N58" s="2495"/>
      <c r="S58" s="436" t="s">
        <v>471</v>
      </c>
      <c r="T58" s="285"/>
      <c r="U58" s="280"/>
      <c r="V58" s="271"/>
      <c r="W58" s="271"/>
      <c r="X58" s="271"/>
      <c r="Y58" s="271"/>
      <c r="Z58" s="271"/>
      <c r="AA58" s="270"/>
      <c r="AB58" s="270"/>
      <c r="AC58" s="270"/>
      <c r="AD58" s="270"/>
      <c r="AE58" s="270"/>
      <c r="AF58" s="270"/>
      <c r="AG58" s="380"/>
      <c r="AH58" s="380"/>
      <c r="AI58" s="380"/>
      <c r="AJ58" s="381"/>
      <c r="AK58" s="381"/>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row>
    <row r="59" spans="1:69" s="88" customFormat="1" ht="11.25" customHeight="1" x14ac:dyDescent="0.2">
      <c r="A59" s="389"/>
      <c r="B59" s="1383"/>
      <c r="C59" s="1383"/>
      <c r="D59" s="1517"/>
      <c r="E59" s="2570"/>
      <c r="F59" s="2571"/>
      <c r="G59" s="2484"/>
      <c r="H59" s="2496"/>
      <c r="I59" s="2485"/>
      <c r="J59" s="2484"/>
      <c r="K59" s="2485"/>
      <c r="L59" s="2484"/>
      <c r="M59" s="2496"/>
      <c r="N59" s="2497"/>
      <c r="S59" s="431">
        <f ca="1">Grunddaten!$AT$10</f>
        <v>2016</v>
      </c>
      <c r="T59" s="421">
        <f ca="1">S59+1</f>
        <v>2017</v>
      </c>
      <c r="U59" s="421">
        <f t="shared" ref="U59:BP59" ca="1" si="3">T59+1</f>
        <v>2018</v>
      </c>
      <c r="V59" s="421">
        <f t="shared" ca="1" si="3"/>
        <v>2019</v>
      </c>
      <c r="W59" s="421">
        <f t="shared" ca="1" si="3"/>
        <v>2020</v>
      </c>
      <c r="X59" s="421">
        <f t="shared" ca="1" si="3"/>
        <v>2021</v>
      </c>
      <c r="Y59" s="421">
        <f t="shared" ca="1" si="3"/>
        <v>2022</v>
      </c>
      <c r="Z59" s="421">
        <f t="shared" ca="1" si="3"/>
        <v>2023</v>
      </c>
      <c r="AA59" s="421">
        <f t="shared" ca="1" si="3"/>
        <v>2024</v>
      </c>
      <c r="AB59" s="421">
        <f t="shared" ca="1" si="3"/>
        <v>2025</v>
      </c>
      <c r="AC59" s="421">
        <f t="shared" ca="1" si="3"/>
        <v>2026</v>
      </c>
      <c r="AD59" s="421">
        <f t="shared" ca="1" si="3"/>
        <v>2027</v>
      </c>
      <c r="AE59" s="421">
        <f t="shared" ca="1" si="3"/>
        <v>2028</v>
      </c>
      <c r="AF59" s="421">
        <f t="shared" ca="1" si="3"/>
        <v>2029</v>
      </c>
      <c r="AG59" s="421">
        <f t="shared" ca="1" si="3"/>
        <v>2030</v>
      </c>
      <c r="AH59" s="421">
        <f t="shared" ca="1" si="3"/>
        <v>2031</v>
      </c>
      <c r="AI59" s="421">
        <f t="shared" ca="1" si="3"/>
        <v>2032</v>
      </c>
      <c r="AJ59" s="421">
        <f t="shared" ca="1" si="3"/>
        <v>2033</v>
      </c>
      <c r="AK59" s="421">
        <f t="shared" ca="1" si="3"/>
        <v>2034</v>
      </c>
      <c r="AL59" s="421">
        <f t="shared" ca="1" si="3"/>
        <v>2035</v>
      </c>
      <c r="AM59" s="421">
        <f t="shared" ca="1" si="3"/>
        <v>2036</v>
      </c>
      <c r="AN59" s="421">
        <f t="shared" ca="1" si="3"/>
        <v>2037</v>
      </c>
      <c r="AO59" s="421">
        <f t="shared" ca="1" si="3"/>
        <v>2038</v>
      </c>
      <c r="AP59" s="421">
        <f t="shared" ca="1" si="3"/>
        <v>2039</v>
      </c>
      <c r="AQ59" s="421">
        <f t="shared" ca="1" si="3"/>
        <v>2040</v>
      </c>
      <c r="AR59" s="421">
        <f t="shared" ca="1" si="3"/>
        <v>2041</v>
      </c>
      <c r="AS59" s="421">
        <f t="shared" ca="1" si="3"/>
        <v>2042</v>
      </c>
      <c r="AT59" s="421">
        <f t="shared" ca="1" si="3"/>
        <v>2043</v>
      </c>
      <c r="AU59" s="421">
        <f t="shared" ca="1" si="3"/>
        <v>2044</v>
      </c>
      <c r="AV59" s="421">
        <f t="shared" ca="1" si="3"/>
        <v>2045</v>
      </c>
      <c r="AW59" s="421">
        <f t="shared" ca="1" si="3"/>
        <v>2046</v>
      </c>
      <c r="AX59" s="421">
        <f t="shared" ca="1" si="3"/>
        <v>2047</v>
      </c>
      <c r="AY59" s="421">
        <f t="shared" ca="1" si="3"/>
        <v>2048</v>
      </c>
      <c r="AZ59" s="421">
        <f t="shared" ca="1" si="3"/>
        <v>2049</v>
      </c>
      <c r="BA59" s="421">
        <f t="shared" ca="1" si="3"/>
        <v>2050</v>
      </c>
      <c r="BB59" s="421">
        <f t="shared" ca="1" si="3"/>
        <v>2051</v>
      </c>
      <c r="BC59" s="421">
        <f t="shared" ca="1" si="3"/>
        <v>2052</v>
      </c>
      <c r="BD59" s="421">
        <f t="shared" ca="1" si="3"/>
        <v>2053</v>
      </c>
      <c r="BE59" s="421">
        <f t="shared" ca="1" si="3"/>
        <v>2054</v>
      </c>
      <c r="BF59" s="421">
        <f t="shared" ca="1" si="3"/>
        <v>2055</v>
      </c>
      <c r="BG59" s="421">
        <f t="shared" ca="1" si="3"/>
        <v>2056</v>
      </c>
      <c r="BH59" s="421">
        <f t="shared" ca="1" si="3"/>
        <v>2057</v>
      </c>
      <c r="BI59" s="421">
        <f t="shared" ca="1" si="3"/>
        <v>2058</v>
      </c>
      <c r="BJ59" s="421">
        <f t="shared" ca="1" si="3"/>
        <v>2059</v>
      </c>
      <c r="BK59" s="421">
        <f t="shared" ca="1" si="3"/>
        <v>2060</v>
      </c>
      <c r="BL59" s="421">
        <f t="shared" ca="1" si="3"/>
        <v>2061</v>
      </c>
      <c r="BM59" s="421">
        <f t="shared" ca="1" si="3"/>
        <v>2062</v>
      </c>
      <c r="BN59" s="421">
        <f t="shared" ca="1" si="3"/>
        <v>2063</v>
      </c>
      <c r="BO59" s="421">
        <f t="shared" ca="1" si="3"/>
        <v>2064</v>
      </c>
      <c r="BP59" s="421">
        <f t="shared" ca="1" si="3"/>
        <v>2065</v>
      </c>
      <c r="BQ59" s="426">
        <f ca="1">BP59+1</f>
        <v>2066</v>
      </c>
    </row>
    <row r="60" spans="1:69" s="88" customFormat="1" ht="11.25" customHeight="1" x14ac:dyDescent="0.2">
      <c r="A60" s="507"/>
      <c r="B60" s="98"/>
      <c r="C60" s="98"/>
      <c r="D60" s="696"/>
      <c r="E60" s="2444" t="s">
        <v>655</v>
      </c>
      <c r="F60" s="2446"/>
      <c r="G60" s="2444" t="s">
        <v>32</v>
      </c>
      <c r="H60" s="2445"/>
      <c r="I60" s="2446"/>
      <c r="J60" s="2444" t="s">
        <v>657</v>
      </c>
      <c r="K60" s="2446"/>
      <c r="L60" s="2486" t="s">
        <v>655</v>
      </c>
      <c r="M60" s="2488"/>
      <c r="N60" s="2489"/>
      <c r="S60" s="1518"/>
      <c r="T60" s="557"/>
      <c r="U60" s="557"/>
      <c r="V60" s="557"/>
      <c r="W60" s="557"/>
      <c r="X60" s="557"/>
      <c r="Y60" s="557"/>
      <c r="Z60" s="557"/>
      <c r="AA60" s="557"/>
      <c r="AB60" s="557"/>
      <c r="AC60" s="557"/>
      <c r="AD60" s="557"/>
      <c r="AE60" s="557"/>
      <c r="AF60" s="557"/>
      <c r="AG60" s="557"/>
      <c r="AH60" s="557"/>
      <c r="AI60" s="557"/>
      <c r="AJ60" s="557"/>
      <c r="AK60" s="557"/>
      <c r="AL60" s="557"/>
      <c r="AM60" s="557"/>
      <c r="AN60" s="557"/>
      <c r="AO60" s="557"/>
      <c r="AP60" s="557"/>
      <c r="AQ60" s="557"/>
      <c r="AR60" s="557"/>
      <c r="AS60" s="557"/>
      <c r="AT60" s="557"/>
      <c r="AU60" s="557"/>
      <c r="AV60" s="557"/>
      <c r="AW60" s="557"/>
      <c r="AX60" s="557"/>
      <c r="AY60" s="557"/>
      <c r="AZ60" s="557"/>
      <c r="BA60" s="557"/>
      <c r="BB60" s="557"/>
      <c r="BC60" s="557"/>
      <c r="BD60" s="557"/>
      <c r="BE60" s="557"/>
      <c r="BF60" s="557"/>
      <c r="BG60" s="557"/>
      <c r="BH60" s="557"/>
      <c r="BI60" s="557"/>
      <c r="BJ60" s="557"/>
      <c r="BK60" s="557"/>
      <c r="BL60" s="557"/>
      <c r="BM60" s="557"/>
      <c r="BN60" s="557"/>
      <c r="BO60" s="557"/>
      <c r="BP60" s="557"/>
      <c r="BQ60" s="1519"/>
    </row>
    <row r="61" spans="1:69" s="88" customFormat="1" ht="11.25" customHeight="1" x14ac:dyDescent="0.2">
      <c r="A61" s="508" t="s">
        <v>33</v>
      </c>
      <c r="B61" s="1384"/>
      <c r="C61" s="2490"/>
      <c r="D61" s="2491"/>
      <c r="E61" s="2708">
        <f xml:space="preserve"> VLOOKUP(Projektdaten!G20,Grunddaten!C11:AI44,33,FALSE) * EV_Var4!I67</f>
        <v>0</v>
      </c>
      <c r="F61" s="2709"/>
      <c r="G61" s="2553" t="s">
        <v>34</v>
      </c>
      <c r="H61" s="2710"/>
      <c r="I61" s="2554"/>
      <c r="J61" s="2553" t="s">
        <v>35</v>
      </c>
      <c r="K61" s="2554"/>
      <c r="L61" s="2528" t="s">
        <v>35</v>
      </c>
      <c r="M61" s="2529"/>
      <c r="N61" s="2530"/>
      <c r="S61" s="422"/>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c r="AR61" s="423"/>
      <c r="AS61" s="423"/>
      <c r="AT61" s="423"/>
      <c r="AU61" s="423"/>
      <c r="AV61" s="423"/>
      <c r="AW61" s="423"/>
      <c r="AX61" s="423"/>
      <c r="AY61" s="423"/>
      <c r="AZ61" s="423"/>
      <c r="BA61" s="423"/>
      <c r="BB61" s="423"/>
      <c r="BC61" s="423"/>
      <c r="BD61" s="423"/>
      <c r="BE61" s="423"/>
      <c r="BF61" s="423"/>
      <c r="BG61" s="423"/>
      <c r="BH61" s="423"/>
      <c r="BI61" s="423"/>
      <c r="BJ61" s="423"/>
      <c r="BK61" s="423"/>
      <c r="BL61" s="423"/>
      <c r="BM61" s="423"/>
      <c r="BN61" s="423"/>
      <c r="BO61" s="423"/>
      <c r="BP61" s="423"/>
      <c r="BQ61" s="424"/>
    </row>
    <row r="62" spans="1:69" s="88" customFormat="1" ht="11.25" customHeight="1" x14ac:dyDescent="0.2">
      <c r="A62" s="509" t="s">
        <v>52</v>
      </c>
      <c r="B62" s="1385"/>
      <c r="C62" s="2557">
        <v>0.7</v>
      </c>
      <c r="D62" s="2558"/>
      <c r="E62" s="2473">
        <f>IF(G62,E$61*G62/SUM(G$62:G$65),0)</f>
        <v>0</v>
      </c>
      <c r="F62" s="2474"/>
      <c r="G62" s="2463">
        <f>IF(EV_Var4!$E$67&gt;0,IF(EV_Var4!$E$67&gt;=(EV_Var4!$E$33 + EV_Var4!$E$37),EV_Var4!$E$67-(EV_Var4!$E$33 + EV_Var4!$E$37),0),EV_Var4!$E$67)*C62</f>
        <v>0</v>
      </c>
      <c r="H62" s="2464"/>
      <c r="I62" s="2465"/>
      <c r="J62" s="2551">
        <f ca="1">OFFSET(Grunddaten!$AJ$11,El_Produkt,0)-(1-$R$109)*OFFSET(Grunddaten!$Q$11,El_Produkt,0)</f>
        <v>22.999464000000003</v>
      </c>
      <c r="K62" s="2552"/>
      <c r="L62" s="2525">
        <f t="shared" ref="L62:L76" ca="1" si="4">ROUND(E62+G62*J62/100,-1)</f>
        <v>0</v>
      </c>
      <c r="M62" s="2526"/>
      <c r="N62" s="2527"/>
      <c r="S62" s="427">
        <f ca="1">IF($G62=0,0,ROUND(OFFSET(Grunddaten!AT11,El_Produkt,0)*((OFFSET(Grunddaten!$AJ$11,El_Produkt,0)-OFFSET(Grunddaten!$Q$11,El_Produkt,0))/100*$G62+$E62),-1))</f>
        <v>0</v>
      </c>
      <c r="T62" s="428">
        <f ca="1">IF($G62=0,0,ROUND(OFFSET(Grunddaten!AU11,El_Produkt,0)*((OFFSET(Grunddaten!$AJ$11,El_Produkt,0)-OFFSET(Grunddaten!$Q$11,El_Produkt,0))/100*$G62+$E62),-1))</f>
        <v>0</v>
      </c>
      <c r="U62" s="428">
        <f ca="1">IF($G62=0,0,ROUND(OFFSET(Grunddaten!AV11,El_Produkt,0)*((OFFSET(Grunddaten!$AJ$11,El_Produkt,0)-OFFSET(Grunddaten!$Q$11,El_Produkt,0))/100*$G62+$E62),-1))</f>
        <v>0</v>
      </c>
      <c r="V62" s="428">
        <f ca="1">IF($G62=0,0,ROUND(OFFSET(Grunddaten!AW11,El_Produkt,0)*((OFFSET(Grunddaten!$AJ$11,El_Produkt,0)-OFFSET(Grunddaten!$Q$11,El_Produkt,0))/100*$G62+$E62),-1))</f>
        <v>0</v>
      </c>
      <c r="W62" s="428">
        <f ca="1">IF($G62=0,0,ROUND(OFFSET(Grunddaten!AX11,El_Produkt,0)*((OFFSET(Grunddaten!$AJ$11,El_Produkt,0)-OFFSET(Grunddaten!$Q$11,El_Produkt,0))/100*$G62+$E62),-1))</f>
        <v>0</v>
      </c>
      <c r="X62" s="428">
        <f ca="1">IF($G62=0,0,ROUND(OFFSET(Grunddaten!AY11,El_Produkt,0)*((OFFSET(Grunddaten!$AJ$11,El_Produkt,0)-OFFSET(Grunddaten!$Q$11,El_Produkt,0))/100*$G62+$E62),-1))</f>
        <v>0</v>
      </c>
      <c r="Y62" s="428">
        <f ca="1">IF($G62=0,0,ROUND(OFFSET(Grunddaten!AZ11,El_Produkt,0)*((OFFSET(Grunddaten!$AJ$11,El_Produkt,0)-OFFSET(Grunddaten!$Q$11,El_Produkt,0))/100*$G62+$E62),-1))</f>
        <v>0</v>
      </c>
      <c r="Z62" s="428">
        <f ca="1">IF($G62=0,0,ROUND(OFFSET(Grunddaten!BA11,El_Produkt,0)*((OFFSET(Grunddaten!$AJ$11,El_Produkt,0)-OFFSET(Grunddaten!$Q$11,El_Produkt,0))/100*$G62+$E62),-1))</f>
        <v>0</v>
      </c>
      <c r="AA62" s="428">
        <f ca="1">IF($G62=0,0,ROUND(OFFSET(Grunddaten!BB11,El_Produkt,0)*((OFFSET(Grunddaten!$AJ$11,El_Produkt,0)-OFFSET(Grunddaten!$Q$11,El_Produkt,0))/100*$G62+$E62),-1))</f>
        <v>0</v>
      </c>
      <c r="AB62" s="473">
        <f ca="1">IF($G62=0,0,ROUND(OFFSET(Grunddaten!BC11,El_Produkt,0)*((OFFSET(Grunddaten!$AJ$11,El_Produkt,0)-OFFSET(Grunddaten!$Q$11,El_Produkt,0))/100*$G62+$E62),-1))</f>
        <v>0</v>
      </c>
      <c r="AC62" s="473">
        <f ca="1">IF($G62=0,0,ROUND(OFFSET(Grunddaten!BD11,El_Produkt,0)*((OFFSET(Grunddaten!$AJ$11,El_Produkt,0)-OFFSET(Grunddaten!$Q$11,El_Produkt,0))/100*$G62+$E62),-1))</f>
        <v>0</v>
      </c>
      <c r="AD62" s="473">
        <f ca="1">IF($G62=0,0,ROUND(OFFSET(Grunddaten!BE11,El_Produkt,0)*((OFFSET(Grunddaten!$AJ$11,El_Produkt,0)-OFFSET(Grunddaten!$Q$11,El_Produkt,0))/100*$G62+$E62),-1))</f>
        <v>0</v>
      </c>
      <c r="AE62" s="473">
        <f ca="1">IF($G62=0,0,ROUND(OFFSET(Grunddaten!BF11,El_Produkt,0)*((OFFSET(Grunddaten!$AJ$11,El_Produkt,0)-OFFSET(Grunddaten!$Q$11,El_Produkt,0))/100*$G62+$E62),-1))</f>
        <v>0</v>
      </c>
      <c r="AF62" s="473">
        <f ca="1">IF($G62=0,0,ROUND(OFFSET(Grunddaten!BG11,El_Produkt,0)*((OFFSET(Grunddaten!$AJ$11,El_Produkt,0)-OFFSET(Grunddaten!$Q$11,El_Produkt,0))/100*$G62+$E62),-1))</f>
        <v>0</v>
      </c>
      <c r="AG62" s="473">
        <f ca="1">IF($G62=0,0,ROUND(OFFSET(Grunddaten!BH11,El_Produkt,0)*((OFFSET(Grunddaten!$AJ$11,El_Produkt,0)-OFFSET(Grunddaten!$Q$11,El_Produkt,0))/100*$G62+$E62),-1))</f>
        <v>0</v>
      </c>
      <c r="AH62" s="474">
        <f ca="1">IF($G62=0,0,ROUND(OFFSET(Grunddaten!BI11,El_Produkt,0)*((OFFSET(Grunddaten!$AJ$11,El_Produkt,0)-OFFSET(Grunddaten!$Q$11,El_Produkt,0))/100*$G62+$E62),-1))</f>
        <v>0</v>
      </c>
      <c r="AI62" s="474">
        <f ca="1">IF($G62=0,0,ROUND(OFFSET(Grunddaten!BJ11,El_Produkt,0)*((OFFSET(Grunddaten!$AJ$11,El_Produkt,0)-OFFSET(Grunddaten!$Q$11,El_Produkt,0))/100*$G62+$E62),-1))</f>
        <v>0</v>
      </c>
      <c r="AJ62" s="474">
        <f ca="1">IF($G62=0,0,ROUND(OFFSET(Grunddaten!BK11,El_Produkt,0)*((OFFSET(Grunddaten!$AJ$11,El_Produkt,0)-OFFSET(Grunddaten!$Q$11,El_Produkt,0))/100*$G62+$E62),-1))</f>
        <v>0</v>
      </c>
      <c r="AK62" s="474">
        <f ca="1">IF($G62=0,0,ROUND(OFFSET(Grunddaten!BL11,El_Produkt,0)*((OFFSET(Grunddaten!$AJ$11,El_Produkt,0)-OFFSET(Grunddaten!$Q$11,El_Produkt,0))/100*$G62+$E62),-1))</f>
        <v>0</v>
      </c>
      <c r="AL62" s="474">
        <f ca="1">IF($G62=0,0,ROUND(OFFSET(Grunddaten!BM11,El_Produkt,0)*((OFFSET(Grunddaten!$AJ$11,El_Produkt,0)-OFFSET(Grunddaten!$Q$11,El_Produkt,0))/100*$G62+$E62),-1))</f>
        <v>0</v>
      </c>
      <c r="AM62" s="474">
        <f ca="1">IF($G62=0,0,ROUND(OFFSET(Grunddaten!BN11,El_Produkt,0)*((OFFSET(Grunddaten!$AJ$11,El_Produkt,0)-OFFSET(Grunddaten!$Q$11,El_Produkt,0))/100*$G62+$E62),-1))</f>
        <v>0</v>
      </c>
      <c r="AN62" s="474">
        <f ca="1">IF($G62=0,0,ROUND(OFFSET(Grunddaten!BO11,El_Produkt,0)*((OFFSET(Grunddaten!$AJ$11,El_Produkt,0)-OFFSET(Grunddaten!$Q$11,El_Produkt,0))/100*$G62+$E62),-1))</f>
        <v>0</v>
      </c>
      <c r="AO62" s="474">
        <f ca="1">IF($G62=0,0,ROUND(OFFSET(Grunddaten!BP11,El_Produkt,0)*((OFFSET(Grunddaten!$AJ$11,El_Produkt,0)-OFFSET(Grunddaten!$Q$11,El_Produkt,0))/100*$G62+$E62),-1))</f>
        <v>0</v>
      </c>
      <c r="AP62" s="474">
        <f ca="1">IF($G62=0,0,ROUND(OFFSET(Grunddaten!BQ11,El_Produkt,0)*((OFFSET(Grunddaten!$AJ$11,El_Produkt,0)-OFFSET(Grunddaten!$Q$11,El_Produkt,0))/100*$G62+$E62),-1))</f>
        <v>0</v>
      </c>
      <c r="AQ62" s="474">
        <f ca="1">IF($G62=0,0,ROUND(OFFSET(Grunddaten!BR11,El_Produkt,0)*((OFFSET(Grunddaten!$AJ$11,El_Produkt,0)-OFFSET(Grunddaten!$Q$11,El_Produkt,0))/100*$G62+$E62),-1))</f>
        <v>0</v>
      </c>
      <c r="AR62" s="474">
        <f ca="1">IF($G62=0,0,ROUND(OFFSET(Grunddaten!BS11,El_Produkt,0)*((OFFSET(Grunddaten!$AJ$11,El_Produkt,0)-OFFSET(Grunddaten!$Q$11,El_Produkt,0))/100*$G62+$E62),-1))</f>
        <v>0</v>
      </c>
      <c r="AS62" s="474">
        <f ca="1">IF($G62=0,0,ROUND(OFFSET(Grunddaten!BT11,El_Produkt,0)*((OFFSET(Grunddaten!$AJ$11,El_Produkt,0)-OFFSET(Grunddaten!$Q$11,El_Produkt,0))/100*$G62+$E62),-1))</f>
        <v>0</v>
      </c>
      <c r="AT62" s="474">
        <f ca="1">IF($G62=0,0,ROUND(OFFSET(Grunddaten!BU11,El_Produkt,0)*((OFFSET(Grunddaten!$AJ$11,El_Produkt,0)-OFFSET(Grunddaten!$Q$11,El_Produkt,0))/100*$G62+$E62),-1))</f>
        <v>0</v>
      </c>
      <c r="AU62" s="474">
        <f ca="1">IF($G62=0,0,ROUND(OFFSET(Grunddaten!BV11,El_Produkt,0)*((OFFSET(Grunddaten!$AJ$11,El_Produkt,0)-OFFSET(Grunddaten!$Q$11,El_Produkt,0))/100*$G62+$E62),-1))</f>
        <v>0</v>
      </c>
      <c r="AV62" s="474">
        <f ca="1">IF($G62=0,0,ROUND(OFFSET(Grunddaten!BW11,El_Produkt,0)*((OFFSET(Grunddaten!$AJ$11,El_Produkt,0)-OFFSET(Grunddaten!$Q$11,El_Produkt,0))/100*$G62+$E62),-1))</f>
        <v>0</v>
      </c>
      <c r="AW62" s="474">
        <f ca="1">IF($G62=0,0,ROUND(OFFSET(Grunddaten!BX11,El_Produkt,0)*((OFFSET(Grunddaten!$AJ$11,El_Produkt,0)-OFFSET(Grunddaten!$Q$11,El_Produkt,0))/100*$G62+$E62),-1))</f>
        <v>0</v>
      </c>
      <c r="AX62" s="474">
        <f ca="1">IF($G62=0,0,ROUND(OFFSET(Grunddaten!BY11,El_Produkt,0)*((OFFSET(Grunddaten!$AJ$11,El_Produkt,0)-OFFSET(Grunddaten!$Q$11,El_Produkt,0))/100*$G62+$E62),-1))</f>
        <v>0</v>
      </c>
      <c r="AY62" s="474">
        <f ca="1">IF($G62=0,0,ROUND(OFFSET(Grunddaten!BZ11,El_Produkt,0)*((OFFSET(Grunddaten!$AJ$11,El_Produkt,0)-OFFSET(Grunddaten!$Q$11,El_Produkt,0))/100*$G62+$E62),-1))</f>
        <v>0</v>
      </c>
      <c r="AZ62" s="474">
        <f ca="1">IF($G62=0,0,ROUND(OFFSET(Grunddaten!CA11,El_Produkt,0)*((OFFSET(Grunddaten!$AJ$11,El_Produkt,0)-OFFSET(Grunddaten!$Q$11,El_Produkt,0))/100*$G62+$E62),-1))</f>
        <v>0</v>
      </c>
      <c r="BA62" s="474">
        <f ca="1">IF($G62=0,0,ROUND(OFFSET(Grunddaten!CB11,El_Produkt,0)*((OFFSET(Grunddaten!$AJ$11,El_Produkt,0)-OFFSET(Grunddaten!$Q$11,El_Produkt,0))/100*$G62+$E62),-1))</f>
        <v>0</v>
      </c>
      <c r="BB62" s="474">
        <f ca="1">IF($G62=0,0,ROUND(OFFSET(Grunddaten!CC11,El_Produkt,0)*((OFFSET(Grunddaten!$AJ$11,El_Produkt,0)-OFFSET(Grunddaten!$Q$11,El_Produkt,0))/100*$G62+$E62),-1))</f>
        <v>0</v>
      </c>
      <c r="BC62" s="474">
        <f ca="1">IF($G62=0,0,ROUND(OFFSET(Grunddaten!CD11,El_Produkt,0)*((OFFSET(Grunddaten!$AJ$11,El_Produkt,0)-OFFSET(Grunddaten!$Q$11,El_Produkt,0))/100*$G62+$E62),-1))</f>
        <v>0</v>
      </c>
      <c r="BD62" s="474">
        <f ca="1">IF($G62=0,0,ROUND(OFFSET(Grunddaten!CE11,El_Produkt,0)*((OFFSET(Grunddaten!$AJ$11,El_Produkt,0)-OFFSET(Grunddaten!$Q$11,El_Produkt,0))/100*$G62+$E62),-1))</f>
        <v>0</v>
      </c>
      <c r="BE62" s="474">
        <f ca="1">IF($G62=0,0,ROUND(OFFSET(Grunddaten!CF11,El_Produkt,0)*((OFFSET(Grunddaten!$AJ$11,El_Produkt,0)-OFFSET(Grunddaten!$Q$11,El_Produkt,0))/100*$G62+$E62),-1))</f>
        <v>0</v>
      </c>
      <c r="BF62" s="474">
        <f ca="1">IF($G62=0,0,ROUND(OFFSET(Grunddaten!CG11,El_Produkt,0)*((OFFSET(Grunddaten!$AJ$11,El_Produkt,0)-OFFSET(Grunddaten!$Q$11,El_Produkt,0))/100*$G62+$E62),-1))</f>
        <v>0</v>
      </c>
      <c r="BG62" s="474">
        <f ca="1">IF($G62=0,0,ROUND(OFFSET(Grunddaten!CH11,El_Produkt,0)*((OFFSET(Grunddaten!$AJ$11,El_Produkt,0)-OFFSET(Grunddaten!$Q$11,El_Produkt,0))/100*$G62+$E62),-1))</f>
        <v>0</v>
      </c>
      <c r="BH62" s="474">
        <f ca="1">IF($G62=0,0,ROUND(OFFSET(Grunddaten!CI11,El_Produkt,0)*((OFFSET(Grunddaten!$AJ$11,El_Produkt,0)-OFFSET(Grunddaten!$Q$11,El_Produkt,0))/100*$G62+$E62),-1))</f>
        <v>0</v>
      </c>
      <c r="BI62" s="474">
        <f ca="1">IF($G62=0,0,ROUND(OFFSET(Grunddaten!CJ11,El_Produkt,0)*((OFFSET(Grunddaten!$AJ$11,El_Produkt,0)-OFFSET(Grunddaten!$Q$11,El_Produkt,0))/100*$G62+$E62),-1))</f>
        <v>0</v>
      </c>
      <c r="BJ62" s="474">
        <f ca="1">IF($G62=0,0,ROUND(OFFSET(Grunddaten!CK11,El_Produkt,0)*((OFFSET(Grunddaten!$AJ$11,El_Produkt,0)-OFFSET(Grunddaten!$Q$11,El_Produkt,0))/100*$G62+$E62),-1))</f>
        <v>0</v>
      </c>
      <c r="BK62" s="474">
        <f ca="1">IF($G62=0,0,ROUND(OFFSET(Grunddaten!CL11,El_Produkt,0)*((OFFSET(Grunddaten!$AJ$11,El_Produkt,0)-OFFSET(Grunddaten!$Q$11,El_Produkt,0))/100*$G62+$E62),-1))</f>
        <v>0</v>
      </c>
      <c r="BL62" s="474">
        <f ca="1">IF($G62=0,0,ROUND(OFFSET(Grunddaten!CM11,El_Produkt,0)*((OFFSET(Grunddaten!$AJ$11,El_Produkt,0)-OFFSET(Grunddaten!$Q$11,El_Produkt,0))/100*$G62+$E62),-1))</f>
        <v>0</v>
      </c>
      <c r="BM62" s="474">
        <f ca="1">IF($G62=0,0,ROUND(OFFSET(Grunddaten!CN11,El_Produkt,0)*((OFFSET(Grunddaten!$AJ$11,El_Produkt,0)-OFFSET(Grunddaten!$Q$11,El_Produkt,0))/100*$G62+$E62),-1))</f>
        <v>0</v>
      </c>
      <c r="BN62" s="474">
        <f ca="1">IF($G62=0,0,ROUND(OFFSET(Grunddaten!CO11,El_Produkt,0)*((OFFSET(Grunddaten!$AJ$11,El_Produkt,0)-OFFSET(Grunddaten!$Q$11,El_Produkt,0))/100*$G62+$E62),-1))</f>
        <v>0</v>
      </c>
      <c r="BO62" s="474">
        <f ca="1">IF($G62=0,0,ROUND(OFFSET(Grunddaten!CP11,El_Produkt,0)*((OFFSET(Grunddaten!$AJ$11,El_Produkt,0)-OFFSET(Grunddaten!$Q$11,El_Produkt,0))/100*$G62+$E62),-1))</f>
        <v>0</v>
      </c>
      <c r="BP62" s="474">
        <f ca="1">IF($G62=0,0,ROUND(OFFSET(Grunddaten!CQ11,El_Produkt,0)*((OFFSET(Grunddaten!$AJ$11,El_Produkt,0)-OFFSET(Grunddaten!$Q$11,El_Produkt,0))/100*$G62+$E62),-1))</f>
        <v>0</v>
      </c>
      <c r="BQ62" s="475">
        <f ca="1">IF($G62=0,0,ROUND(OFFSET(Grunddaten!CR11,El_Produkt,0)*((OFFSET(Grunddaten!$AJ$11,El_Produkt,0)-OFFSET(Grunddaten!$Q$11,El_Produkt,0))/100*$G62+$E62),-1))</f>
        <v>0</v>
      </c>
    </row>
    <row r="63" spans="1:69" s="88" customFormat="1" ht="11.25" customHeight="1" x14ac:dyDescent="0.2">
      <c r="A63" s="510" t="s">
        <v>53</v>
      </c>
      <c r="B63" s="1386"/>
      <c r="C63" s="2559">
        <f>1-C62</f>
        <v>0.30000000000000004</v>
      </c>
      <c r="D63" s="2560"/>
      <c r="E63" s="2475">
        <f>IF(G63,E$61*G63/SUM(G$62:G$65),0)</f>
        <v>0</v>
      </c>
      <c r="F63" s="2476"/>
      <c r="G63" s="2470">
        <f>IF(EV_Var4!$E$67&gt;0,IF(EV_Var4!$E$67&gt;=(EV_Var4!$E$33 + EV_Var4!$E$37),EV_Var4!$E$67-(EV_Var4!$E$33 + EV_Var4!$E$37),0),EV_Var4!$E$67)*C63</f>
        <v>0</v>
      </c>
      <c r="H63" s="2471"/>
      <c r="I63" s="2472"/>
      <c r="J63" s="2555">
        <f ca="1">OFFSET(Grunddaten!$AK$11,El_Produkt,0)-(1-$R$109)*OFFSET(Grunddaten!$Q$11,El_Produkt,0)</f>
        <v>13.916124</v>
      </c>
      <c r="K63" s="2556"/>
      <c r="L63" s="2531">
        <f t="shared" ca="1" si="4"/>
        <v>0</v>
      </c>
      <c r="M63" s="2532"/>
      <c r="N63" s="2533"/>
      <c r="S63" s="429">
        <f ca="1">IF($G63=0,0,ROUND(OFFSET(Grunddaten!AT11,El_Produkt,0)*((OFFSET(Grunddaten!$AK$11,El_Produkt,0)-OFFSET(Grunddaten!$Q$11,El_Produkt,0))/100*$G63+$E63),-1))</f>
        <v>0</v>
      </c>
      <c r="T63" s="430">
        <f ca="1">IF($G63=0,0,ROUND(OFFSET(Grunddaten!AU11,El_Produkt,0)*((OFFSET(Grunddaten!$AK$11,El_Produkt,0)-OFFSET(Grunddaten!$Q$11,El_Produkt,0))/100*$G63+$E63),-1))</f>
        <v>0</v>
      </c>
      <c r="U63" s="430">
        <f ca="1">IF($G63=0,0,ROUND(OFFSET(Grunddaten!AV11,El_Produkt,0)*((OFFSET(Grunddaten!$AK$11,El_Produkt,0)-OFFSET(Grunddaten!$Q$11,El_Produkt,0))/100*$G63+$E63),-1))</f>
        <v>0</v>
      </c>
      <c r="V63" s="430">
        <f ca="1">IF($G63=0,0,ROUND(OFFSET(Grunddaten!AW11,El_Produkt,0)*((OFFSET(Grunddaten!$AK$11,El_Produkt,0)-OFFSET(Grunddaten!$Q$11,El_Produkt,0))/100*$G63+$E63),-1))</f>
        <v>0</v>
      </c>
      <c r="W63" s="430">
        <f ca="1">IF($G63=0,0,ROUND(OFFSET(Grunddaten!AX11,El_Produkt,0)*((OFFSET(Grunddaten!$AK$11,El_Produkt,0)-OFFSET(Grunddaten!$Q$11,El_Produkt,0))/100*$G63+$E63),-1))</f>
        <v>0</v>
      </c>
      <c r="X63" s="430">
        <f ca="1">IF($G63=0,0,ROUND(OFFSET(Grunddaten!AY11,El_Produkt,0)*((OFFSET(Grunddaten!$AK$11,El_Produkt,0)-OFFSET(Grunddaten!$Q$11,El_Produkt,0))/100*$G63+$E63),-1))</f>
        <v>0</v>
      </c>
      <c r="Y63" s="430">
        <f ca="1">IF($G63=0,0,ROUND(OFFSET(Grunddaten!AZ11,El_Produkt,0)*((OFFSET(Grunddaten!$AK$11,El_Produkt,0)-OFFSET(Grunddaten!$Q$11,El_Produkt,0))/100*$G63+$E63),-1))</f>
        <v>0</v>
      </c>
      <c r="Z63" s="430">
        <f ca="1">IF($G63=0,0,ROUND(OFFSET(Grunddaten!BA11,El_Produkt,0)*((OFFSET(Grunddaten!$AK$11,El_Produkt,0)-OFFSET(Grunddaten!$Q$11,El_Produkt,0))/100*$G63+$E63),-1))</f>
        <v>0</v>
      </c>
      <c r="AA63" s="430">
        <f ca="1">IF($G63=0,0,ROUND(OFFSET(Grunddaten!BB11,El_Produkt,0)*((OFFSET(Grunddaten!$AK$11,El_Produkt,0)-OFFSET(Grunddaten!$Q$11,El_Produkt,0))/100*$G63+$E63),-1))</f>
        <v>0</v>
      </c>
      <c r="AB63" s="476">
        <f ca="1">IF($G63=0,0,ROUND(OFFSET(Grunddaten!BC11,El_Produkt,0)*((OFFSET(Grunddaten!$AK$11,El_Produkt,0)-OFFSET(Grunddaten!$Q$11,El_Produkt,0))/100*$G63+$E63),-1))</f>
        <v>0</v>
      </c>
      <c r="AC63" s="476">
        <f ca="1">IF($G63=0,0,ROUND(OFFSET(Grunddaten!BD11,El_Produkt,0)*((OFFSET(Grunddaten!$AK$11,El_Produkt,0)-OFFSET(Grunddaten!$Q$11,El_Produkt,0))/100*$G63+$E63),-1))</f>
        <v>0</v>
      </c>
      <c r="AD63" s="476">
        <f ca="1">IF($G63=0,0,ROUND(OFFSET(Grunddaten!BE11,El_Produkt,0)*((OFFSET(Grunddaten!$AK$11,El_Produkt,0)-OFFSET(Grunddaten!$Q$11,El_Produkt,0))/100*$G63+$E63),-1))</f>
        <v>0</v>
      </c>
      <c r="AE63" s="476">
        <f ca="1">IF($G63=0,0,ROUND(OFFSET(Grunddaten!BF11,El_Produkt,0)*((OFFSET(Grunddaten!$AK$11,El_Produkt,0)-OFFSET(Grunddaten!$Q$11,El_Produkt,0))/100*$G63+$E63),-1))</f>
        <v>0</v>
      </c>
      <c r="AF63" s="476">
        <f ca="1">IF($G63=0,0,ROUND(OFFSET(Grunddaten!BG11,El_Produkt,0)*((OFFSET(Grunddaten!$AK$11,El_Produkt,0)-OFFSET(Grunddaten!$Q$11,El_Produkt,0))/100*$G63+$E63),-1))</f>
        <v>0</v>
      </c>
      <c r="AG63" s="476">
        <f ca="1">IF($G63=0,0,ROUND(OFFSET(Grunddaten!BH11,El_Produkt,0)*((OFFSET(Grunddaten!$AK$11,El_Produkt,0)-OFFSET(Grunddaten!$Q$11,El_Produkt,0))/100*$G63+$E63),-1))</f>
        <v>0</v>
      </c>
      <c r="AH63" s="477">
        <f ca="1">IF($G63=0,0,ROUND(OFFSET(Grunddaten!BI11,El_Produkt,0)*((OFFSET(Grunddaten!$AK$11,El_Produkt,0)-OFFSET(Grunddaten!$Q$11,El_Produkt,0))/100*$G63+$E63),-1))</f>
        <v>0</v>
      </c>
      <c r="AI63" s="477">
        <f ca="1">IF($G63=0,0,ROUND(OFFSET(Grunddaten!BJ11,El_Produkt,0)*((OFFSET(Grunddaten!$AK$11,El_Produkt,0)-OFFSET(Grunddaten!$Q$11,El_Produkt,0))/100*$G63+$E63),-1))</f>
        <v>0</v>
      </c>
      <c r="AJ63" s="477">
        <f ca="1">IF($G63=0,0,ROUND(OFFSET(Grunddaten!BK11,El_Produkt,0)*((OFFSET(Grunddaten!$AK$11,El_Produkt,0)-OFFSET(Grunddaten!$Q$11,El_Produkt,0))/100*$G63+$E63),-1))</f>
        <v>0</v>
      </c>
      <c r="AK63" s="477">
        <f ca="1">IF($G63=0,0,ROUND(OFFSET(Grunddaten!BL11,El_Produkt,0)*((OFFSET(Grunddaten!$AK$11,El_Produkt,0)-OFFSET(Grunddaten!$Q$11,El_Produkt,0))/100*$G63+$E63),-1))</f>
        <v>0</v>
      </c>
      <c r="AL63" s="477">
        <f ca="1">IF($G63=0,0,ROUND(OFFSET(Grunddaten!BM11,El_Produkt,0)*((OFFSET(Grunddaten!$AK$11,El_Produkt,0)-OFFSET(Grunddaten!$Q$11,El_Produkt,0))/100*$G63+$E63),-1))</f>
        <v>0</v>
      </c>
      <c r="AM63" s="477">
        <f ca="1">IF($G63=0,0,ROUND(OFFSET(Grunddaten!BN11,El_Produkt,0)*((OFFSET(Grunddaten!$AK$11,El_Produkt,0)-OFFSET(Grunddaten!$Q$11,El_Produkt,0))/100*$G63+$E63),-1))</f>
        <v>0</v>
      </c>
      <c r="AN63" s="477">
        <f ca="1">IF($G63=0,0,ROUND(OFFSET(Grunddaten!BO11,El_Produkt,0)*((OFFSET(Grunddaten!$AK$11,El_Produkt,0)-OFFSET(Grunddaten!$Q$11,El_Produkt,0))/100*$G63+$E63),-1))</f>
        <v>0</v>
      </c>
      <c r="AO63" s="477">
        <f ca="1">IF($G63=0,0,ROUND(OFFSET(Grunddaten!BP11,El_Produkt,0)*((OFFSET(Grunddaten!$AK$11,El_Produkt,0)-OFFSET(Grunddaten!$Q$11,El_Produkt,0))/100*$G63+$E63),-1))</f>
        <v>0</v>
      </c>
      <c r="AP63" s="477">
        <f ca="1">IF($G63=0,0,ROUND(OFFSET(Grunddaten!BQ11,El_Produkt,0)*((OFFSET(Grunddaten!$AK$11,El_Produkt,0)-OFFSET(Grunddaten!$Q$11,El_Produkt,0))/100*$G63+$E63),-1))</f>
        <v>0</v>
      </c>
      <c r="AQ63" s="477">
        <f ca="1">IF($G63=0,0,ROUND(OFFSET(Grunddaten!BR11,El_Produkt,0)*((OFFSET(Grunddaten!$AK$11,El_Produkt,0)-OFFSET(Grunddaten!$Q$11,El_Produkt,0))/100*$G63+$E63),-1))</f>
        <v>0</v>
      </c>
      <c r="AR63" s="477">
        <f ca="1">IF($G63=0,0,ROUND(OFFSET(Grunddaten!BS11,El_Produkt,0)*((OFFSET(Grunddaten!$AK$11,El_Produkt,0)-OFFSET(Grunddaten!$Q$11,El_Produkt,0))/100*$G63+$E63),-1))</f>
        <v>0</v>
      </c>
      <c r="AS63" s="477">
        <f ca="1">IF($G63=0,0,ROUND(OFFSET(Grunddaten!BT11,El_Produkt,0)*((OFFSET(Grunddaten!$AK$11,El_Produkt,0)-OFFSET(Grunddaten!$Q$11,El_Produkt,0))/100*$G63+$E63),-1))</f>
        <v>0</v>
      </c>
      <c r="AT63" s="477">
        <f ca="1">IF($G63=0,0,ROUND(OFFSET(Grunddaten!BU11,El_Produkt,0)*((OFFSET(Grunddaten!$AK$11,El_Produkt,0)-OFFSET(Grunddaten!$Q$11,El_Produkt,0))/100*$G63+$E63),-1))</f>
        <v>0</v>
      </c>
      <c r="AU63" s="477">
        <f ca="1">IF($G63=0,0,ROUND(OFFSET(Grunddaten!BV11,El_Produkt,0)*((OFFSET(Grunddaten!$AK$11,El_Produkt,0)-OFFSET(Grunddaten!$Q$11,El_Produkt,0))/100*$G63+$E63),-1))</f>
        <v>0</v>
      </c>
      <c r="AV63" s="477">
        <f ca="1">IF($G63=0,0,ROUND(OFFSET(Grunddaten!BW11,El_Produkt,0)*((OFFSET(Grunddaten!$AK$11,El_Produkt,0)-OFFSET(Grunddaten!$Q$11,El_Produkt,0))/100*$G63+$E63),-1))</f>
        <v>0</v>
      </c>
      <c r="AW63" s="477">
        <f ca="1">IF($G63=0,0,ROUND(OFFSET(Grunddaten!BX11,El_Produkt,0)*((OFFSET(Grunddaten!$AK$11,El_Produkt,0)-OFFSET(Grunddaten!$Q$11,El_Produkt,0))/100*$G63+$E63),-1))</f>
        <v>0</v>
      </c>
      <c r="AX63" s="477">
        <f ca="1">IF($G63=0,0,ROUND(OFFSET(Grunddaten!BY11,El_Produkt,0)*((OFFSET(Grunddaten!$AK$11,El_Produkt,0)-OFFSET(Grunddaten!$Q$11,El_Produkt,0))/100*$G63+$E63),-1))</f>
        <v>0</v>
      </c>
      <c r="AY63" s="477">
        <f ca="1">IF($G63=0,0,ROUND(OFFSET(Grunddaten!BZ11,El_Produkt,0)*((OFFSET(Grunddaten!$AK$11,El_Produkt,0)-OFFSET(Grunddaten!$Q$11,El_Produkt,0))/100*$G63+$E63),-1))</f>
        <v>0</v>
      </c>
      <c r="AZ63" s="477">
        <f ca="1">IF($G63=0,0,ROUND(OFFSET(Grunddaten!CA11,El_Produkt,0)*((OFFSET(Grunddaten!$AK$11,El_Produkt,0)-OFFSET(Grunddaten!$Q$11,El_Produkt,0))/100*$G63+$E63),-1))</f>
        <v>0</v>
      </c>
      <c r="BA63" s="477">
        <f ca="1">IF($G63=0,0,ROUND(OFFSET(Grunddaten!CB11,El_Produkt,0)*((OFFSET(Grunddaten!$AK$11,El_Produkt,0)-OFFSET(Grunddaten!$Q$11,El_Produkt,0))/100*$G63+$E63),-1))</f>
        <v>0</v>
      </c>
      <c r="BB63" s="477">
        <f ca="1">IF($G63=0,0,ROUND(OFFSET(Grunddaten!CC11,El_Produkt,0)*((OFFSET(Grunddaten!$AK$11,El_Produkt,0)-OFFSET(Grunddaten!$Q$11,El_Produkt,0))/100*$G63+$E63),-1))</f>
        <v>0</v>
      </c>
      <c r="BC63" s="477">
        <f ca="1">IF($G63=0,0,ROUND(OFFSET(Grunddaten!CD11,El_Produkt,0)*((OFFSET(Grunddaten!$AK$11,El_Produkt,0)-OFFSET(Grunddaten!$Q$11,El_Produkt,0))/100*$G63+$E63),-1))</f>
        <v>0</v>
      </c>
      <c r="BD63" s="477">
        <f ca="1">IF($G63=0,0,ROUND(OFFSET(Grunddaten!CE11,El_Produkt,0)*((OFFSET(Grunddaten!$AK$11,El_Produkt,0)-OFFSET(Grunddaten!$Q$11,El_Produkt,0))/100*$G63+$E63),-1))</f>
        <v>0</v>
      </c>
      <c r="BE63" s="477">
        <f ca="1">IF($G63=0,0,ROUND(OFFSET(Grunddaten!CF11,El_Produkt,0)*((OFFSET(Grunddaten!$AK$11,El_Produkt,0)-OFFSET(Grunddaten!$Q$11,El_Produkt,0))/100*$G63+$E63),-1))</f>
        <v>0</v>
      </c>
      <c r="BF63" s="477">
        <f ca="1">IF($G63=0,0,ROUND(OFFSET(Grunddaten!CG11,El_Produkt,0)*((OFFSET(Grunddaten!$AK$11,El_Produkt,0)-OFFSET(Grunddaten!$Q$11,El_Produkt,0))/100*$G63+$E63),-1))</f>
        <v>0</v>
      </c>
      <c r="BG63" s="477">
        <f ca="1">IF($G63=0,0,ROUND(OFFSET(Grunddaten!CH11,El_Produkt,0)*((OFFSET(Grunddaten!$AK$11,El_Produkt,0)-OFFSET(Grunddaten!$Q$11,El_Produkt,0))/100*$G63+$E63),-1))</f>
        <v>0</v>
      </c>
      <c r="BH63" s="477">
        <f ca="1">IF($G63=0,0,ROUND(OFFSET(Grunddaten!CI11,El_Produkt,0)*((OFFSET(Grunddaten!$AK$11,El_Produkt,0)-OFFSET(Grunddaten!$Q$11,El_Produkt,0))/100*$G63+$E63),-1))</f>
        <v>0</v>
      </c>
      <c r="BI63" s="477">
        <f ca="1">IF($G63=0,0,ROUND(OFFSET(Grunddaten!CJ11,El_Produkt,0)*((OFFSET(Grunddaten!$AK$11,El_Produkt,0)-OFFSET(Grunddaten!$Q$11,El_Produkt,0))/100*$G63+$E63),-1))</f>
        <v>0</v>
      </c>
      <c r="BJ63" s="477">
        <f ca="1">IF($G63=0,0,ROUND(OFFSET(Grunddaten!CK11,El_Produkt,0)*((OFFSET(Grunddaten!$AK$11,El_Produkt,0)-OFFSET(Grunddaten!$Q$11,El_Produkt,0))/100*$G63+$E63),-1))</f>
        <v>0</v>
      </c>
      <c r="BK63" s="477">
        <f ca="1">IF($G63=0,0,ROUND(OFFSET(Grunddaten!CL11,El_Produkt,0)*((OFFSET(Grunddaten!$AK$11,El_Produkt,0)-OFFSET(Grunddaten!$Q$11,El_Produkt,0))/100*$G63+$E63),-1))</f>
        <v>0</v>
      </c>
      <c r="BL63" s="477">
        <f ca="1">IF($G63=0,0,ROUND(OFFSET(Grunddaten!CM11,El_Produkt,0)*((OFFSET(Grunddaten!$AK$11,El_Produkt,0)-OFFSET(Grunddaten!$Q$11,El_Produkt,0))/100*$G63+$E63),-1))</f>
        <v>0</v>
      </c>
      <c r="BM63" s="477">
        <f ca="1">IF($G63=0,0,ROUND(OFFSET(Grunddaten!CN11,El_Produkt,0)*((OFFSET(Grunddaten!$AK$11,El_Produkt,0)-OFFSET(Grunddaten!$Q$11,El_Produkt,0))/100*$G63+$E63),-1))</f>
        <v>0</v>
      </c>
      <c r="BN63" s="477">
        <f ca="1">IF($G63=0,0,ROUND(OFFSET(Grunddaten!CO11,El_Produkt,0)*((OFFSET(Grunddaten!$AK$11,El_Produkt,0)-OFFSET(Grunddaten!$Q$11,El_Produkt,0))/100*$G63+$E63),-1))</f>
        <v>0</v>
      </c>
      <c r="BO63" s="477">
        <f ca="1">IF($G63=0,0,ROUND(OFFSET(Grunddaten!CP11,El_Produkt,0)*((OFFSET(Grunddaten!$AK$11,El_Produkt,0)-OFFSET(Grunddaten!$Q$11,El_Produkt,0))/100*$G63+$E63),-1))</f>
        <v>0</v>
      </c>
      <c r="BP63" s="477">
        <f ca="1">IF($G63=0,0,ROUND(OFFSET(Grunddaten!CQ11,El_Produkt,0)*((OFFSET(Grunddaten!$AK$11,El_Produkt,0)-OFFSET(Grunddaten!$Q$11,El_Produkt,0))/100*$G63+$E63),-1))</f>
        <v>0</v>
      </c>
      <c r="BQ63" s="478">
        <f ca="1">IF($G63=0,0,ROUND(OFFSET(Grunddaten!CR11,El_Produkt,0)*((OFFSET(Grunddaten!$AK$11,El_Produkt,0)-OFFSET(Grunddaten!$Q$11,El_Produkt,0))/100*$G63+$E63),-1))</f>
        <v>0</v>
      </c>
    </row>
    <row r="64" spans="1:69" s="88" customFormat="1" ht="11.25" customHeight="1" x14ac:dyDescent="0.2">
      <c r="A64" s="511" t="s">
        <v>453</v>
      </c>
      <c r="B64" s="1387"/>
      <c r="C64" s="2557">
        <v>0.7</v>
      </c>
      <c r="D64" s="2558"/>
      <c r="E64" s="2473">
        <f>IF(G64,E$61*G64/SUM(G$62:G$65),0)</f>
        <v>0</v>
      </c>
      <c r="F64" s="2474"/>
      <c r="G64" s="2463">
        <f>IF(EV_Var4!$E$67&gt;=0,IF(EV_Var4!$E$67&gt;=(EV_Var4!$E$33 + EV_Var4!$E$37),(EV_Var4!$E$33 + EV_Var4!$E$37),EV_Var4!$E$67),0)*C64</f>
        <v>0</v>
      </c>
      <c r="H64" s="2464"/>
      <c r="I64" s="2465"/>
      <c r="J64" s="2551">
        <f ca="1">OFFSET(Grunddaten!$AL$11,El_Produkt,0)-(1-$R$109)*OFFSET(Grunddaten!$Q$11,El_Produkt,0)</f>
        <v>22.999464000000003</v>
      </c>
      <c r="K64" s="2552"/>
      <c r="L64" s="2525">
        <f t="shared" ca="1" si="4"/>
        <v>0</v>
      </c>
      <c r="M64" s="2526"/>
      <c r="N64" s="2527"/>
      <c r="P64" s="2538" t="s">
        <v>489</v>
      </c>
      <c r="Q64" s="2536">
        <f ca="1">OFFSET(Grunddaten!AT11,MATCH(Projektdaten!$G$20,Grunddaten!$C$11:$C$44,0)-1,-1)</f>
        <v>0</v>
      </c>
      <c r="S64" s="427">
        <f ca="1">IF($G64=0,0,ROUND(OFFSET(Grunddaten!AT11,El_Produkt,0)*((OFFSET(Grunddaten!$AL$11,El_Produkt,0)-OFFSET(Grunddaten!$Q$11,El_Produkt,0))/100*$G64+$E64),-1))</f>
        <v>0</v>
      </c>
      <c r="T64" s="428">
        <f ca="1">IF($G64=0,0,ROUND(OFFSET(Grunddaten!AU11,El_Produkt,0)*((OFFSET(Grunddaten!$AL$11,El_Produkt,0)-OFFSET(Grunddaten!$Q$11,El_Produkt,0))/100*$G64+$E64),-1))</f>
        <v>0</v>
      </c>
      <c r="U64" s="428">
        <f ca="1">IF($G64=0,0,ROUND(OFFSET(Grunddaten!AV11,El_Produkt,0)*((OFFSET(Grunddaten!$AL$11,El_Produkt,0)-OFFSET(Grunddaten!$Q$11,El_Produkt,0))/100*$G64+$E64),-1))</f>
        <v>0</v>
      </c>
      <c r="V64" s="428">
        <f ca="1">IF($G64=0,0,ROUND(OFFSET(Grunddaten!AW11,El_Produkt,0)*((OFFSET(Grunddaten!$AL$11,El_Produkt,0)-OFFSET(Grunddaten!$Q$11,El_Produkt,0))/100*$G64+$E64),-1))</f>
        <v>0</v>
      </c>
      <c r="W64" s="428">
        <f ca="1">IF($G64=0,0,ROUND(OFFSET(Grunddaten!AX11,El_Produkt,0)*((OFFSET(Grunddaten!$AL$11,El_Produkt,0)-OFFSET(Grunddaten!$Q$11,El_Produkt,0))/100*$G64+$E64),-1))</f>
        <v>0</v>
      </c>
      <c r="X64" s="428">
        <f ca="1">IF($G64=0,0,ROUND(OFFSET(Grunddaten!AY11,El_Produkt,0)*((OFFSET(Grunddaten!$AL$11,El_Produkt,0)-OFFSET(Grunddaten!$Q$11,El_Produkt,0))/100*$G64+$E64),-1))</f>
        <v>0</v>
      </c>
      <c r="Y64" s="428">
        <f ca="1">IF($G64=0,0,ROUND(OFFSET(Grunddaten!AZ11,El_Produkt,0)*((OFFSET(Grunddaten!$AL$11,El_Produkt,0)-OFFSET(Grunddaten!$Q$11,El_Produkt,0))/100*$G64+$E64),-1))</f>
        <v>0</v>
      </c>
      <c r="Z64" s="428">
        <f ca="1">IF($G64=0,0,ROUND(OFFSET(Grunddaten!BA11,El_Produkt,0)*((OFFSET(Grunddaten!$AL$11,El_Produkt,0)-OFFSET(Grunddaten!$Q$11,El_Produkt,0))/100*$G64+$E64),-1))</f>
        <v>0</v>
      </c>
      <c r="AA64" s="428">
        <f ca="1">IF($G64=0,0,ROUND(OFFSET(Grunddaten!BB11,El_Produkt,0)*((OFFSET(Grunddaten!$AL$11,El_Produkt,0)-OFFSET(Grunddaten!$Q$11,El_Produkt,0))/100*$G64+$E64),-1))</f>
        <v>0</v>
      </c>
      <c r="AB64" s="473">
        <f ca="1">IF($G64=0,0,ROUND(OFFSET(Grunddaten!BC11,El_Produkt,0)*((OFFSET(Grunddaten!$AL$11,El_Produkt,0)-OFFSET(Grunddaten!$Q$11,El_Produkt,0))/100*$G64+$E64),-1))</f>
        <v>0</v>
      </c>
      <c r="AC64" s="473">
        <f ca="1">IF($G64=0,0,ROUND(OFFSET(Grunddaten!BD11,El_Produkt,0)*((OFFSET(Grunddaten!$AL$11,El_Produkt,0)-OFFSET(Grunddaten!$Q$11,El_Produkt,0))/100*$G64+$E64),-1))</f>
        <v>0</v>
      </c>
      <c r="AD64" s="473">
        <f ca="1">IF($G64=0,0,ROUND(OFFSET(Grunddaten!BE11,El_Produkt,0)*((OFFSET(Grunddaten!$AL$11,El_Produkt,0)-OFFSET(Grunddaten!$Q$11,El_Produkt,0))/100*$G64+$E64),-1))</f>
        <v>0</v>
      </c>
      <c r="AE64" s="473">
        <f ca="1">IF($G64=0,0,ROUND(OFFSET(Grunddaten!BF11,El_Produkt,0)*((OFFSET(Grunddaten!$AL$11,El_Produkt,0)-OFFSET(Grunddaten!$Q$11,El_Produkt,0))/100*$G64+$E64),-1))</f>
        <v>0</v>
      </c>
      <c r="AF64" s="473">
        <f ca="1">IF($G64=0,0,ROUND(OFFSET(Grunddaten!BG11,El_Produkt,0)*((OFFSET(Grunddaten!$AL$11,El_Produkt,0)-OFFSET(Grunddaten!$Q$11,El_Produkt,0))/100*$G64+$E64),-1))</f>
        <v>0</v>
      </c>
      <c r="AG64" s="473">
        <f ca="1">IF($G64=0,0,ROUND(OFFSET(Grunddaten!BH11,El_Produkt,0)*((OFFSET(Grunddaten!$AL$11,El_Produkt,0)-OFFSET(Grunddaten!$Q$11,El_Produkt,0))/100*$G64+$E64),-1))</f>
        <v>0</v>
      </c>
      <c r="AH64" s="474">
        <f ca="1">IF($G64=0,0,ROUND(OFFSET(Grunddaten!BI11,El_Produkt,0)*((OFFSET(Grunddaten!$AL$11,El_Produkt,0)-OFFSET(Grunddaten!$Q$11,El_Produkt,0))/100*$G64+$E64),-1))</f>
        <v>0</v>
      </c>
      <c r="AI64" s="474">
        <f ca="1">IF($G64=0,0,ROUND(OFFSET(Grunddaten!BJ11,El_Produkt,0)*((OFFSET(Grunddaten!$AL$11,El_Produkt,0)-OFFSET(Grunddaten!$Q$11,El_Produkt,0))/100*$G64+$E64),-1))</f>
        <v>0</v>
      </c>
      <c r="AJ64" s="474">
        <f ca="1">IF($G64=0,0,ROUND(OFFSET(Grunddaten!BK11,El_Produkt,0)*((OFFSET(Grunddaten!$AL$11,El_Produkt,0)-OFFSET(Grunddaten!$Q$11,El_Produkt,0))/100*$G64+$E64),-1))</f>
        <v>0</v>
      </c>
      <c r="AK64" s="474">
        <f ca="1">IF($G64=0,0,ROUND(OFFSET(Grunddaten!BL11,El_Produkt,0)*((OFFSET(Grunddaten!$AL$11,El_Produkt,0)-OFFSET(Grunddaten!$Q$11,El_Produkt,0))/100*$G64+$E64),-1))</f>
        <v>0</v>
      </c>
      <c r="AL64" s="474">
        <f ca="1">IF($G64=0,0,ROUND(OFFSET(Grunddaten!BM11,El_Produkt,0)*((OFFSET(Grunddaten!$AL$11,El_Produkt,0)-OFFSET(Grunddaten!$Q$11,El_Produkt,0))/100*$G64+$E64),-1))</f>
        <v>0</v>
      </c>
      <c r="AM64" s="474">
        <f ca="1">IF($G64=0,0,ROUND(OFFSET(Grunddaten!BN11,El_Produkt,0)*((OFFSET(Grunddaten!$AL$11,El_Produkt,0)-OFFSET(Grunddaten!$Q$11,El_Produkt,0))/100*$G64+$E64),-1))</f>
        <v>0</v>
      </c>
      <c r="AN64" s="474">
        <f ca="1">IF($G64=0,0,ROUND(OFFSET(Grunddaten!BO11,El_Produkt,0)*((OFFSET(Grunddaten!$AL$11,El_Produkt,0)-OFFSET(Grunddaten!$Q$11,El_Produkt,0))/100*$G64+$E64),-1))</f>
        <v>0</v>
      </c>
      <c r="AO64" s="474">
        <f ca="1">IF($G64=0,0,ROUND(OFFSET(Grunddaten!BP11,El_Produkt,0)*((OFFSET(Grunddaten!$AL$11,El_Produkt,0)-OFFSET(Grunddaten!$Q$11,El_Produkt,0))/100*$G64+$E64),-1))</f>
        <v>0</v>
      </c>
      <c r="AP64" s="474">
        <f ca="1">IF($G64=0,0,ROUND(OFFSET(Grunddaten!BQ11,El_Produkt,0)*((OFFSET(Grunddaten!$AL$11,El_Produkt,0)-OFFSET(Grunddaten!$Q$11,El_Produkt,0))/100*$G64+$E64),-1))</f>
        <v>0</v>
      </c>
      <c r="AQ64" s="474">
        <f ca="1">IF($G64=0,0,ROUND(OFFSET(Grunddaten!BR11,El_Produkt,0)*((OFFSET(Grunddaten!$AL$11,El_Produkt,0)-OFFSET(Grunddaten!$Q$11,El_Produkt,0))/100*$G64+$E64),-1))</f>
        <v>0</v>
      </c>
      <c r="AR64" s="474">
        <f ca="1">IF($G64=0,0,ROUND(OFFSET(Grunddaten!BS11,El_Produkt,0)*((OFFSET(Grunddaten!$AL$11,El_Produkt,0)-OFFSET(Grunddaten!$Q$11,El_Produkt,0))/100*$G64+$E64),-1))</f>
        <v>0</v>
      </c>
      <c r="AS64" s="474">
        <f ca="1">IF($G64=0,0,ROUND(OFFSET(Grunddaten!BT11,El_Produkt,0)*((OFFSET(Grunddaten!$AL$11,El_Produkt,0)-OFFSET(Grunddaten!$Q$11,El_Produkt,0))/100*$G64+$E64),-1))</f>
        <v>0</v>
      </c>
      <c r="AT64" s="474">
        <f ca="1">IF($G64=0,0,ROUND(OFFSET(Grunddaten!BU11,El_Produkt,0)*((OFFSET(Grunddaten!$AL$11,El_Produkt,0)-OFFSET(Grunddaten!$Q$11,El_Produkt,0))/100*$G64+$E64),-1))</f>
        <v>0</v>
      </c>
      <c r="AU64" s="474">
        <f ca="1">IF($G64=0,0,ROUND(OFFSET(Grunddaten!BV11,El_Produkt,0)*((OFFSET(Grunddaten!$AL$11,El_Produkt,0)-OFFSET(Grunddaten!$Q$11,El_Produkt,0))/100*$G64+$E64),-1))</f>
        <v>0</v>
      </c>
      <c r="AV64" s="474">
        <f ca="1">IF($G64=0,0,ROUND(OFFSET(Grunddaten!BW11,El_Produkt,0)*((OFFSET(Grunddaten!$AL$11,El_Produkt,0)-OFFSET(Grunddaten!$Q$11,El_Produkt,0))/100*$G64+$E64),-1))</f>
        <v>0</v>
      </c>
      <c r="AW64" s="474">
        <f ca="1">IF($G64=0,0,ROUND(OFFSET(Grunddaten!BX11,El_Produkt,0)*((OFFSET(Grunddaten!$AL$11,El_Produkt,0)-OFFSET(Grunddaten!$Q$11,El_Produkt,0))/100*$G64+$E64),-1))</f>
        <v>0</v>
      </c>
      <c r="AX64" s="474">
        <f ca="1">IF($G64=0,0,ROUND(OFFSET(Grunddaten!BY11,El_Produkt,0)*((OFFSET(Grunddaten!$AL$11,El_Produkt,0)-OFFSET(Grunddaten!$Q$11,El_Produkt,0))/100*$G64+$E64),-1))</f>
        <v>0</v>
      </c>
      <c r="AY64" s="474">
        <f ca="1">IF($G64=0,0,ROUND(OFFSET(Grunddaten!BZ11,El_Produkt,0)*((OFFSET(Grunddaten!$AL$11,El_Produkt,0)-OFFSET(Grunddaten!$Q$11,El_Produkt,0))/100*$G64+$E64),-1))</f>
        <v>0</v>
      </c>
      <c r="AZ64" s="474">
        <f ca="1">IF($G64=0,0,ROUND(OFFSET(Grunddaten!CA11,El_Produkt,0)*((OFFSET(Grunddaten!$AL$11,El_Produkt,0)-OFFSET(Grunddaten!$Q$11,El_Produkt,0))/100*$G64+$E64),-1))</f>
        <v>0</v>
      </c>
      <c r="BA64" s="474">
        <f ca="1">IF($G64=0,0,ROUND(OFFSET(Grunddaten!CB11,El_Produkt,0)*((OFFSET(Grunddaten!$AL$11,El_Produkt,0)-OFFSET(Grunddaten!$Q$11,El_Produkt,0))/100*$G64+$E64),-1))</f>
        <v>0</v>
      </c>
      <c r="BB64" s="474">
        <f ca="1">IF($G64=0,0,ROUND(OFFSET(Grunddaten!CC11,El_Produkt,0)*((OFFSET(Grunddaten!$AL$11,El_Produkt,0)-OFFSET(Grunddaten!$Q$11,El_Produkt,0))/100*$G64+$E64),-1))</f>
        <v>0</v>
      </c>
      <c r="BC64" s="474">
        <f ca="1">IF($G64=0,0,ROUND(OFFSET(Grunddaten!CD11,El_Produkt,0)*((OFFSET(Grunddaten!$AL$11,El_Produkt,0)-OFFSET(Grunddaten!$Q$11,El_Produkt,0))/100*$G64+$E64),-1))</f>
        <v>0</v>
      </c>
      <c r="BD64" s="474">
        <f ca="1">IF($G64=0,0,ROUND(OFFSET(Grunddaten!CE11,El_Produkt,0)*((OFFSET(Grunddaten!$AL$11,El_Produkt,0)-OFFSET(Grunddaten!$Q$11,El_Produkt,0))/100*$G64+$E64),-1))</f>
        <v>0</v>
      </c>
      <c r="BE64" s="474">
        <f ca="1">IF($G64=0,0,ROUND(OFFSET(Grunddaten!CF11,El_Produkt,0)*((OFFSET(Grunddaten!$AL$11,El_Produkt,0)-OFFSET(Grunddaten!$Q$11,El_Produkt,0))/100*$G64+$E64),-1))</f>
        <v>0</v>
      </c>
      <c r="BF64" s="474">
        <f ca="1">IF($G64=0,0,ROUND(OFFSET(Grunddaten!CG11,El_Produkt,0)*((OFFSET(Grunddaten!$AL$11,El_Produkt,0)-OFFSET(Grunddaten!$Q$11,El_Produkt,0))/100*$G64+$E64),-1))</f>
        <v>0</v>
      </c>
      <c r="BG64" s="474">
        <f ca="1">IF($G64=0,0,ROUND(OFFSET(Grunddaten!CH11,El_Produkt,0)*((OFFSET(Grunddaten!$AL$11,El_Produkt,0)-OFFSET(Grunddaten!$Q$11,El_Produkt,0))/100*$G64+$E64),-1))</f>
        <v>0</v>
      </c>
      <c r="BH64" s="474">
        <f ca="1">IF($G64=0,0,ROUND(OFFSET(Grunddaten!CI11,El_Produkt,0)*((OFFSET(Grunddaten!$AL$11,El_Produkt,0)-OFFSET(Grunddaten!$Q$11,El_Produkt,0))/100*$G64+$E64),-1))</f>
        <v>0</v>
      </c>
      <c r="BI64" s="474">
        <f ca="1">IF($G64=0,0,ROUND(OFFSET(Grunddaten!CJ11,El_Produkt,0)*((OFFSET(Grunddaten!$AL$11,El_Produkt,0)-OFFSET(Grunddaten!$Q$11,El_Produkt,0))/100*$G64+$E64),-1))</f>
        <v>0</v>
      </c>
      <c r="BJ64" s="474">
        <f ca="1">IF($G64=0,0,ROUND(OFFSET(Grunddaten!CK11,El_Produkt,0)*((OFFSET(Grunddaten!$AL$11,El_Produkt,0)-OFFSET(Grunddaten!$Q$11,El_Produkt,0))/100*$G64+$E64),-1))</f>
        <v>0</v>
      </c>
      <c r="BK64" s="474">
        <f ca="1">IF($G64=0,0,ROUND(OFFSET(Grunddaten!CL11,El_Produkt,0)*((OFFSET(Grunddaten!$AL$11,El_Produkt,0)-OFFSET(Grunddaten!$Q$11,El_Produkt,0))/100*$G64+$E64),-1))</f>
        <v>0</v>
      </c>
      <c r="BL64" s="474">
        <f ca="1">IF($G64=0,0,ROUND(OFFSET(Grunddaten!CM11,El_Produkt,0)*((OFFSET(Grunddaten!$AL$11,El_Produkt,0)-OFFSET(Grunddaten!$Q$11,El_Produkt,0))/100*$G64+$E64),-1))</f>
        <v>0</v>
      </c>
      <c r="BM64" s="474">
        <f ca="1">IF($G64=0,0,ROUND(OFFSET(Grunddaten!CN11,El_Produkt,0)*((OFFSET(Grunddaten!$AL$11,El_Produkt,0)-OFFSET(Grunddaten!$Q$11,El_Produkt,0))/100*$G64+$E64),-1))</f>
        <v>0</v>
      </c>
      <c r="BN64" s="474">
        <f ca="1">IF($G64=0,0,ROUND(OFFSET(Grunddaten!CO11,El_Produkt,0)*((OFFSET(Grunddaten!$AL$11,El_Produkt,0)-OFFSET(Grunddaten!$Q$11,El_Produkt,0))/100*$G64+$E64),-1))</f>
        <v>0</v>
      </c>
      <c r="BO64" s="474">
        <f ca="1">IF($G64=0,0,ROUND(OFFSET(Grunddaten!CP11,El_Produkt,0)*((OFFSET(Grunddaten!$AL$11,El_Produkt,0)-OFFSET(Grunddaten!$Q$11,El_Produkt,0))/100*$G64+$E64),-1))</f>
        <v>0</v>
      </c>
      <c r="BP64" s="474">
        <f ca="1">IF($G64=0,0,ROUND(OFFSET(Grunddaten!CQ11,El_Produkt,0)*((OFFSET(Grunddaten!$AL$11,El_Produkt,0)-OFFSET(Grunddaten!$Q$11,El_Produkt,0))/100*$G64+$E64),-1))</f>
        <v>0</v>
      </c>
      <c r="BQ64" s="475">
        <f ca="1">IF($G64=0,0,ROUND(OFFSET(Grunddaten!CR11,El_Produkt,0)*((OFFSET(Grunddaten!$AL$11,El_Produkt,0)-OFFSET(Grunddaten!$Q$11,El_Produkt,0))/100*$G64+$E64),-1))</f>
        <v>0</v>
      </c>
    </row>
    <row r="65" spans="1:69" s="88" customFormat="1" ht="11.25" customHeight="1" x14ac:dyDescent="0.2">
      <c r="A65" s="512" t="s">
        <v>454</v>
      </c>
      <c r="B65" s="1388"/>
      <c r="C65" s="2559">
        <f>1-C64</f>
        <v>0.30000000000000004</v>
      </c>
      <c r="D65" s="2560"/>
      <c r="E65" s="2475">
        <f>IF(G65,E$61*G65/SUM(G$62:G$65),0)</f>
        <v>0</v>
      </c>
      <c r="F65" s="2476"/>
      <c r="G65" s="2470">
        <f>IF(EV_Var4!$E$67&gt;=0,IF(EV_Var4!$E$67&gt;=(EV_Var4!$E$33 + EV_Var4!$E$37),(EV_Var4!$E$33 + EV_Var4!$E$37),EV_Var4!$E$67),0)*C65</f>
        <v>0</v>
      </c>
      <c r="H65" s="2471"/>
      <c r="I65" s="2472"/>
      <c r="J65" s="2555">
        <f ca="1">OFFSET(Grunddaten!$AM$11,El_Produkt,0)-(1-$R$109)*OFFSET(Grunddaten!$Q$11,El_Produkt,0)</f>
        <v>13.916124</v>
      </c>
      <c r="K65" s="2556"/>
      <c r="L65" s="2531">
        <f t="shared" ca="1" si="4"/>
        <v>0</v>
      </c>
      <c r="M65" s="2532"/>
      <c r="N65" s="2533"/>
      <c r="P65" s="2539"/>
      <c r="Q65" s="2537"/>
      <c r="S65" s="429">
        <f ca="1">IF($G65=0,0,ROUND(OFFSET(Grunddaten!AT11,El_Produkt,0)*((OFFSET(Grunddaten!$AM$11,El_Produkt,0)-OFFSET(Grunddaten!$Q$11,El_Produkt,0))/100*$G65+$E65),-1))</f>
        <v>0</v>
      </c>
      <c r="T65" s="430">
        <f ca="1">IF($G65=0,0,ROUND(OFFSET(Grunddaten!AU11,El_Produkt,0)*((OFFSET(Grunddaten!$AM$11,El_Produkt,0)-OFFSET(Grunddaten!$Q$11,El_Produkt,0))/100*$G65+$E65),-1))</f>
        <v>0</v>
      </c>
      <c r="U65" s="430">
        <f ca="1">IF($G65=0,0,ROUND(OFFSET(Grunddaten!AV11,El_Produkt,0)*((OFFSET(Grunddaten!$AM$11,El_Produkt,0)-OFFSET(Grunddaten!$Q$11,El_Produkt,0))/100*$G65+$E65),-1))</f>
        <v>0</v>
      </c>
      <c r="V65" s="430">
        <f ca="1">IF($G65=0,0,ROUND(OFFSET(Grunddaten!AW11,El_Produkt,0)*((OFFSET(Grunddaten!$AM$11,El_Produkt,0)-OFFSET(Grunddaten!$Q$11,El_Produkt,0))/100*$G65+$E65),-1))</f>
        <v>0</v>
      </c>
      <c r="W65" s="430">
        <f ca="1">IF($G65=0,0,ROUND(OFFSET(Grunddaten!AX11,El_Produkt,0)*((OFFSET(Grunddaten!$AM$11,El_Produkt,0)-OFFSET(Grunddaten!$Q$11,El_Produkt,0))/100*$G65+$E65),-1))</f>
        <v>0</v>
      </c>
      <c r="X65" s="430">
        <f ca="1">IF($G65=0,0,ROUND(OFFSET(Grunddaten!AY11,El_Produkt,0)*((OFFSET(Grunddaten!$AM$11,El_Produkt,0)-OFFSET(Grunddaten!$Q$11,El_Produkt,0))/100*$G65+$E65),-1))</f>
        <v>0</v>
      </c>
      <c r="Y65" s="430">
        <f ca="1">IF($G65=0,0,ROUND(OFFSET(Grunddaten!AZ11,El_Produkt,0)*((OFFSET(Grunddaten!$AM$11,El_Produkt,0)-OFFSET(Grunddaten!$Q$11,El_Produkt,0))/100*$G65+$E65),-1))</f>
        <v>0</v>
      </c>
      <c r="Z65" s="430">
        <f ca="1">IF($G65=0,0,ROUND(OFFSET(Grunddaten!BA11,El_Produkt,0)*((OFFSET(Grunddaten!$AM$11,El_Produkt,0)-OFFSET(Grunddaten!$Q$11,El_Produkt,0))/100*$G65+$E65),-1))</f>
        <v>0</v>
      </c>
      <c r="AA65" s="430">
        <f ca="1">IF($G65=0,0,ROUND(OFFSET(Grunddaten!BB11,El_Produkt,0)*((OFFSET(Grunddaten!$AM$11,El_Produkt,0)-OFFSET(Grunddaten!$Q$11,El_Produkt,0))/100*$G65+$E65),-1))</f>
        <v>0</v>
      </c>
      <c r="AB65" s="476">
        <f ca="1">IF($G65=0,0,ROUND(OFFSET(Grunddaten!BC11,El_Produkt,0)*((OFFSET(Grunddaten!$AM$11,El_Produkt,0)-OFFSET(Grunddaten!$Q$11,El_Produkt,0))/100*$G65+$E65),-1))</f>
        <v>0</v>
      </c>
      <c r="AC65" s="476">
        <f ca="1">IF($G65=0,0,ROUND(OFFSET(Grunddaten!BD11,El_Produkt,0)*((OFFSET(Grunddaten!$AM$11,El_Produkt,0)-OFFSET(Grunddaten!$Q$11,El_Produkt,0))/100*$G65+$E65),-1))</f>
        <v>0</v>
      </c>
      <c r="AD65" s="476">
        <f ca="1">IF($G65=0,0,ROUND(OFFSET(Grunddaten!BE11,El_Produkt,0)*((OFFSET(Grunddaten!$AM$11,El_Produkt,0)-OFFSET(Grunddaten!$Q$11,El_Produkt,0))/100*$G65+$E65),-1))</f>
        <v>0</v>
      </c>
      <c r="AE65" s="476">
        <f ca="1">IF($G65=0,0,ROUND(OFFSET(Grunddaten!BF11,El_Produkt,0)*((OFFSET(Grunddaten!$AM$11,El_Produkt,0)-OFFSET(Grunddaten!$Q$11,El_Produkt,0))/100*$G65+$E65),-1))</f>
        <v>0</v>
      </c>
      <c r="AF65" s="476">
        <f ca="1">IF($G65=0,0,ROUND(OFFSET(Grunddaten!BG11,El_Produkt,0)*((OFFSET(Grunddaten!$AM$11,El_Produkt,0)-OFFSET(Grunddaten!$Q$11,El_Produkt,0))/100*$G65+$E65),-1))</f>
        <v>0</v>
      </c>
      <c r="AG65" s="476">
        <f ca="1">IF($G65=0,0,ROUND(OFFSET(Grunddaten!BH11,El_Produkt,0)*((OFFSET(Grunddaten!$AM$11,El_Produkt,0)-OFFSET(Grunddaten!$Q$11,El_Produkt,0))/100*$G65+$E65),-1))</f>
        <v>0</v>
      </c>
      <c r="AH65" s="477">
        <f ca="1">IF($G65=0,0,ROUND(OFFSET(Grunddaten!BI11,El_Produkt,0)*((OFFSET(Grunddaten!$AM$11,El_Produkt,0)-OFFSET(Grunddaten!$Q$11,El_Produkt,0))/100*$G65+$E65),-1))</f>
        <v>0</v>
      </c>
      <c r="AI65" s="477">
        <f ca="1">IF($G65=0,0,ROUND(OFFSET(Grunddaten!BJ11,El_Produkt,0)*((OFFSET(Grunddaten!$AM$11,El_Produkt,0)-OFFSET(Grunddaten!$Q$11,El_Produkt,0))/100*$G65+$E65),-1))</f>
        <v>0</v>
      </c>
      <c r="AJ65" s="477">
        <f ca="1">IF($G65=0,0,ROUND(OFFSET(Grunddaten!BK11,El_Produkt,0)*((OFFSET(Grunddaten!$AM$11,El_Produkt,0)-OFFSET(Grunddaten!$Q$11,El_Produkt,0))/100*$G65+$E65),-1))</f>
        <v>0</v>
      </c>
      <c r="AK65" s="477">
        <f ca="1">IF($G65=0,0,ROUND(OFFSET(Grunddaten!BL11,El_Produkt,0)*((OFFSET(Grunddaten!$AM$11,El_Produkt,0)-OFFSET(Grunddaten!$Q$11,El_Produkt,0))/100*$G65+$E65),-1))</f>
        <v>0</v>
      </c>
      <c r="AL65" s="477">
        <f ca="1">IF($G65=0,0,ROUND(OFFSET(Grunddaten!BM11,El_Produkt,0)*((OFFSET(Grunddaten!$AM$11,El_Produkt,0)-OFFSET(Grunddaten!$Q$11,El_Produkt,0))/100*$G65+$E65),-1))</f>
        <v>0</v>
      </c>
      <c r="AM65" s="477">
        <f ca="1">IF($G65=0,0,ROUND(OFFSET(Grunddaten!BN11,El_Produkt,0)*((OFFSET(Grunddaten!$AM$11,El_Produkt,0)-OFFSET(Grunddaten!$Q$11,El_Produkt,0))/100*$G65+$E65),-1))</f>
        <v>0</v>
      </c>
      <c r="AN65" s="477">
        <f ca="1">IF($G65=0,0,ROUND(OFFSET(Grunddaten!BO11,El_Produkt,0)*((OFFSET(Grunddaten!$AM$11,El_Produkt,0)-OFFSET(Grunddaten!$Q$11,El_Produkt,0))/100*$G65+$E65),-1))</f>
        <v>0</v>
      </c>
      <c r="AO65" s="477">
        <f ca="1">IF($G65=0,0,ROUND(OFFSET(Grunddaten!BP11,El_Produkt,0)*((OFFSET(Grunddaten!$AM$11,El_Produkt,0)-OFFSET(Grunddaten!$Q$11,El_Produkt,0))/100*$G65+$E65),-1))</f>
        <v>0</v>
      </c>
      <c r="AP65" s="477">
        <f ca="1">IF($G65=0,0,ROUND(OFFSET(Grunddaten!BQ11,El_Produkt,0)*((OFFSET(Grunddaten!$AM$11,El_Produkt,0)-OFFSET(Grunddaten!$Q$11,El_Produkt,0))/100*$G65+$E65),-1))</f>
        <v>0</v>
      </c>
      <c r="AQ65" s="477">
        <f ca="1">IF($G65=0,0,ROUND(OFFSET(Grunddaten!BR11,El_Produkt,0)*((OFFSET(Grunddaten!$AM$11,El_Produkt,0)-OFFSET(Grunddaten!$Q$11,El_Produkt,0))/100*$G65+$E65),-1))</f>
        <v>0</v>
      </c>
      <c r="AR65" s="477">
        <f ca="1">IF($G65=0,0,ROUND(OFFSET(Grunddaten!BS11,El_Produkt,0)*((OFFSET(Grunddaten!$AM$11,El_Produkt,0)-OFFSET(Grunddaten!$Q$11,El_Produkt,0))/100*$G65+$E65),-1))</f>
        <v>0</v>
      </c>
      <c r="AS65" s="477">
        <f ca="1">IF($G65=0,0,ROUND(OFFSET(Grunddaten!BT11,El_Produkt,0)*((OFFSET(Grunddaten!$AM$11,El_Produkt,0)-OFFSET(Grunddaten!$Q$11,El_Produkt,0))/100*$G65+$E65),-1))</f>
        <v>0</v>
      </c>
      <c r="AT65" s="477">
        <f ca="1">IF($G65=0,0,ROUND(OFFSET(Grunddaten!BU11,El_Produkt,0)*((OFFSET(Grunddaten!$AM$11,El_Produkt,0)-OFFSET(Grunddaten!$Q$11,El_Produkt,0))/100*$G65+$E65),-1))</f>
        <v>0</v>
      </c>
      <c r="AU65" s="477">
        <f ca="1">IF($G65=0,0,ROUND(OFFSET(Grunddaten!BV11,El_Produkt,0)*((OFFSET(Grunddaten!$AM$11,El_Produkt,0)-OFFSET(Grunddaten!$Q$11,El_Produkt,0))/100*$G65+$E65),-1))</f>
        <v>0</v>
      </c>
      <c r="AV65" s="477">
        <f ca="1">IF($G65=0,0,ROUND(OFFSET(Grunddaten!BW11,El_Produkt,0)*((OFFSET(Grunddaten!$AM$11,El_Produkt,0)-OFFSET(Grunddaten!$Q$11,El_Produkt,0))/100*$G65+$E65),-1))</f>
        <v>0</v>
      </c>
      <c r="AW65" s="477">
        <f ca="1">IF($G65=0,0,ROUND(OFFSET(Grunddaten!BX11,El_Produkt,0)*((OFFSET(Grunddaten!$AM$11,El_Produkt,0)-OFFSET(Grunddaten!$Q$11,El_Produkt,0))/100*$G65+$E65),-1))</f>
        <v>0</v>
      </c>
      <c r="AX65" s="477">
        <f ca="1">IF($G65=0,0,ROUND(OFFSET(Grunddaten!BY11,El_Produkt,0)*((OFFSET(Grunddaten!$AM$11,El_Produkt,0)-OFFSET(Grunddaten!$Q$11,El_Produkt,0))/100*$G65+$E65),-1))</f>
        <v>0</v>
      </c>
      <c r="AY65" s="477">
        <f ca="1">IF($G65=0,0,ROUND(OFFSET(Grunddaten!BZ11,El_Produkt,0)*((OFFSET(Grunddaten!$AM$11,El_Produkt,0)-OFFSET(Grunddaten!$Q$11,El_Produkt,0))/100*$G65+$E65),-1))</f>
        <v>0</v>
      </c>
      <c r="AZ65" s="477">
        <f ca="1">IF($G65=0,0,ROUND(OFFSET(Grunddaten!CA11,El_Produkt,0)*((OFFSET(Grunddaten!$AM$11,El_Produkt,0)-OFFSET(Grunddaten!$Q$11,El_Produkt,0))/100*$G65+$E65),-1))</f>
        <v>0</v>
      </c>
      <c r="BA65" s="477">
        <f ca="1">IF($G65=0,0,ROUND(OFFSET(Grunddaten!CB11,El_Produkt,0)*((OFFSET(Grunddaten!$AM$11,El_Produkt,0)-OFFSET(Grunddaten!$Q$11,El_Produkt,0))/100*$G65+$E65),-1))</f>
        <v>0</v>
      </c>
      <c r="BB65" s="477">
        <f ca="1">IF($G65=0,0,ROUND(OFFSET(Grunddaten!CC11,El_Produkt,0)*((OFFSET(Grunddaten!$AM$11,El_Produkt,0)-OFFSET(Grunddaten!$Q$11,El_Produkt,0))/100*$G65+$E65),-1))</f>
        <v>0</v>
      </c>
      <c r="BC65" s="477">
        <f ca="1">IF($G65=0,0,ROUND(OFFSET(Grunddaten!CD11,El_Produkt,0)*((OFFSET(Grunddaten!$AM$11,El_Produkt,0)-OFFSET(Grunddaten!$Q$11,El_Produkt,0))/100*$G65+$E65),-1))</f>
        <v>0</v>
      </c>
      <c r="BD65" s="477">
        <f ca="1">IF($G65=0,0,ROUND(OFFSET(Grunddaten!CE11,El_Produkt,0)*((OFFSET(Grunddaten!$AM$11,El_Produkt,0)-OFFSET(Grunddaten!$Q$11,El_Produkt,0))/100*$G65+$E65),-1))</f>
        <v>0</v>
      </c>
      <c r="BE65" s="477">
        <f ca="1">IF($G65=0,0,ROUND(OFFSET(Grunddaten!CF11,El_Produkt,0)*((OFFSET(Grunddaten!$AM$11,El_Produkt,0)-OFFSET(Grunddaten!$Q$11,El_Produkt,0))/100*$G65+$E65),-1))</f>
        <v>0</v>
      </c>
      <c r="BF65" s="477">
        <f ca="1">IF($G65=0,0,ROUND(OFFSET(Grunddaten!CG11,El_Produkt,0)*((OFFSET(Grunddaten!$AM$11,El_Produkt,0)-OFFSET(Grunddaten!$Q$11,El_Produkt,0))/100*$G65+$E65),-1))</f>
        <v>0</v>
      </c>
      <c r="BG65" s="477">
        <f ca="1">IF($G65=0,0,ROUND(OFFSET(Grunddaten!CH11,El_Produkt,0)*((OFFSET(Grunddaten!$AM$11,El_Produkt,0)-OFFSET(Grunddaten!$Q$11,El_Produkt,0))/100*$G65+$E65),-1))</f>
        <v>0</v>
      </c>
      <c r="BH65" s="477">
        <f ca="1">IF($G65=0,0,ROUND(OFFSET(Grunddaten!CI11,El_Produkt,0)*((OFFSET(Grunddaten!$AM$11,El_Produkt,0)-OFFSET(Grunddaten!$Q$11,El_Produkt,0))/100*$G65+$E65),-1))</f>
        <v>0</v>
      </c>
      <c r="BI65" s="477">
        <f ca="1">IF($G65=0,0,ROUND(OFFSET(Grunddaten!CJ11,El_Produkt,0)*((OFFSET(Grunddaten!$AM$11,El_Produkt,0)-OFFSET(Grunddaten!$Q$11,El_Produkt,0))/100*$G65+$E65),-1))</f>
        <v>0</v>
      </c>
      <c r="BJ65" s="477">
        <f ca="1">IF($G65=0,0,ROUND(OFFSET(Grunddaten!CK11,El_Produkt,0)*((OFFSET(Grunddaten!$AM$11,El_Produkt,0)-OFFSET(Grunddaten!$Q$11,El_Produkt,0))/100*$G65+$E65),-1))</f>
        <v>0</v>
      </c>
      <c r="BK65" s="477">
        <f ca="1">IF($G65=0,0,ROUND(OFFSET(Grunddaten!CL11,El_Produkt,0)*((OFFSET(Grunddaten!$AM$11,El_Produkt,0)-OFFSET(Grunddaten!$Q$11,El_Produkt,0))/100*$G65+$E65),-1))</f>
        <v>0</v>
      </c>
      <c r="BL65" s="477">
        <f ca="1">IF($G65=0,0,ROUND(OFFSET(Grunddaten!CM11,El_Produkt,0)*((OFFSET(Grunddaten!$AM$11,El_Produkt,0)-OFFSET(Grunddaten!$Q$11,El_Produkt,0))/100*$G65+$E65),-1))</f>
        <v>0</v>
      </c>
      <c r="BM65" s="477">
        <f ca="1">IF($G65=0,0,ROUND(OFFSET(Grunddaten!CN11,El_Produkt,0)*((OFFSET(Grunddaten!$AM$11,El_Produkt,0)-OFFSET(Grunddaten!$Q$11,El_Produkt,0))/100*$G65+$E65),-1))</f>
        <v>0</v>
      </c>
      <c r="BN65" s="477">
        <f ca="1">IF($G65=0,0,ROUND(OFFSET(Grunddaten!CO11,El_Produkt,0)*((OFFSET(Grunddaten!$AM$11,El_Produkt,0)-OFFSET(Grunddaten!$Q$11,El_Produkt,0))/100*$G65+$E65),-1))</f>
        <v>0</v>
      </c>
      <c r="BO65" s="477">
        <f ca="1">IF($G65=0,0,ROUND(OFFSET(Grunddaten!CP11,El_Produkt,0)*((OFFSET(Grunddaten!$AM$11,El_Produkt,0)-OFFSET(Grunddaten!$Q$11,El_Produkt,0))/100*$G65+$E65),-1))</f>
        <v>0</v>
      </c>
      <c r="BP65" s="477">
        <f ca="1">IF($G65=0,0,ROUND(OFFSET(Grunddaten!CQ11,El_Produkt,0)*((OFFSET(Grunddaten!$AM$11,El_Produkt,0)-OFFSET(Grunddaten!$Q$11,El_Produkt,0))/100*$G65+$E65),-1))</f>
        <v>0</v>
      </c>
      <c r="BQ65" s="478">
        <f ca="1">IF($G65=0,0,ROUND(OFFSET(Grunddaten!CR11,El_Produkt,0)*((OFFSET(Grunddaten!$AM$11,El_Produkt,0)-OFFSET(Grunddaten!$Q$11,El_Produkt,0))/100*$G65+$E65),-1))</f>
        <v>0</v>
      </c>
    </row>
    <row r="66" spans="1:69" s="88" customFormat="1" ht="11.25" customHeight="1" x14ac:dyDescent="0.2">
      <c r="A66" s="511" t="s">
        <v>627</v>
      </c>
      <c r="B66" s="1387"/>
      <c r="C66" s="2557">
        <v>0.9</v>
      </c>
      <c r="D66" s="2558"/>
      <c r="E66" s="2473"/>
      <c r="F66" s="2474"/>
      <c r="G66" s="2463">
        <f>-Berechnungen!$G$55*C66</f>
        <v>0</v>
      </c>
      <c r="H66" s="2464"/>
      <c r="I66" s="2465"/>
      <c r="J66" s="2551">
        <f>Grunddaten!$S$29-(1-$R$109)*Grunddaten!$Q$29</f>
        <v>8.5</v>
      </c>
      <c r="K66" s="2552"/>
      <c r="L66" s="2525">
        <f t="shared" si="4"/>
        <v>0</v>
      </c>
      <c r="M66" s="2526"/>
      <c r="N66" s="2527"/>
      <c r="S66" s="427">
        <f ca="1">ROUND(Grunddaten!AT29*((Grunddaten!$S29-Grunddaten!$Q29)/100*$G66+$E66),-1)</f>
        <v>0</v>
      </c>
      <c r="T66" s="428">
        <f ca="1">ROUND(Grunddaten!AU29*((Grunddaten!$S29-Grunddaten!$Q29)/100*$G66+$E66),-1)</f>
        <v>0</v>
      </c>
      <c r="U66" s="428">
        <f ca="1">ROUND(Grunddaten!AV29*((Grunddaten!$S29-Grunddaten!$Q29)/100*$G66+$E66),-1)</f>
        <v>0</v>
      </c>
      <c r="V66" s="428">
        <f ca="1">ROUND(Grunddaten!AW29*((Grunddaten!$S29-Grunddaten!$Q29)/100*$G66+$E66),-1)</f>
        <v>0</v>
      </c>
      <c r="W66" s="428">
        <f ca="1">ROUND(Grunddaten!AX29*((Grunddaten!$S29-Grunddaten!$Q29)/100*$G66+$E66),-1)</f>
        <v>0</v>
      </c>
      <c r="X66" s="428">
        <f ca="1">ROUND(Grunddaten!AY29*((Grunddaten!$S29-Grunddaten!$Q29)/100*$G66+$E66),-1)</f>
        <v>0</v>
      </c>
      <c r="Y66" s="428">
        <f ca="1">ROUND(Grunddaten!AZ29*((Grunddaten!$S29-Grunddaten!$Q29)/100*$G66+$E66),-1)</f>
        <v>0</v>
      </c>
      <c r="Z66" s="428">
        <f ca="1">ROUND(Grunddaten!BA29*((Grunddaten!$S29-Grunddaten!$Q29)/100*$G66+$E66),-1)</f>
        <v>0</v>
      </c>
      <c r="AA66" s="428">
        <f ca="1">ROUND(Grunddaten!BB29*((Grunddaten!$S29-Grunddaten!$Q29)/100*$G66+$E66),-1)</f>
        <v>0</v>
      </c>
      <c r="AB66" s="473">
        <f ca="1">ROUND(Grunddaten!BC29*((Grunddaten!$S29-Grunddaten!$Q29)/100*$G66+$E66),-1)</f>
        <v>0</v>
      </c>
      <c r="AC66" s="473">
        <f ca="1">ROUND(Grunddaten!BD29*((Grunddaten!$S29-Grunddaten!$Q29)/100*$G66+$E66),-1)</f>
        <v>0</v>
      </c>
      <c r="AD66" s="473">
        <f ca="1">ROUND(Grunddaten!BE29*((Grunddaten!$S29-Grunddaten!$Q29)/100*$G66+$E66),-1)</f>
        <v>0</v>
      </c>
      <c r="AE66" s="473">
        <f ca="1">ROUND(Grunddaten!BF29*((Grunddaten!$S29-Grunddaten!$Q29)/100*$G66+$E66),-1)</f>
        <v>0</v>
      </c>
      <c r="AF66" s="473">
        <f ca="1">ROUND(Grunddaten!BG29*((Grunddaten!$S29-Grunddaten!$Q29)/100*$G66+$E66),-1)</f>
        <v>0</v>
      </c>
      <c r="AG66" s="473">
        <f ca="1">ROUND(Grunddaten!BH29*((Grunddaten!$S29-Grunddaten!$Q29)/100*$G66+$E66),-1)</f>
        <v>0</v>
      </c>
      <c r="AH66" s="474">
        <f ca="1">ROUND(Grunddaten!BI29*((Grunddaten!$S29-Grunddaten!$Q29)/100*$G66+$E66),-1)</f>
        <v>0</v>
      </c>
      <c r="AI66" s="474">
        <f ca="1">ROUND(Grunddaten!BJ29*((Grunddaten!$S29-Grunddaten!$Q29)/100*$G66+$E66),-1)</f>
        <v>0</v>
      </c>
      <c r="AJ66" s="474">
        <f ca="1">ROUND(Grunddaten!BK29*((Grunddaten!$S29-Grunddaten!$Q29)/100*$G66+$E66),-1)</f>
        <v>0</v>
      </c>
      <c r="AK66" s="474">
        <f ca="1">ROUND(Grunddaten!BL29*((Grunddaten!$S29-Grunddaten!$Q29)/100*$G66+$E66),-1)</f>
        <v>0</v>
      </c>
      <c r="AL66" s="474">
        <f ca="1">ROUND(Grunddaten!BM29*((Grunddaten!$S29-Grunddaten!$Q29)/100*$G66+$E66),-1)</f>
        <v>0</v>
      </c>
      <c r="AM66" s="474">
        <f ca="1">ROUND(Grunddaten!BN29*((Grunddaten!$S29-Grunddaten!$Q29)/100*$G66+$E66),-1)</f>
        <v>0</v>
      </c>
      <c r="AN66" s="474">
        <f ca="1">ROUND(Grunddaten!BO29*((Grunddaten!$S29-Grunddaten!$Q29)/100*$G66+$E66),-1)</f>
        <v>0</v>
      </c>
      <c r="AO66" s="474">
        <f ca="1">ROUND(Grunddaten!BP29*((Grunddaten!$S29-Grunddaten!$Q29)/100*$G66+$E66),-1)</f>
        <v>0</v>
      </c>
      <c r="AP66" s="474">
        <f ca="1">ROUND(Grunddaten!BQ29*((Grunddaten!$S29-Grunddaten!$Q29)/100*$G66+$E66),-1)</f>
        <v>0</v>
      </c>
      <c r="AQ66" s="474">
        <f ca="1">ROUND(Grunddaten!BR29*((Grunddaten!$S29-Grunddaten!$Q29)/100*$G66+$E66),-1)</f>
        <v>0</v>
      </c>
      <c r="AR66" s="474">
        <f ca="1">ROUND(Grunddaten!BS29*((Grunddaten!$S29-Grunddaten!$Q29)/100*$G66+$E66),-1)</f>
        <v>0</v>
      </c>
      <c r="AS66" s="474">
        <f ca="1">ROUND(Grunddaten!BT29*((Grunddaten!$S29-Grunddaten!$Q29)/100*$G66+$E66),-1)</f>
        <v>0</v>
      </c>
      <c r="AT66" s="474">
        <f ca="1">ROUND(Grunddaten!BU29*((Grunddaten!$S29-Grunddaten!$Q29)/100*$G66+$E66),-1)</f>
        <v>0</v>
      </c>
      <c r="AU66" s="474">
        <f ca="1">ROUND(Grunddaten!BV29*((Grunddaten!$S29-Grunddaten!$Q29)/100*$G66+$E66),-1)</f>
        <v>0</v>
      </c>
      <c r="AV66" s="474">
        <f ca="1">ROUND(Grunddaten!BW29*((Grunddaten!$S29-Grunddaten!$Q29)/100*$G66+$E66),-1)</f>
        <v>0</v>
      </c>
      <c r="AW66" s="474">
        <f ca="1">ROUND(Grunddaten!BX29*((Grunddaten!$S29-Grunddaten!$Q29)/100*$G66+$E66),-1)</f>
        <v>0</v>
      </c>
      <c r="AX66" s="474">
        <f ca="1">ROUND(Grunddaten!BY29*((Grunddaten!$S29-Grunddaten!$Q29)/100*$G66+$E66),-1)</f>
        <v>0</v>
      </c>
      <c r="AY66" s="474">
        <f ca="1">ROUND(Grunddaten!BZ29*((Grunddaten!$S29-Grunddaten!$Q29)/100*$G66+$E66),-1)</f>
        <v>0</v>
      </c>
      <c r="AZ66" s="474">
        <f ca="1">ROUND(Grunddaten!CA29*((Grunddaten!$S29-Grunddaten!$Q29)/100*$G66+$E66),-1)</f>
        <v>0</v>
      </c>
      <c r="BA66" s="474">
        <f ca="1">ROUND(Grunddaten!CB29*((Grunddaten!$S29-Grunddaten!$Q29)/100*$G66+$E66),-1)</f>
        <v>0</v>
      </c>
      <c r="BB66" s="474">
        <f ca="1">ROUND(Grunddaten!CC29*((Grunddaten!$S29-Grunddaten!$Q29)/100*$G66+$E66),-1)</f>
        <v>0</v>
      </c>
      <c r="BC66" s="474">
        <f ca="1">ROUND(Grunddaten!CD29*((Grunddaten!$S29-Grunddaten!$Q29)/100*$G66+$E66),-1)</f>
        <v>0</v>
      </c>
      <c r="BD66" s="474">
        <f ca="1">ROUND(Grunddaten!CE29*((Grunddaten!$S29-Grunddaten!$Q29)/100*$G66+$E66),-1)</f>
        <v>0</v>
      </c>
      <c r="BE66" s="474">
        <f ca="1">ROUND(Grunddaten!CF29*((Grunddaten!$S29-Grunddaten!$Q29)/100*$G66+$E66),-1)</f>
        <v>0</v>
      </c>
      <c r="BF66" s="474">
        <f ca="1">ROUND(Grunddaten!CG29*((Grunddaten!$S29-Grunddaten!$Q29)/100*$G66+$E66),-1)</f>
        <v>0</v>
      </c>
      <c r="BG66" s="474">
        <f ca="1">ROUND(Grunddaten!CH29*((Grunddaten!$S29-Grunddaten!$Q29)/100*$G66+$E66),-1)</f>
        <v>0</v>
      </c>
      <c r="BH66" s="474">
        <f ca="1">ROUND(Grunddaten!CI29*((Grunddaten!$S29-Grunddaten!$Q29)/100*$G66+$E66),-1)</f>
        <v>0</v>
      </c>
      <c r="BI66" s="474">
        <f ca="1">ROUND(Grunddaten!CJ29*((Grunddaten!$S29-Grunddaten!$Q29)/100*$G66+$E66),-1)</f>
        <v>0</v>
      </c>
      <c r="BJ66" s="474">
        <f ca="1">ROUND(Grunddaten!CK29*((Grunddaten!$S29-Grunddaten!$Q29)/100*$G66+$E66),-1)</f>
        <v>0</v>
      </c>
      <c r="BK66" s="474">
        <f ca="1">ROUND(Grunddaten!CL29*((Grunddaten!$S29-Grunddaten!$Q29)/100*$G66+$E66),-1)</f>
        <v>0</v>
      </c>
      <c r="BL66" s="474">
        <f ca="1">ROUND(Grunddaten!CM29*((Grunddaten!$S29-Grunddaten!$Q29)/100*$G66+$E66),-1)</f>
        <v>0</v>
      </c>
      <c r="BM66" s="474">
        <f ca="1">ROUND(Grunddaten!CN29*((Grunddaten!$S29-Grunddaten!$Q29)/100*$G66+$E66),-1)</f>
        <v>0</v>
      </c>
      <c r="BN66" s="474">
        <f ca="1">ROUND(Grunddaten!CO29*((Grunddaten!$S29-Grunddaten!$Q29)/100*$G66+$E66),-1)</f>
        <v>0</v>
      </c>
      <c r="BO66" s="474">
        <f ca="1">ROUND(Grunddaten!CP29*((Grunddaten!$S29-Grunddaten!$Q29)/100*$G66+$E66),-1)</f>
        <v>0</v>
      </c>
      <c r="BP66" s="474">
        <f ca="1">ROUND(Grunddaten!CQ29*((Grunddaten!$S29-Grunddaten!$Q29)/100*$G66+$E66),-1)</f>
        <v>0</v>
      </c>
      <c r="BQ66" s="475">
        <f ca="1">ROUND(Grunddaten!CR29*((Grunddaten!$S29-Grunddaten!$Q29)/100*$G66+$E66),-1)</f>
        <v>0</v>
      </c>
    </row>
    <row r="67" spans="1:69" s="88" customFormat="1" ht="11.25" customHeight="1" x14ac:dyDescent="0.2">
      <c r="A67" s="512" t="s">
        <v>628</v>
      </c>
      <c r="B67" s="1388"/>
      <c r="C67" s="2559">
        <f>1-C66</f>
        <v>9.9999999999999978E-2</v>
      </c>
      <c r="D67" s="2560"/>
      <c r="E67" s="2475"/>
      <c r="F67" s="2476"/>
      <c r="G67" s="2470">
        <f>-Berechnungen!$G$55*C67</f>
        <v>0</v>
      </c>
      <c r="H67" s="2471"/>
      <c r="I67" s="2472"/>
      <c r="J67" s="2555">
        <f>Grunddaten!$S$30-(1-$R$109)*Grunddaten!$Q$29</f>
        <v>4.45</v>
      </c>
      <c r="K67" s="2556"/>
      <c r="L67" s="2531">
        <f t="shared" si="4"/>
        <v>0</v>
      </c>
      <c r="M67" s="2532"/>
      <c r="N67" s="2533"/>
      <c r="P67" s="268"/>
      <c r="Q67" s="268"/>
      <c r="S67" s="429">
        <f ca="1">ROUND(Grunddaten!AT30*((Grunddaten!$S30-Grunddaten!$Q29)/100*$G67+$E67),-1)</f>
        <v>0</v>
      </c>
      <c r="T67" s="430">
        <f ca="1">ROUND(Grunddaten!AU30*((Grunddaten!$S30-Grunddaten!$Q29)/100*$G67+$E67),-1)</f>
        <v>0</v>
      </c>
      <c r="U67" s="430">
        <f ca="1">ROUND(Grunddaten!AV30*((Grunddaten!$S30-Grunddaten!$Q29)/100*$G67+$E67),-1)</f>
        <v>0</v>
      </c>
      <c r="V67" s="430">
        <f ca="1">ROUND(Grunddaten!AW30*((Grunddaten!$S30-Grunddaten!$Q29)/100*$G67+$E67),-1)</f>
        <v>0</v>
      </c>
      <c r="W67" s="430">
        <f ca="1">ROUND(Grunddaten!AX30*((Grunddaten!$S30-Grunddaten!$Q29)/100*$G67+$E67),-1)</f>
        <v>0</v>
      </c>
      <c r="X67" s="430">
        <f ca="1">ROUND(Grunddaten!AY30*((Grunddaten!$S30-Grunddaten!$Q29)/100*$G67+$E67),-1)</f>
        <v>0</v>
      </c>
      <c r="Y67" s="430">
        <f ca="1">ROUND(Grunddaten!AZ30*((Grunddaten!$S30-Grunddaten!$Q29)/100*$G67+$E67),-1)</f>
        <v>0</v>
      </c>
      <c r="Z67" s="430">
        <f ca="1">ROUND(Grunddaten!BA30*((Grunddaten!$S30-Grunddaten!$Q29)/100*$G67+$E67),-1)</f>
        <v>0</v>
      </c>
      <c r="AA67" s="430">
        <f ca="1">ROUND(Grunddaten!BB30*((Grunddaten!$S30-Grunddaten!$Q29)/100*$G67+$E67),-1)</f>
        <v>0</v>
      </c>
      <c r="AB67" s="476">
        <f ca="1">ROUND(Grunddaten!BC30*((Grunddaten!$S30-Grunddaten!$Q29)/100*$G67+$E67),-1)</f>
        <v>0</v>
      </c>
      <c r="AC67" s="476">
        <f ca="1">ROUND(Grunddaten!BD30*((Grunddaten!$S30-Grunddaten!$Q29)/100*$G67+$E67),-1)</f>
        <v>0</v>
      </c>
      <c r="AD67" s="476">
        <f ca="1">ROUND(Grunddaten!BE30*((Grunddaten!$S30-Grunddaten!$Q29)/100*$G67+$E67),-1)</f>
        <v>0</v>
      </c>
      <c r="AE67" s="476">
        <f ca="1">ROUND(Grunddaten!BF30*((Grunddaten!$S30-Grunddaten!$Q29)/100*$G67+$E67),-1)</f>
        <v>0</v>
      </c>
      <c r="AF67" s="476">
        <f ca="1">ROUND(Grunddaten!BG30*((Grunddaten!$S30-Grunddaten!$Q29)/100*$G67+$E67),-1)</f>
        <v>0</v>
      </c>
      <c r="AG67" s="476">
        <f ca="1">ROUND(Grunddaten!BH30*((Grunddaten!$S30-Grunddaten!$Q29)/100*$G67+$E67),-1)</f>
        <v>0</v>
      </c>
      <c r="AH67" s="477">
        <f ca="1">ROUND(Grunddaten!BI30*((Grunddaten!$S30-Grunddaten!$Q29)/100*$G67+$E67),-1)</f>
        <v>0</v>
      </c>
      <c r="AI67" s="477">
        <f ca="1">ROUND(Grunddaten!BJ30*((Grunddaten!$S30-Grunddaten!$Q29)/100*$G67+$E67),-1)</f>
        <v>0</v>
      </c>
      <c r="AJ67" s="477">
        <f ca="1">ROUND(Grunddaten!BK30*((Grunddaten!$S30-Grunddaten!$Q29)/100*$G67+$E67),-1)</f>
        <v>0</v>
      </c>
      <c r="AK67" s="477">
        <f ca="1">ROUND(Grunddaten!BL30*((Grunddaten!$S30-Grunddaten!$Q29)/100*$G67+$E67),-1)</f>
        <v>0</v>
      </c>
      <c r="AL67" s="477">
        <f ca="1">ROUND(Grunddaten!BM30*((Grunddaten!$S30-Grunddaten!$Q29)/100*$G67+$E67),-1)</f>
        <v>0</v>
      </c>
      <c r="AM67" s="477">
        <f ca="1">ROUND(Grunddaten!BN30*((Grunddaten!$S30-Grunddaten!$Q29)/100*$G67+$E67),-1)</f>
        <v>0</v>
      </c>
      <c r="AN67" s="477">
        <f ca="1">ROUND(Grunddaten!BO30*((Grunddaten!$S30-Grunddaten!$Q29)/100*$G67+$E67),-1)</f>
        <v>0</v>
      </c>
      <c r="AO67" s="477">
        <f ca="1">ROUND(Grunddaten!BP30*((Grunddaten!$S30-Grunddaten!$Q29)/100*$G67+$E67),-1)</f>
        <v>0</v>
      </c>
      <c r="AP67" s="477">
        <f ca="1">ROUND(Grunddaten!BQ30*((Grunddaten!$S30-Grunddaten!$Q29)/100*$G67+$E67),-1)</f>
        <v>0</v>
      </c>
      <c r="AQ67" s="477">
        <f ca="1">ROUND(Grunddaten!BR30*((Grunddaten!$S30-Grunddaten!$Q29)/100*$G67+$E67),-1)</f>
        <v>0</v>
      </c>
      <c r="AR67" s="477">
        <f ca="1">ROUND(Grunddaten!BS30*((Grunddaten!$S30-Grunddaten!$Q29)/100*$G67+$E67),-1)</f>
        <v>0</v>
      </c>
      <c r="AS67" s="477">
        <f ca="1">ROUND(Grunddaten!BT30*((Grunddaten!$S30-Grunddaten!$Q29)/100*$G67+$E67),-1)</f>
        <v>0</v>
      </c>
      <c r="AT67" s="477">
        <f ca="1">ROUND(Grunddaten!BU30*((Grunddaten!$S30-Grunddaten!$Q29)/100*$G67+$E67),-1)</f>
        <v>0</v>
      </c>
      <c r="AU67" s="477">
        <f ca="1">ROUND(Grunddaten!BV30*((Grunddaten!$S30-Grunddaten!$Q29)/100*$G67+$E67),-1)</f>
        <v>0</v>
      </c>
      <c r="AV67" s="477">
        <f ca="1">ROUND(Grunddaten!BW30*((Grunddaten!$S30-Grunddaten!$Q29)/100*$G67+$E67),-1)</f>
        <v>0</v>
      </c>
      <c r="AW67" s="477">
        <f ca="1">ROUND(Grunddaten!BX30*((Grunddaten!$S30-Grunddaten!$Q29)/100*$G67+$E67),-1)</f>
        <v>0</v>
      </c>
      <c r="AX67" s="477">
        <f ca="1">ROUND(Grunddaten!BY30*((Grunddaten!$S30-Grunddaten!$Q29)/100*$G67+$E67),-1)</f>
        <v>0</v>
      </c>
      <c r="AY67" s="477">
        <f ca="1">ROUND(Grunddaten!BZ30*((Grunddaten!$S30-Grunddaten!$Q29)/100*$G67+$E67),-1)</f>
        <v>0</v>
      </c>
      <c r="AZ67" s="477">
        <f ca="1">ROUND(Grunddaten!CA30*((Grunddaten!$S30-Grunddaten!$Q29)/100*$G67+$E67),-1)</f>
        <v>0</v>
      </c>
      <c r="BA67" s="477">
        <f ca="1">ROUND(Grunddaten!CB30*((Grunddaten!$S30-Grunddaten!$Q29)/100*$G67+$E67),-1)</f>
        <v>0</v>
      </c>
      <c r="BB67" s="477">
        <f ca="1">ROUND(Grunddaten!CC30*((Grunddaten!$S30-Grunddaten!$Q29)/100*$G67+$E67),-1)</f>
        <v>0</v>
      </c>
      <c r="BC67" s="477">
        <f ca="1">ROUND(Grunddaten!CD30*((Grunddaten!$S30-Grunddaten!$Q29)/100*$G67+$E67),-1)</f>
        <v>0</v>
      </c>
      <c r="BD67" s="477">
        <f ca="1">ROUND(Grunddaten!CE30*((Grunddaten!$S30-Grunddaten!$Q29)/100*$G67+$E67),-1)</f>
        <v>0</v>
      </c>
      <c r="BE67" s="477">
        <f ca="1">ROUND(Grunddaten!CF30*((Grunddaten!$S30-Grunddaten!$Q29)/100*$G67+$E67),-1)</f>
        <v>0</v>
      </c>
      <c r="BF67" s="477">
        <f ca="1">ROUND(Grunddaten!CG30*((Grunddaten!$S30-Grunddaten!$Q29)/100*$G67+$E67),-1)</f>
        <v>0</v>
      </c>
      <c r="BG67" s="477">
        <f ca="1">ROUND(Grunddaten!CH30*((Grunddaten!$S30-Grunddaten!$Q29)/100*$G67+$E67),-1)</f>
        <v>0</v>
      </c>
      <c r="BH67" s="477">
        <f ca="1">ROUND(Grunddaten!CI30*((Grunddaten!$S30-Grunddaten!$Q29)/100*$G67+$E67),-1)</f>
        <v>0</v>
      </c>
      <c r="BI67" s="477">
        <f ca="1">ROUND(Grunddaten!CJ30*((Grunddaten!$S30-Grunddaten!$Q29)/100*$G67+$E67),-1)</f>
        <v>0</v>
      </c>
      <c r="BJ67" s="477">
        <f ca="1">ROUND(Grunddaten!CK30*((Grunddaten!$S30-Grunddaten!$Q29)/100*$G67+$E67),-1)</f>
        <v>0</v>
      </c>
      <c r="BK67" s="477">
        <f ca="1">ROUND(Grunddaten!CL30*((Grunddaten!$S30-Grunddaten!$Q29)/100*$G67+$E67),-1)</f>
        <v>0</v>
      </c>
      <c r="BL67" s="477">
        <f ca="1">ROUND(Grunddaten!CM30*((Grunddaten!$S30-Grunddaten!$Q29)/100*$G67+$E67),-1)</f>
        <v>0</v>
      </c>
      <c r="BM67" s="477">
        <f ca="1">ROUND(Grunddaten!CN30*((Grunddaten!$S30-Grunddaten!$Q29)/100*$G67+$E67),-1)</f>
        <v>0</v>
      </c>
      <c r="BN67" s="477">
        <f ca="1">ROUND(Grunddaten!CO30*((Grunddaten!$S30-Grunddaten!$Q29)/100*$G67+$E67),-1)</f>
        <v>0</v>
      </c>
      <c r="BO67" s="477">
        <f ca="1">ROUND(Grunddaten!CP30*((Grunddaten!$S30-Grunddaten!$Q29)/100*$G67+$E67),-1)</f>
        <v>0</v>
      </c>
      <c r="BP67" s="477">
        <f ca="1">ROUND(Grunddaten!CQ30*((Grunddaten!$S30-Grunddaten!$Q29)/100*$G67+$E67),-1)</f>
        <v>0</v>
      </c>
      <c r="BQ67" s="478">
        <f ca="1">ROUND(Grunddaten!CR30*((Grunddaten!$S30-Grunddaten!$Q29)/100*$G67+$E67),-1)</f>
        <v>0</v>
      </c>
    </row>
    <row r="68" spans="1:69" s="88" customFormat="1" ht="11.25" customHeight="1" x14ac:dyDescent="0.2">
      <c r="A68" s="511" t="s">
        <v>629</v>
      </c>
      <c r="B68" s="1387"/>
      <c r="C68" s="2557">
        <v>0.7</v>
      </c>
      <c r="D68" s="2558"/>
      <c r="E68" s="2473"/>
      <c r="F68" s="2474"/>
      <c r="G68" s="2463">
        <f>-Berechnungen!$G$54*C68</f>
        <v>0</v>
      </c>
      <c r="H68" s="2464"/>
      <c r="I68" s="2465"/>
      <c r="J68" s="2551">
        <f>Grunddaten!$S$31-(1-$R$109)*Grunddaten!$Q$31</f>
        <v>8.5</v>
      </c>
      <c r="K68" s="2552"/>
      <c r="L68" s="2525">
        <f t="shared" ref="L68:L69" si="5">ROUND(E68+G68*J68/100,-1)</f>
        <v>0</v>
      </c>
      <c r="M68" s="2526"/>
      <c r="N68" s="2527"/>
      <c r="S68" s="427">
        <f ca="1">ROUND(Grunddaten!AT31*((Grunddaten!$S31-Grunddaten!$Q31)/100*$G68+$E68),-1)</f>
        <v>0</v>
      </c>
      <c r="T68" s="428">
        <f ca="1">ROUND(Grunddaten!AU31*((Grunddaten!$S31-Grunddaten!$Q31)/100*$G68+$E68),-1)</f>
        <v>0</v>
      </c>
      <c r="U68" s="428">
        <f ca="1">ROUND(Grunddaten!AV31*((Grunddaten!$S31-Grunddaten!$Q31)/100*$G68+$E68),-1)</f>
        <v>0</v>
      </c>
      <c r="V68" s="428">
        <f ca="1">ROUND(Grunddaten!AW31*((Grunddaten!$S31-Grunddaten!$Q31)/100*$G68+$E68),-1)</f>
        <v>0</v>
      </c>
      <c r="W68" s="428">
        <f ca="1">ROUND(Grunddaten!AX31*((Grunddaten!$S31-Grunddaten!$Q31)/100*$G68+$E68),-1)</f>
        <v>0</v>
      </c>
      <c r="X68" s="428">
        <f ca="1">ROUND(Grunddaten!AY31*((Grunddaten!$S31-Grunddaten!$Q31)/100*$G68+$E68),-1)</f>
        <v>0</v>
      </c>
      <c r="Y68" s="428">
        <f ca="1">ROUND(Grunddaten!AZ31*((Grunddaten!$S31-Grunddaten!$Q31)/100*$G68+$E68),-1)</f>
        <v>0</v>
      </c>
      <c r="Z68" s="428">
        <f ca="1">ROUND(Grunddaten!BA31*((Grunddaten!$S31-Grunddaten!$Q31)/100*$G68+$E68),-1)</f>
        <v>0</v>
      </c>
      <c r="AA68" s="428">
        <f ca="1">ROUND(Grunddaten!BB31*((Grunddaten!$S31-Grunddaten!$Q31)/100*$G68+$E68),-1)</f>
        <v>0</v>
      </c>
      <c r="AB68" s="473">
        <f ca="1">ROUND(Grunddaten!BC31*((Grunddaten!$S31-Grunddaten!$Q31)/100*$G68+$E68),-1)</f>
        <v>0</v>
      </c>
      <c r="AC68" s="473">
        <f ca="1">ROUND(Grunddaten!BD31*((Grunddaten!$S31-Grunddaten!$Q31)/100*$G68+$E68),-1)</f>
        <v>0</v>
      </c>
      <c r="AD68" s="473">
        <f ca="1">ROUND(Grunddaten!BE31*((Grunddaten!$S31-Grunddaten!$Q31)/100*$G68+$E68),-1)</f>
        <v>0</v>
      </c>
      <c r="AE68" s="473">
        <f ca="1">ROUND(Grunddaten!BF31*((Grunddaten!$S31-Grunddaten!$Q31)/100*$G68+$E68),-1)</f>
        <v>0</v>
      </c>
      <c r="AF68" s="473">
        <f ca="1">ROUND(Grunddaten!BG31*((Grunddaten!$S31-Grunddaten!$Q31)/100*$G68+$E68),-1)</f>
        <v>0</v>
      </c>
      <c r="AG68" s="473">
        <f ca="1">ROUND(Grunddaten!BH31*((Grunddaten!$S31-Grunddaten!$Q31)/100*$G68+$E68),-1)</f>
        <v>0</v>
      </c>
      <c r="AH68" s="474">
        <f ca="1">ROUND(Grunddaten!BI31*((Grunddaten!$S31-Grunddaten!$Q31)/100*$G68+$E68),-1)</f>
        <v>0</v>
      </c>
      <c r="AI68" s="474">
        <f ca="1">ROUND(Grunddaten!BJ31*((Grunddaten!$S31-Grunddaten!$Q31)/100*$G68+$E68),-1)</f>
        <v>0</v>
      </c>
      <c r="AJ68" s="474">
        <f ca="1">ROUND(Grunddaten!BK31*((Grunddaten!$S31-Grunddaten!$Q31)/100*$G68+$E68),-1)</f>
        <v>0</v>
      </c>
      <c r="AK68" s="474">
        <f ca="1">ROUND(Grunddaten!BL31*((Grunddaten!$S31-Grunddaten!$Q31)/100*$G68+$E68),-1)</f>
        <v>0</v>
      </c>
      <c r="AL68" s="474">
        <f ca="1">ROUND(Grunddaten!BM31*((Grunddaten!$S31-Grunddaten!$Q31)/100*$G68+$E68),-1)</f>
        <v>0</v>
      </c>
      <c r="AM68" s="474">
        <f ca="1">ROUND(Grunddaten!BN31*((Grunddaten!$S31-Grunddaten!$Q31)/100*$G68+$E68),-1)</f>
        <v>0</v>
      </c>
      <c r="AN68" s="474">
        <f ca="1">ROUND(Grunddaten!BO31*((Grunddaten!$S31-Grunddaten!$Q31)/100*$G68+$E68),-1)</f>
        <v>0</v>
      </c>
      <c r="AO68" s="474">
        <f ca="1">ROUND(Grunddaten!BP31*((Grunddaten!$S31-Grunddaten!$Q31)/100*$G68+$E68),-1)</f>
        <v>0</v>
      </c>
      <c r="AP68" s="474">
        <f ca="1">ROUND(Grunddaten!BQ31*((Grunddaten!$S31-Grunddaten!$Q31)/100*$G68+$E68),-1)</f>
        <v>0</v>
      </c>
      <c r="AQ68" s="474">
        <f ca="1">ROUND(Grunddaten!BR31*((Grunddaten!$S31-Grunddaten!$Q31)/100*$G68+$E68),-1)</f>
        <v>0</v>
      </c>
      <c r="AR68" s="474">
        <f ca="1">ROUND(Grunddaten!BS31*((Grunddaten!$S31-Grunddaten!$Q31)/100*$G68+$E68),-1)</f>
        <v>0</v>
      </c>
      <c r="AS68" s="474">
        <f ca="1">ROUND(Grunddaten!BT31*((Grunddaten!$S31-Grunddaten!$Q31)/100*$G68+$E68),-1)</f>
        <v>0</v>
      </c>
      <c r="AT68" s="474">
        <f ca="1">ROUND(Grunddaten!BU31*((Grunddaten!$S31-Grunddaten!$Q31)/100*$G68+$E68),-1)</f>
        <v>0</v>
      </c>
      <c r="AU68" s="474">
        <f ca="1">ROUND(Grunddaten!BV31*((Grunddaten!$S31-Grunddaten!$Q31)/100*$G68+$E68),-1)</f>
        <v>0</v>
      </c>
      <c r="AV68" s="474">
        <f ca="1">ROUND(Grunddaten!BW31*((Grunddaten!$S31-Grunddaten!$Q31)/100*$G68+$E68),-1)</f>
        <v>0</v>
      </c>
      <c r="AW68" s="474">
        <f ca="1">ROUND(Grunddaten!BX31*((Grunddaten!$S31-Grunddaten!$Q31)/100*$G68+$E68),-1)</f>
        <v>0</v>
      </c>
      <c r="AX68" s="474">
        <f ca="1">ROUND(Grunddaten!BY31*((Grunddaten!$S31-Grunddaten!$Q31)/100*$G68+$E68),-1)</f>
        <v>0</v>
      </c>
      <c r="AY68" s="474">
        <f ca="1">ROUND(Grunddaten!BZ31*((Grunddaten!$S31-Grunddaten!$Q31)/100*$G68+$E68),-1)</f>
        <v>0</v>
      </c>
      <c r="AZ68" s="474">
        <f ca="1">ROUND(Grunddaten!CA31*((Grunddaten!$S31-Grunddaten!$Q31)/100*$G68+$E68),-1)</f>
        <v>0</v>
      </c>
      <c r="BA68" s="474">
        <f ca="1">ROUND(Grunddaten!CB31*((Grunddaten!$S31-Grunddaten!$Q31)/100*$G68+$E68),-1)</f>
        <v>0</v>
      </c>
      <c r="BB68" s="474">
        <f ca="1">ROUND(Grunddaten!CC31*((Grunddaten!$S31-Grunddaten!$Q31)/100*$G68+$E68),-1)</f>
        <v>0</v>
      </c>
      <c r="BC68" s="474">
        <f ca="1">ROUND(Grunddaten!CD31*((Grunddaten!$S31-Grunddaten!$Q31)/100*$G68+$E68),-1)</f>
        <v>0</v>
      </c>
      <c r="BD68" s="474">
        <f ca="1">ROUND(Grunddaten!CE31*((Grunddaten!$S31-Grunddaten!$Q31)/100*$G68+$E68),-1)</f>
        <v>0</v>
      </c>
      <c r="BE68" s="474">
        <f ca="1">ROUND(Grunddaten!CF31*((Grunddaten!$S31-Grunddaten!$Q31)/100*$G68+$E68),-1)</f>
        <v>0</v>
      </c>
      <c r="BF68" s="474">
        <f ca="1">ROUND(Grunddaten!CG31*((Grunddaten!$S31-Grunddaten!$Q31)/100*$G68+$E68),-1)</f>
        <v>0</v>
      </c>
      <c r="BG68" s="474">
        <f ca="1">ROUND(Grunddaten!CH31*((Grunddaten!$S31-Grunddaten!$Q31)/100*$G68+$E68),-1)</f>
        <v>0</v>
      </c>
      <c r="BH68" s="474">
        <f ca="1">ROUND(Grunddaten!CI31*((Grunddaten!$S31-Grunddaten!$Q31)/100*$G68+$E68),-1)</f>
        <v>0</v>
      </c>
      <c r="BI68" s="474">
        <f ca="1">ROUND(Grunddaten!CJ31*((Grunddaten!$S31-Grunddaten!$Q31)/100*$G68+$E68),-1)</f>
        <v>0</v>
      </c>
      <c r="BJ68" s="474">
        <f ca="1">ROUND(Grunddaten!CK31*((Grunddaten!$S31-Grunddaten!$Q31)/100*$G68+$E68),-1)</f>
        <v>0</v>
      </c>
      <c r="BK68" s="474">
        <f ca="1">ROUND(Grunddaten!CL31*((Grunddaten!$S31-Grunddaten!$Q31)/100*$G68+$E68),-1)</f>
        <v>0</v>
      </c>
      <c r="BL68" s="474">
        <f ca="1">ROUND(Grunddaten!CM31*((Grunddaten!$S31-Grunddaten!$Q31)/100*$G68+$E68),-1)</f>
        <v>0</v>
      </c>
      <c r="BM68" s="474">
        <f ca="1">ROUND(Grunddaten!CN31*((Grunddaten!$S31-Grunddaten!$Q31)/100*$G68+$E68),-1)</f>
        <v>0</v>
      </c>
      <c r="BN68" s="474">
        <f ca="1">ROUND(Grunddaten!CO31*((Grunddaten!$S31-Grunddaten!$Q31)/100*$G68+$E68),-1)</f>
        <v>0</v>
      </c>
      <c r="BO68" s="474">
        <f ca="1">ROUND(Grunddaten!CP31*((Grunddaten!$S31-Grunddaten!$Q31)/100*$G68+$E68),-1)</f>
        <v>0</v>
      </c>
      <c r="BP68" s="474">
        <f ca="1">ROUND(Grunddaten!CQ31*((Grunddaten!$S31-Grunddaten!$Q31)/100*$G68+$E68),-1)</f>
        <v>0</v>
      </c>
      <c r="BQ68" s="475">
        <f ca="1">ROUND(Grunddaten!CR31*((Grunddaten!$S31-Grunddaten!$Q31)/100*$G68+$E68),-1)</f>
        <v>0</v>
      </c>
    </row>
    <row r="69" spans="1:69" s="88" customFormat="1" ht="11.25" customHeight="1" x14ac:dyDescent="0.2">
      <c r="A69" s="512" t="s">
        <v>630</v>
      </c>
      <c r="B69" s="1388"/>
      <c r="C69" s="2559">
        <f>1-C68</f>
        <v>0.30000000000000004</v>
      </c>
      <c r="D69" s="2560"/>
      <c r="E69" s="2475"/>
      <c r="F69" s="2476"/>
      <c r="G69" s="2470">
        <f>-Berechnungen!$G$54*C69</f>
        <v>0</v>
      </c>
      <c r="H69" s="2471"/>
      <c r="I69" s="2472"/>
      <c r="J69" s="2555">
        <f>Grunddaten!$S$32-(1-$R$109)*Grunddaten!$Q$31</f>
        <v>4.45</v>
      </c>
      <c r="K69" s="2556"/>
      <c r="L69" s="2531">
        <f t="shared" si="5"/>
        <v>0</v>
      </c>
      <c r="M69" s="2532"/>
      <c r="N69" s="2533"/>
      <c r="P69" s="1359"/>
      <c r="Q69" s="1359"/>
      <c r="S69" s="429">
        <f ca="1">ROUND(Grunddaten!AT32*((Grunddaten!$S32-Grunddaten!$Q31)/100*$G69+$E69),-1)</f>
        <v>0</v>
      </c>
      <c r="T69" s="430">
        <f ca="1">ROUND(Grunddaten!AU32*((Grunddaten!$S32-Grunddaten!$Q31)/100*$G69+$E69),-1)</f>
        <v>0</v>
      </c>
      <c r="U69" s="430">
        <f ca="1">ROUND(Grunddaten!AV32*((Grunddaten!$S32-Grunddaten!$Q31)/100*$G69+$E69),-1)</f>
        <v>0</v>
      </c>
      <c r="V69" s="430">
        <f ca="1">ROUND(Grunddaten!AW32*((Grunddaten!$S32-Grunddaten!$Q31)/100*$G69+$E69),-1)</f>
        <v>0</v>
      </c>
      <c r="W69" s="430">
        <f ca="1">ROUND(Grunddaten!AX32*((Grunddaten!$S32-Grunddaten!$Q31)/100*$G69+$E69),-1)</f>
        <v>0</v>
      </c>
      <c r="X69" s="430">
        <f ca="1">ROUND(Grunddaten!AY32*((Grunddaten!$S32-Grunddaten!$Q31)/100*$G69+$E69),-1)</f>
        <v>0</v>
      </c>
      <c r="Y69" s="430">
        <f ca="1">ROUND(Grunddaten!AZ32*((Grunddaten!$S32-Grunddaten!$Q31)/100*$G69+$E69),-1)</f>
        <v>0</v>
      </c>
      <c r="Z69" s="430">
        <f ca="1">ROUND(Grunddaten!BA32*((Grunddaten!$S32-Grunddaten!$Q31)/100*$G69+$E69),-1)</f>
        <v>0</v>
      </c>
      <c r="AA69" s="430">
        <f ca="1">ROUND(Grunddaten!BB32*((Grunddaten!$S32-Grunddaten!$Q31)/100*$G69+$E69),-1)</f>
        <v>0</v>
      </c>
      <c r="AB69" s="476">
        <f ca="1">ROUND(Grunddaten!BC32*((Grunddaten!$S32-Grunddaten!$Q31)/100*$G69+$E69),-1)</f>
        <v>0</v>
      </c>
      <c r="AC69" s="476">
        <f ca="1">ROUND(Grunddaten!BD32*((Grunddaten!$S32-Grunddaten!$Q31)/100*$G69+$E69),-1)</f>
        <v>0</v>
      </c>
      <c r="AD69" s="476">
        <f ca="1">ROUND(Grunddaten!BE32*((Grunddaten!$S32-Grunddaten!$Q31)/100*$G69+$E69),-1)</f>
        <v>0</v>
      </c>
      <c r="AE69" s="476">
        <f ca="1">ROUND(Grunddaten!BF32*((Grunddaten!$S32-Grunddaten!$Q31)/100*$G69+$E69),-1)</f>
        <v>0</v>
      </c>
      <c r="AF69" s="476">
        <f ca="1">ROUND(Grunddaten!BG32*((Grunddaten!$S32-Grunddaten!$Q31)/100*$G69+$E69),-1)</f>
        <v>0</v>
      </c>
      <c r="AG69" s="476">
        <f ca="1">ROUND(Grunddaten!BH32*((Grunddaten!$S32-Grunddaten!$Q31)/100*$G69+$E69),-1)</f>
        <v>0</v>
      </c>
      <c r="AH69" s="477">
        <f ca="1">ROUND(Grunddaten!BI32*((Grunddaten!$S32-Grunddaten!$Q31)/100*$G69+$E69),-1)</f>
        <v>0</v>
      </c>
      <c r="AI69" s="477">
        <f ca="1">ROUND(Grunddaten!BJ32*((Grunddaten!$S32-Grunddaten!$Q31)/100*$G69+$E69),-1)</f>
        <v>0</v>
      </c>
      <c r="AJ69" s="477">
        <f ca="1">ROUND(Grunddaten!BK32*((Grunddaten!$S32-Grunddaten!$Q31)/100*$G69+$E69),-1)</f>
        <v>0</v>
      </c>
      <c r="AK69" s="477">
        <f ca="1">ROUND(Grunddaten!BL32*((Grunddaten!$S32-Grunddaten!$Q31)/100*$G69+$E69),-1)</f>
        <v>0</v>
      </c>
      <c r="AL69" s="477">
        <f ca="1">ROUND(Grunddaten!BM32*((Grunddaten!$S32-Grunddaten!$Q31)/100*$G69+$E69),-1)</f>
        <v>0</v>
      </c>
      <c r="AM69" s="477">
        <f ca="1">ROUND(Grunddaten!BN32*((Grunddaten!$S32-Grunddaten!$Q31)/100*$G69+$E69),-1)</f>
        <v>0</v>
      </c>
      <c r="AN69" s="477">
        <f ca="1">ROUND(Grunddaten!BO32*((Grunddaten!$S32-Grunddaten!$Q31)/100*$G69+$E69),-1)</f>
        <v>0</v>
      </c>
      <c r="AO69" s="477">
        <f ca="1">ROUND(Grunddaten!BP32*((Grunddaten!$S32-Grunddaten!$Q31)/100*$G69+$E69),-1)</f>
        <v>0</v>
      </c>
      <c r="AP69" s="477">
        <f ca="1">ROUND(Grunddaten!BQ32*((Grunddaten!$S32-Grunddaten!$Q31)/100*$G69+$E69),-1)</f>
        <v>0</v>
      </c>
      <c r="AQ69" s="477">
        <f ca="1">ROUND(Grunddaten!BR32*((Grunddaten!$S32-Grunddaten!$Q31)/100*$G69+$E69),-1)</f>
        <v>0</v>
      </c>
      <c r="AR69" s="477">
        <f ca="1">ROUND(Grunddaten!BS32*((Grunddaten!$S32-Grunddaten!$Q31)/100*$G69+$E69),-1)</f>
        <v>0</v>
      </c>
      <c r="AS69" s="477">
        <f ca="1">ROUND(Grunddaten!BT32*((Grunddaten!$S32-Grunddaten!$Q31)/100*$G69+$E69),-1)</f>
        <v>0</v>
      </c>
      <c r="AT69" s="477">
        <f ca="1">ROUND(Grunddaten!BU32*((Grunddaten!$S32-Grunddaten!$Q31)/100*$G69+$E69),-1)</f>
        <v>0</v>
      </c>
      <c r="AU69" s="477">
        <f ca="1">ROUND(Grunddaten!BV32*((Grunddaten!$S32-Grunddaten!$Q31)/100*$G69+$E69),-1)</f>
        <v>0</v>
      </c>
      <c r="AV69" s="477">
        <f ca="1">ROUND(Grunddaten!BW32*((Grunddaten!$S32-Grunddaten!$Q31)/100*$G69+$E69),-1)</f>
        <v>0</v>
      </c>
      <c r="AW69" s="477">
        <f ca="1">ROUND(Grunddaten!BX32*((Grunddaten!$S32-Grunddaten!$Q31)/100*$G69+$E69),-1)</f>
        <v>0</v>
      </c>
      <c r="AX69" s="477">
        <f ca="1">ROUND(Grunddaten!BY32*((Grunddaten!$S32-Grunddaten!$Q31)/100*$G69+$E69),-1)</f>
        <v>0</v>
      </c>
      <c r="AY69" s="477">
        <f ca="1">ROUND(Grunddaten!BZ32*((Grunddaten!$S32-Grunddaten!$Q31)/100*$G69+$E69),-1)</f>
        <v>0</v>
      </c>
      <c r="AZ69" s="477">
        <f ca="1">ROUND(Grunddaten!CA32*((Grunddaten!$S32-Grunddaten!$Q31)/100*$G69+$E69),-1)</f>
        <v>0</v>
      </c>
      <c r="BA69" s="477">
        <f ca="1">ROUND(Grunddaten!CB32*((Grunddaten!$S32-Grunddaten!$Q31)/100*$G69+$E69),-1)</f>
        <v>0</v>
      </c>
      <c r="BB69" s="477">
        <f ca="1">ROUND(Grunddaten!CC32*((Grunddaten!$S32-Grunddaten!$Q31)/100*$G69+$E69),-1)</f>
        <v>0</v>
      </c>
      <c r="BC69" s="477">
        <f ca="1">ROUND(Grunddaten!CD32*((Grunddaten!$S32-Grunddaten!$Q31)/100*$G69+$E69),-1)</f>
        <v>0</v>
      </c>
      <c r="BD69" s="477">
        <f ca="1">ROUND(Grunddaten!CE32*((Grunddaten!$S32-Grunddaten!$Q31)/100*$G69+$E69),-1)</f>
        <v>0</v>
      </c>
      <c r="BE69" s="477">
        <f ca="1">ROUND(Grunddaten!CF32*((Grunddaten!$S32-Grunddaten!$Q31)/100*$G69+$E69),-1)</f>
        <v>0</v>
      </c>
      <c r="BF69" s="477">
        <f ca="1">ROUND(Grunddaten!CG32*((Grunddaten!$S32-Grunddaten!$Q31)/100*$G69+$E69),-1)</f>
        <v>0</v>
      </c>
      <c r="BG69" s="477">
        <f ca="1">ROUND(Grunddaten!CH32*((Grunddaten!$S32-Grunddaten!$Q31)/100*$G69+$E69),-1)</f>
        <v>0</v>
      </c>
      <c r="BH69" s="477">
        <f ca="1">ROUND(Grunddaten!CI32*((Grunddaten!$S32-Grunddaten!$Q31)/100*$G69+$E69),-1)</f>
        <v>0</v>
      </c>
      <c r="BI69" s="477">
        <f ca="1">ROUND(Grunddaten!CJ32*((Grunddaten!$S32-Grunddaten!$Q31)/100*$G69+$E69),-1)</f>
        <v>0</v>
      </c>
      <c r="BJ69" s="477">
        <f ca="1">ROUND(Grunddaten!CK32*((Grunddaten!$S32-Grunddaten!$Q31)/100*$G69+$E69),-1)</f>
        <v>0</v>
      </c>
      <c r="BK69" s="477">
        <f ca="1">ROUND(Grunddaten!CL32*((Grunddaten!$S32-Grunddaten!$Q31)/100*$G69+$E69),-1)</f>
        <v>0</v>
      </c>
      <c r="BL69" s="477">
        <f ca="1">ROUND(Grunddaten!CM32*((Grunddaten!$S32-Grunddaten!$Q31)/100*$G69+$E69),-1)</f>
        <v>0</v>
      </c>
      <c r="BM69" s="477">
        <f ca="1">ROUND(Grunddaten!CN32*((Grunddaten!$S32-Grunddaten!$Q31)/100*$G69+$E69),-1)</f>
        <v>0</v>
      </c>
      <c r="BN69" s="477">
        <f ca="1">ROUND(Grunddaten!CO32*((Grunddaten!$S32-Grunddaten!$Q31)/100*$G69+$E69),-1)</f>
        <v>0</v>
      </c>
      <c r="BO69" s="477">
        <f ca="1">ROUND(Grunddaten!CP32*((Grunddaten!$S32-Grunddaten!$Q31)/100*$G69+$E69),-1)</f>
        <v>0</v>
      </c>
      <c r="BP69" s="477">
        <f ca="1">ROUND(Grunddaten!CQ32*((Grunddaten!$S32-Grunddaten!$Q31)/100*$G69+$E69),-1)</f>
        <v>0</v>
      </c>
      <c r="BQ69" s="478">
        <f ca="1">ROUND(Grunddaten!CR32*((Grunddaten!$S32-Grunddaten!$Q31)/100*$G69+$E69),-1)</f>
        <v>0</v>
      </c>
    </row>
    <row r="70" spans="1:69" s="88" customFormat="1" ht="11.25" customHeight="1" x14ac:dyDescent="0.2">
      <c r="A70" s="513" t="str">
        <f>Grunddaten!C45</f>
        <v>Holzpellets</v>
      </c>
      <c r="B70" s="1377"/>
      <c r="C70" s="2468"/>
      <c r="D70" s="2469"/>
      <c r="E70" s="2459"/>
      <c r="F70" s="2460"/>
      <c r="G70" s="2456">
        <f ca="1">SUMIF(EV_Var4!$A$10:$B$73,$A70,EV_Var4!$E$10:$E$73)</f>
        <v>0</v>
      </c>
      <c r="H70" s="2457"/>
      <c r="I70" s="2458"/>
      <c r="J70" s="2479">
        <f>Grunddaten!S45-(1-$R$109)*Grunddaten!Q45</f>
        <v>6.8688000000000011</v>
      </c>
      <c r="K70" s="2480"/>
      <c r="L70" s="2645">
        <f t="shared" ca="1" si="4"/>
        <v>0</v>
      </c>
      <c r="M70" s="2646"/>
      <c r="N70" s="2647"/>
      <c r="P70" s="268"/>
      <c r="Q70" s="268"/>
      <c r="S70" s="479">
        <f ca="1">ROUND(Grunddaten!AT45*((Grunddaten!$S45-Grunddaten!$Q45)/100*$G70+$E70),-1)</f>
        <v>0</v>
      </c>
      <c r="T70" s="480">
        <f ca="1">ROUND(Grunddaten!AU45*((Grunddaten!$S45-Grunddaten!$Q45)/100*$G70+$E70),-1)</f>
        <v>0</v>
      </c>
      <c r="U70" s="480">
        <f ca="1">ROUND(Grunddaten!AV45*((Grunddaten!$S45-Grunddaten!$Q45)/100*$G70+$E70),-1)</f>
        <v>0</v>
      </c>
      <c r="V70" s="480">
        <f ca="1">ROUND(Grunddaten!AW45*((Grunddaten!$S45-Grunddaten!$Q45)/100*$G70+$E70),-1)</f>
        <v>0</v>
      </c>
      <c r="W70" s="480">
        <f ca="1">ROUND(Grunddaten!AX45*((Grunddaten!$S45-Grunddaten!$Q45)/100*$G70+$E70),-1)</f>
        <v>0</v>
      </c>
      <c r="X70" s="480">
        <f ca="1">ROUND(Grunddaten!AY45*((Grunddaten!$S45-Grunddaten!$Q45)/100*$G70+$E70),-1)</f>
        <v>0</v>
      </c>
      <c r="Y70" s="480">
        <f ca="1">ROUND(Grunddaten!AZ45*((Grunddaten!$S45-Grunddaten!$Q45)/100*$G70+$E70),-1)</f>
        <v>0</v>
      </c>
      <c r="Z70" s="480">
        <f ca="1">ROUND(Grunddaten!BA45*((Grunddaten!$S45-Grunddaten!$Q45)/100*$G70+$E70),-1)</f>
        <v>0</v>
      </c>
      <c r="AA70" s="480">
        <f ca="1">ROUND(Grunddaten!BB45*((Grunddaten!$S45-Grunddaten!$Q45)/100*$G70+$E70),-1)</f>
        <v>0</v>
      </c>
      <c r="AB70" s="481">
        <f ca="1">ROUND(Grunddaten!BC45*((Grunddaten!$S45-Grunddaten!$Q45)/100*$G70+$E70),-1)</f>
        <v>0</v>
      </c>
      <c r="AC70" s="481">
        <f ca="1">ROUND(Grunddaten!BD45*((Grunddaten!$S45-Grunddaten!$Q45)/100*$G70+$E70),-1)</f>
        <v>0</v>
      </c>
      <c r="AD70" s="481">
        <f ca="1">ROUND(Grunddaten!BE45*((Grunddaten!$S45-Grunddaten!$Q45)/100*$G70+$E70),-1)</f>
        <v>0</v>
      </c>
      <c r="AE70" s="481">
        <f ca="1">ROUND(Grunddaten!BF45*((Grunddaten!$S45-Grunddaten!$Q45)/100*$G70+$E70),-1)</f>
        <v>0</v>
      </c>
      <c r="AF70" s="481">
        <f ca="1">ROUND(Grunddaten!BG45*((Grunddaten!$S45-Grunddaten!$Q45)/100*$G70+$E70),-1)</f>
        <v>0</v>
      </c>
      <c r="AG70" s="481">
        <f ca="1">ROUND(Grunddaten!BH45*((Grunddaten!$S45-Grunddaten!$Q45)/100*$G70+$E70),-1)</f>
        <v>0</v>
      </c>
      <c r="AH70" s="482">
        <f ca="1">ROUND(Grunddaten!BI45*((Grunddaten!$S45-Grunddaten!$Q45)/100*$G70+$E70),-1)</f>
        <v>0</v>
      </c>
      <c r="AI70" s="482">
        <f ca="1">ROUND(Grunddaten!BJ45*((Grunddaten!$S45-Grunddaten!$Q45)/100*$G70+$E70),-1)</f>
        <v>0</v>
      </c>
      <c r="AJ70" s="482">
        <f ca="1">ROUND(Grunddaten!BK45*((Grunddaten!$S45-Grunddaten!$Q45)/100*$G70+$E70),-1)</f>
        <v>0</v>
      </c>
      <c r="AK70" s="482">
        <f ca="1">ROUND(Grunddaten!BL45*((Grunddaten!$S45-Grunddaten!$Q45)/100*$G70+$E70),-1)</f>
        <v>0</v>
      </c>
      <c r="AL70" s="482">
        <f ca="1">ROUND(Grunddaten!BM45*((Grunddaten!$S45-Grunddaten!$Q45)/100*$G70+$E70),-1)</f>
        <v>0</v>
      </c>
      <c r="AM70" s="482">
        <f ca="1">ROUND(Grunddaten!BN45*((Grunddaten!$S45-Grunddaten!$Q45)/100*$G70+$E70),-1)</f>
        <v>0</v>
      </c>
      <c r="AN70" s="482">
        <f ca="1">ROUND(Grunddaten!BO45*((Grunddaten!$S45-Grunddaten!$Q45)/100*$G70+$E70),-1)</f>
        <v>0</v>
      </c>
      <c r="AO70" s="482">
        <f ca="1">ROUND(Grunddaten!BP45*((Grunddaten!$S45-Grunddaten!$Q45)/100*$G70+$E70),-1)</f>
        <v>0</v>
      </c>
      <c r="AP70" s="482">
        <f ca="1">ROUND(Grunddaten!BQ45*((Grunddaten!$S45-Grunddaten!$Q45)/100*$G70+$E70),-1)</f>
        <v>0</v>
      </c>
      <c r="AQ70" s="482">
        <f ca="1">ROUND(Grunddaten!BR45*((Grunddaten!$S45-Grunddaten!$Q45)/100*$G70+$E70),-1)</f>
        <v>0</v>
      </c>
      <c r="AR70" s="482">
        <f ca="1">ROUND(Grunddaten!BS45*((Grunddaten!$S45-Grunddaten!$Q45)/100*$G70+$E70),-1)</f>
        <v>0</v>
      </c>
      <c r="AS70" s="482">
        <f ca="1">ROUND(Grunddaten!BT45*((Grunddaten!$S45-Grunddaten!$Q45)/100*$G70+$E70),-1)</f>
        <v>0</v>
      </c>
      <c r="AT70" s="482">
        <f ca="1">ROUND(Grunddaten!BU45*((Grunddaten!$S45-Grunddaten!$Q45)/100*$G70+$E70),-1)</f>
        <v>0</v>
      </c>
      <c r="AU70" s="482">
        <f ca="1">ROUND(Grunddaten!BV45*((Grunddaten!$S45-Grunddaten!$Q45)/100*$G70+$E70),-1)</f>
        <v>0</v>
      </c>
      <c r="AV70" s="482">
        <f ca="1">ROUND(Grunddaten!BW45*((Grunddaten!$S45-Grunddaten!$Q45)/100*$G70+$E70),-1)</f>
        <v>0</v>
      </c>
      <c r="AW70" s="482">
        <f ca="1">ROUND(Grunddaten!BX45*((Grunddaten!$S45-Grunddaten!$Q45)/100*$G70+$E70),-1)</f>
        <v>0</v>
      </c>
      <c r="AX70" s="482">
        <f ca="1">ROUND(Grunddaten!BY45*((Grunddaten!$S45-Grunddaten!$Q45)/100*$G70+$E70),-1)</f>
        <v>0</v>
      </c>
      <c r="AY70" s="482">
        <f ca="1">ROUND(Grunddaten!BZ45*((Grunddaten!$S45-Grunddaten!$Q45)/100*$G70+$E70),-1)</f>
        <v>0</v>
      </c>
      <c r="AZ70" s="482">
        <f ca="1">ROUND(Grunddaten!CA45*((Grunddaten!$S45-Grunddaten!$Q45)/100*$G70+$E70),-1)</f>
        <v>0</v>
      </c>
      <c r="BA70" s="482">
        <f ca="1">ROUND(Grunddaten!CB45*((Grunddaten!$S45-Grunddaten!$Q45)/100*$G70+$E70),-1)</f>
        <v>0</v>
      </c>
      <c r="BB70" s="482">
        <f ca="1">ROUND(Grunddaten!CC45*((Grunddaten!$S45-Grunddaten!$Q45)/100*$G70+$E70),-1)</f>
        <v>0</v>
      </c>
      <c r="BC70" s="482">
        <f ca="1">ROUND(Grunddaten!CD45*((Grunddaten!$S45-Grunddaten!$Q45)/100*$G70+$E70),-1)</f>
        <v>0</v>
      </c>
      <c r="BD70" s="482">
        <f ca="1">ROUND(Grunddaten!CE45*((Grunddaten!$S45-Grunddaten!$Q45)/100*$G70+$E70),-1)</f>
        <v>0</v>
      </c>
      <c r="BE70" s="482">
        <f ca="1">ROUND(Grunddaten!CF45*((Grunddaten!$S45-Grunddaten!$Q45)/100*$G70+$E70),-1)</f>
        <v>0</v>
      </c>
      <c r="BF70" s="482">
        <f ca="1">ROUND(Grunddaten!CG45*((Grunddaten!$S45-Grunddaten!$Q45)/100*$G70+$E70),-1)</f>
        <v>0</v>
      </c>
      <c r="BG70" s="482">
        <f ca="1">ROUND(Grunddaten!CH45*((Grunddaten!$S45-Grunddaten!$Q45)/100*$G70+$E70),-1)</f>
        <v>0</v>
      </c>
      <c r="BH70" s="482">
        <f ca="1">ROUND(Grunddaten!CI45*((Grunddaten!$S45-Grunddaten!$Q45)/100*$G70+$E70),-1)</f>
        <v>0</v>
      </c>
      <c r="BI70" s="482">
        <f ca="1">ROUND(Grunddaten!CJ45*((Grunddaten!$S45-Grunddaten!$Q45)/100*$G70+$E70),-1)</f>
        <v>0</v>
      </c>
      <c r="BJ70" s="482">
        <f ca="1">ROUND(Grunddaten!CK45*((Grunddaten!$S45-Grunddaten!$Q45)/100*$G70+$E70),-1)</f>
        <v>0</v>
      </c>
      <c r="BK70" s="482">
        <f ca="1">ROUND(Grunddaten!CL45*((Grunddaten!$S45-Grunddaten!$Q45)/100*$G70+$E70),-1)</f>
        <v>0</v>
      </c>
      <c r="BL70" s="482">
        <f ca="1">ROUND(Grunddaten!CM45*((Grunddaten!$S45-Grunddaten!$Q45)/100*$G70+$E70),-1)</f>
        <v>0</v>
      </c>
      <c r="BM70" s="482">
        <f ca="1">ROUND(Grunddaten!CN45*((Grunddaten!$S45-Grunddaten!$Q45)/100*$G70+$E70),-1)</f>
        <v>0</v>
      </c>
      <c r="BN70" s="482">
        <f ca="1">ROUND(Grunddaten!CO45*((Grunddaten!$S45-Grunddaten!$Q45)/100*$G70+$E70),-1)</f>
        <v>0</v>
      </c>
      <c r="BO70" s="482">
        <f ca="1">ROUND(Grunddaten!CP45*((Grunddaten!$S45-Grunddaten!$Q45)/100*$G70+$E70),-1)</f>
        <v>0</v>
      </c>
      <c r="BP70" s="482">
        <f ca="1">ROUND(Grunddaten!CQ45*((Grunddaten!$S45-Grunddaten!$Q45)/100*$G70+$E70),-1)</f>
        <v>0</v>
      </c>
      <c r="BQ70" s="483">
        <f ca="1">ROUND(Grunddaten!CR45*((Grunddaten!$S45-Grunddaten!$Q45)/100*$G70+$E70),-1)</f>
        <v>0</v>
      </c>
    </row>
    <row r="71" spans="1:69" s="88" customFormat="1" ht="11.25" customHeight="1" x14ac:dyDescent="0.2">
      <c r="A71" s="513" t="str">
        <f>Grunddaten!C46</f>
        <v>Holzschnitzel</v>
      </c>
      <c r="B71" s="1377"/>
      <c r="C71" s="2468"/>
      <c r="D71" s="2469"/>
      <c r="E71" s="2459"/>
      <c r="F71" s="2460"/>
      <c r="G71" s="2456">
        <f ca="1">SUMIF(EV_Var4!$A$10:$B$73,$A71,EV_Var4!$E$10:$E$73)</f>
        <v>0</v>
      </c>
      <c r="H71" s="2457"/>
      <c r="I71" s="2458"/>
      <c r="J71" s="2479">
        <f>Grunddaten!S46-(1-$R$109)*Grunddaten!Q46</f>
        <v>4.5999999999999996</v>
      </c>
      <c r="K71" s="2480"/>
      <c r="L71" s="2645">
        <f t="shared" ca="1" si="4"/>
        <v>0</v>
      </c>
      <c r="M71" s="2646"/>
      <c r="N71" s="2647"/>
      <c r="P71" s="268"/>
      <c r="Q71" s="268"/>
      <c r="S71" s="479">
        <f ca="1">ROUND(Grunddaten!AT46*((Grunddaten!$S46-Grunddaten!$Q46)/100*$G71+$E71),-1)</f>
        <v>0</v>
      </c>
      <c r="T71" s="480">
        <f ca="1">ROUND(Grunddaten!AU46*((Grunddaten!$S46-Grunddaten!$Q46)/100*$G71+$E71),-1)</f>
        <v>0</v>
      </c>
      <c r="U71" s="480">
        <f ca="1">ROUND(Grunddaten!AV46*((Grunddaten!$S46-Grunddaten!$Q46)/100*$G71+$E71),-1)</f>
        <v>0</v>
      </c>
      <c r="V71" s="480">
        <f ca="1">ROUND(Grunddaten!AW46*((Grunddaten!$S46-Grunddaten!$Q46)/100*$G71+$E71),-1)</f>
        <v>0</v>
      </c>
      <c r="W71" s="480">
        <f ca="1">ROUND(Grunddaten!AX46*((Grunddaten!$S46-Grunddaten!$Q46)/100*$G71+$E71),-1)</f>
        <v>0</v>
      </c>
      <c r="X71" s="480">
        <f ca="1">ROUND(Grunddaten!AY46*((Grunddaten!$S46-Grunddaten!$Q46)/100*$G71+$E71),-1)</f>
        <v>0</v>
      </c>
      <c r="Y71" s="480">
        <f ca="1">ROUND(Grunddaten!AZ46*((Grunddaten!$S46-Grunddaten!$Q46)/100*$G71+$E71),-1)</f>
        <v>0</v>
      </c>
      <c r="Z71" s="480">
        <f ca="1">ROUND(Grunddaten!BA46*((Grunddaten!$S46-Grunddaten!$Q46)/100*$G71+$E71),-1)</f>
        <v>0</v>
      </c>
      <c r="AA71" s="480">
        <f ca="1">ROUND(Grunddaten!BB46*((Grunddaten!$S46-Grunddaten!$Q46)/100*$G71+$E71),-1)</f>
        <v>0</v>
      </c>
      <c r="AB71" s="481">
        <f ca="1">ROUND(Grunddaten!BC46*((Grunddaten!$S46-Grunddaten!$Q46)/100*$G71+$E71),-1)</f>
        <v>0</v>
      </c>
      <c r="AC71" s="481">
        <f ca="1">ROUND(Grunddaten!BD46*((Grunddaten!$S46-Grunddaten!$Q46)/100*$G71+$E71),-1)</f>
        <v>0</v>
      </c>
      <c r="AD71" s="481">
        <f ca="1">ROUND(Grunddaten!BE46*((Grunddaten!$S46-Grunddaten!$Q46)/100*$G71+$E71),-1)</f>
        <v>0</v>
      </c>
      <c r="AE71" s="481">
        <f ca="1">ROUND(Grunddaten!BF46*((Grunddaten!$S46-Grunddaten!$Q46)/100*$G71+$E71),-1)</f>
        <v>0</v>
      </c>
      <c r="AF71" s="481">
        <f ca="1">ROUND(Grunddaten!BG46*((Grunddaten!$S46-Grunddaten!$Q46)/100*$G71+$E71),-1)</f>
        <v>0</v>
      </c>
      <c r="AG71" s="481">
        <f ca="1">ROUND(Grunddaten!BH46*((Grunddaten!$S46-Grunddaten!$Q46)/100*$G71+$E71),-1)</f>
        <v>0</v>
      </c>
      <c r="AH71" s="482">
        <f ca="1">ROUND(Grunddaten!BI46*((Grunddaten!$S46-Grunddaten!$Q46)/100*$G71+$E71),-1)</f>
        <v>0</v>
      </c>
      <c r="AI71" s="482">
        <f ca="1">ROUND(Grunddaten!BJ46*((Grunddaten!$S46-Grunddaten!$Q46)/100*$G71+$E71),-1)</f>
        <v>0</v>
      </c>
      <c r="AJ71" s="482">
        <f ca="1">ROUND(Grunddaten!BK46*((Grunddaten!$S46-Grunddaten!$Q46)/100*$G71+$E71),-1)</f>
        <v>0</v>
      </c>
      <c r="AK71" s="482">
        <f ca="1">ROUND(Grunddaten!BL46*((Grunddaten!$S46-Grunddaten!$Q46)/100*$G71+$E71),-1)</f>
        <v>0</v>
      </c>
      <c r="AL71" s="482">
        <f ca="1">ROUND(Grunddaten!BM46*((Grunddaten!$S46-Grunddaten!$Q46)/100*$G71+$E71),-1)</f>
        <v>0</v>
      </c>
      <c r="AM71" s="482">
        <f ca="1">ROUND(Grunddaten!BN46*((Grunddaten!$S46-Grunddaten!$Q46)/100*$G71+$E71),-1)</f>
        <v>0</v>
      </c>
      <c r="AN71" s="482">
        <f ca="1">ROUND(Grunddaten!BO46*((Grunddaten!$S46-Grunddaten!$Q46)/100*$G71+$E71),-1)</f>
        <v>0</v>
      </c>
      <c r="AO71" s="482">
        <f ca="1">ROUND(Grunddaten!BP46*((Grunddaten!$S46-Grunddaten!$Q46)/100*$G71+$E71),-1)</f>
        <v>0</v>
      </c>
      <c r="AP71" s="482">
        <f ca="1">ROUND(Grunddaten!BQ46*((Grunddaten!$S46-Grunddaten!$Q46)/100*$G71+$E71),-1)</f>
        <v>0</v>
      </c>
      <c r="AQ71" s="482">
        <f ca="1">ROUND(Grunddaten!BR46*((Grunddaten!$S46-Grunddaten!$Q46)/100*$G71+$E71),-1)</f>
        <v>0</v>
      </c>
      <c r="AR71" s="482">
        <f ca="1">ROUND(Grunddaten!BS46*((Grunddaten!$S46-Grunddaten!$Q46)/100*$G71+$E71),-1)</f>
        <v>0</v>
      </c>
      <c r="AS71" s="482">
        <f ca="1">ROUND(Grunddaten!BT46*((Grunddaten!$S46-Grunddaten!$Q46)/100*$G71+$E71),-1)</f>
        <v>0</v>
      </c>
      <c r="AT71" s="482">
        <f ca="1">ROUND(Grunddaten!BU46*((Grunddaten!$S46-Grunddaten!$Q46)/100*$G71+$E71),-1)</f>
        <v>0</v>
      </c>
      <c r="AU71" s="482">
        <f ca="1">ROUND(Grunddaten!BV46*((Grunddaten!$S46-Grunddaten!$Q46)/100*$G71+$E71),-1)</f>
        <v>0</v>
      </c>
      <c r="AV71" s="482">
        <f ca="1">ROUND(Grunddaten!BW46*((Grunddaten!$S46-Grunddaten!$Q46)/100*$G71+$E71),-1)</f>
        <v>0</v>
      </c>
      <c r="AW71" s="482">
        <f ca="1">ROUND(Grunddaten!BX46*((Grunddaten!$S46-Grunddaten!$Q46)/100*$G71+$E71),-1)</f>
        <v>0</v>
      </c>
      <c r="AX71" s="482">
        <f ca="1">ROUND(Grunddaten!BY46*((Grunddaten!$S46-Grunddaten!$Q46)/100*$G71+$E71),-1)</f>
        <v>0</v>
      </c>
      <c r="AY71" s="482">
        <f ca="1">ROUND(Grunddaten!BZ46*((Grunddaten!$S46-Grunddaten!$Q46)/100*$G71+$E71),-1)</f>
        <v>0</v>
      </c>
      <c r="AZ71" s="482">
        <f ca="1">ROUND(Grunddaten!CA46*((Grunddaten!$S46-Grunddaten!$Q46)/100*$G71+$E71),-1)</f>
        <v>0</v>
      </c>
      <c r="BA71" s="482">
        <f ca="1">ROUND(Grunddaten!CB46*((Grunddaten!$S46-Grunddaten!$Q46)/100*$G71+$E71),-1)</f>
        <v>0</v>
      </c>
      <c r="BB71" s="482">
        <f ca="1">ROUND(Grunddaten!CC46*((Grunddaten!$S46-Grunddaten!$Q46)/100*$G71+$E71),-1)</f>
        <v>0</v>
      </c>
      <c r="BC71" s="482">
        <f ca="1">ROUND(Grunddaten!CD46*((Grunddaten!$S46-Grunddaten!$Q46)/100*$G71+$E71),-1)</f>
        <v>0</v>
      </c>
      <c r="BD71" s="482">
        <f ca="1">ROUND(Grunddaten!CE46*((Grunddaten!$S46-Grunddaten!$Q46)/100*$G71+$E71),-1)</f>
        <v>0</v>
      </c>
      <c r="BE71" s="482">
        <f ca="1">ROUND(Grunddaten!CF46*((Grunddaten!$S46-Grunddaten!$Q46)/100*$G71+$E71),-1)</f>
        <v>0</v>
      </c>
      <c r="BF71" s="482">
        <f ca="1">ROUND(Grunddaten!CG46*((Grunddaten!$S46-Grunddaten!$Q46)/100*$G71+$E71),-1)</f>
        <v>0</v>
      </c>
      <c r="BG71" s="482">
        <f ca="1">ROUND(Grunddaten!CH46*((Grunddaten!$S46-Grunddaten!$Q46)/100*$G71+$E71),-1)</f>
        <v>0</v>
      </c>
      <c r="BH71" s="482">
        <f ca="1">ROUND(Grunddaten!CI46*((Grunddaten!$S46-Grunddaten!$Q46)/100*$G71+$E71),-1)</f>
        <v>0</v>
      </c>
      <c r="BI71" s="482">
        <f ca="1">ROUND(Grunddaten!CJ46*((Grunddaten!$S46-Grunddaten!$Q46)/100*$G71+$E71),-1)</f>
        <v>0</v>
      </c>
      <c r="BJ71" s="482">
        <f ca="1">ROUND(Grunddaten!CK46*((Grunddaten!$S46-Grunddaten!$Q46)/100*$G71+$E71),-1)</f>
        <v>0</v>
      </c>
      <c r="BK71" s="482">
        <f ca="1">ROUND(Grunddaten!CL46*((Grunddaten!$S46-Grunddaten!$Q46)/100*$G71+$E71),-1)</f>
        <v>0</v>
      </c>
      <c r="BL71" s="482">
        <f ca="1">ROUND(Grunddaten!CM46*((Grunddaten!$S46-Grunddaten!$Q46)/100*$G71+$E71),-1)</f>
        <v>0</v>
      </c>
      <c r="BM71" s="482">
        <f ca="1">ROUND(Grunddaten!CN46*((Grunddaten!$S46-Grunddaten!$Q46)/100*$G71+$E71),-1)</f>
        <v>0</v>
      </c>
      <c r="BN71" s="482">
        <f ca="1">ROUND(Grunddaten!CO46*((Grunddaten!$S46-Grunddaten!$Q46)/100*$G71+$E71),-1)</f>
        <v>0</v>
      </c>
      <c r="BO71" s="482">
        <f ca="1">ROUND(Grunddaten!CP46*((Grunddaten!$S46-Grunddaten!$Q46)/100*$G71+$E71),-1)</f>
        <v>0</v>
      </c>
      <c r="BP71" s="482">
        <f ca="1">ROUND(Grunddaten!CQ46*((Grunddaten!$S46-Grunddaten!$Q46)/100*$G71+$E71),-1)</f>
        <v>0</v>
      </c>
      <c r="BQ71" s="483">
        <f ca="1">ROUND(Grunddaten!CR46*((Grunddaten!$S46-Grunddaten!$Q46)/100*$G71+$E71),-1)</f>
        <v>0</v>
      </c>
    </row>
    <row r="72" spans="1:69" s="88" customFormat="1" ht="11.25" customHeight="1" x14ac:dyDescent="0.2">
      <c r="A72" s="513" t="str">
        <f>Berechnungen!A30</f>
        <v>Biogas</v>
      </c>
      <c r="B72" s="1377"/>
      <c r="C72" s="2468"/>
      <c r="D72" s="2469"/>
      <c r="E72" s="2459">
        <f xml:space="preserve"> (IF(EV_Var4!$A$19=$A72,EV_Var4!$H$19,0) + IF(EV_Var4!$A$23=$A72,EV_Var4!$H$23,0) + IF(EV_Var4!$A$28=$A72,(EV_Var4!$H$27-EV_Var4!$AF$23),0) + IF(EV_Var4!$A$59=$A72,EV_Var4!$H$59,0)) * VLOOKUP(Projektdaten!G24,Grunddaten!C47:AI48,33,FALSE)</f>
        <v>0</v>
      </c>
      <c r="F72" s="2460"/>
      <c r="G72" s="2456">
        <f ca="1">SUMIF(EV_Var4!$A$10:$B$73,$A72,EV_Var4!$E$10:$E$73)</f>
        <v>0</v>
      </c>
      <c r="H72" s="2457"/>
      <c r="I72" s="2458"/>
      <c r="J72" s="2461">
        <f>VLOOKUP(Projektdaten!G24,Grunddaten!C47:AI48,17,FALSE) - (1-$R$109)*VLOOKUP(Projektdaten!G24,Grunddaten!C47:AI48,15,FALSE)</f>
        <v>14.256000000000002</v>
      </c>
      <c r="K72" s="2462"/>
      <c r="L72" s="2645">
        <f t="shared" ca="1" si="4"/>
        <v>0</v>
      </c>
      <c r="M72" s="2646"/>
      <c r="N72" s="2647"/>
      <c r="P72" s="268"/>
      <c r="Q72" s="268"/>
      <c r="S72" s="479">
        <f ca="1">ROUND(Grunddaten!AT47*((Grunddaten!$S47-Grunddaten!$Q47)/100*$G72+$E72),-1)</f>
        <v>0</v>
      </c>
      <c r="T72" s="480">
        <f ca="1">ROUND(Grunddaten!AU47*((Grunddaten!$S47-Grunddaten!$Q47)/100*$G72+$E72),-1)</f>
        <v>0</v>
      </c>
      <c r="U72" s="480">
        <f ca="1">ROUND(Grunddaten!AV47*((Grunddaten!$S47-Grunddaten!$Q47)/100*$G72+$E72),-1)</f>
        <v>0</v>
      </c>
      <c r="V72" s="480">
        <f ca="1">ROUND(Grunddaten!AW47*((Grunddaten!$S47-Grunddaten!$Q47)/100*$G72+$E72),-1)</f>
        <v>0</v>
      </c>
      <c r="W72" s="480">
        <f ca="1">ROUND(Grunddaten!AX47*((Grunddaten!$S47-Grunddaten!$Q47)/100*$G72+$E72),-1)</f>
        <v>0</v>
      </c>
      <c r="X72" s="480">
        <f ca="1">ROUND(Grunddaten!AY47*((Grunddaten!$S47-Grunddaten!$Q47)/100*$G72+$E72),-1)</f>
        <v>0</v>
      </c>
      <c r="Y72" s="480">
        <f ca="1">ROUND(Grunddaten!AZ47*((Grunddaten!$S47-Grunddaten!$Q47)/100*$G72+$E72),-1)</f>
        <v>0</v>
      </c>
      <c r="Z72" s="480">
        <f ca="1">ROUND(Grunddaten!BA47*((Grunddaten!$S47-Grunddaten!$Q47)/100*$G72+$E72),-1)</f>
        <v>0</v>
      </c>
      <c r="AA72" s="480">
        <f ca="1">ROUND(Grunddaten!BB47*((Grunddaten!$S47-Grunddaten!$Q47)/100*$G72+$E72),-1)</f>
        <v>0</v>
      </c>
      <c r="AB72" s="480">
        <f ca="1">ROUND(Grunddaten!BC47*((Grunddaten!$S47-Grunddaten!$Q47)/100*$G72+$E72),-1)</f>
        <v>0</v>
      </c>
      <c r="AC72" s="480">
        <f ca="1">ROUND(Grunddaten!BD47*((Grunddaten!$S47-Grunddaten!$Q47)/100*$G72+$E72),-1)</f>
        <v>0</v>
      </c>
      <c r="AD72" s="480">
        <f ca="1">ROUND(Grunddaten!BE47*((Grunddaten!$S47-Grunddaten!$Q47)/100*$G72+$E72),-1)</f>
        <v>0</v>
      </c>
      <c r="AE72" s="480">
        <f ca="1">ROUND(Grunddaten!BF47*((Grunddaten!$S47-Grunddaten!$Q47)/100*$G72+$E72),-1)</f>
        <v>0</v>
      </c>
      <c r="AF72" s="480">
        <f ca="1">ROUND(Grunddaten!BG47*((Grunddaten!$S47-Grunddaten!$Q47)/100*$G72+$E72),-1)</f>
        <v>0</v>
      </c>
      <c r="AG72" s="480">
        <f ca="1">ROUND(Grunddaten!BH47*((Grunddaten!$S47-Grunddaten!$Q47)/100*$G72+$E72),-1)</f>
        <v>0</v>
      </c>
      <c r="AH72" s="480">
        <f ca="1">ROUND(Grunddaten!BI47*((Grunddaten!$S47-Grunddaten!$Q47)/100*$G72+$E72),-1)</f>
        <v>0</v>
      </c>
      <c r="AI72" s="480">
        <f ca="1">ROUND(Grunddaten!BJ47*((Grunddaten!$S47-Grunddaten!$Q47)/100*$G72+$E72),-1)</f>
        <v>0</v>
      </c>
      <c r="AJ72" s="480">
        <f ca="1">ROUND(Grunddaten!BK47*((Grunddaten!$S47-Grunddaten!$Q47)/100*$G72+$E72),-1)</f>
        <v>0</v>
      </c>
      <c r="AK72" s="480">
        <f ca="1">ROUND(Grunddaten!BL47*((Grunddaten!$S47-Grunddaten!$Q47)/100*$G72+$E72),-1)</f>
        <v>0</v>
      </c>
      <c r="AL72" s="480">
        <f ca="1">ROUND(Grunddaten!BM47*((Grunddaten!$S47-Grunddaten!$Q47)/100*$G72+$E72),-1)</f>
        <v>0</v>
      </c>
      <c r="AM72" s="480">
        <f ca="1">ROUND(Grunddaten!BN47*((Grunddaten!$S47-Grunddaten!$Q47)/100*$G72+$E72),-1)</f>
        <v>0</v>
      </c>
      <c r="AN72" s="480">
        <f ca="1">ROUND(Grunddaten!BO47*((Grunddaten!$S47-Grunddaten!$Q47)/100*$G72+$E72),-1)</f>
        <v>0</v>
      </c>
      <c r="AO72" s="480">
        <f ca="1">ROUND(Grunddaten!BP47*((Grunddaten!$S47-Grunddaten!$Q47)/100*$G72+$E72),-1)</f>
        <v>0</v>
      </c>
      <c r="AP72" s="480">
        <f ca="1">ROUND(Grunddaten!BQ47*((Grunddaten!$S47-Grunddaten!$Q47)/100*$G72+$E72),-1)</f>
        <v>0</v>
      </c>
      <c r="AQ72" s="480">
        <f ca="1">ROUND(Grunddaten!BR47*((Grunddaten!$S47-Grunddaten!$Q47)/100*$G72+$E72),-1)</f>
        <v>0</v>
      </c>
      <c r="AR72" s="480">
        <f ca="1">ROUND(Grunddaten!BS47*((Grunddaten!$S47-Grunddaten!$Q47)/100*$G72+$E72),-1)</f>
        <v>0</v>
      </c>
      <c r="AS72" s="480">
        <f ca="1">ROUND(Grunddaten!BT47*((Grunddaten!$S47-Grunddaten!$Q47)/100*$G72+$E72),-1)</f>
        <v>0</v>
      </c>
      <c r="AT72" s="480">
        <f ca="1">ROUND(Grunddaten!BU47*((Grunddaten!$S47-Grunddaten!$Q47)/100*$G72+$E72),-1)</f>
        <v>0</v>
      </c>
      <c r="AU72" s="480">
        <f ca="1">ROUND(Grunddaten!BV47*((Grunddaten!$S47-Grunddaten!$Q47)/100*$G72+$E72),-1)</f>
        <v>0</v>
      </c>
      <c r="AV72" s="480">
        <f ca="1">ROUND(Grunddaten!BW47*((Grunddaten!$S47-Grunddaten!$Q47)/100*$G72+$E72),-1)</f>
        <v>0</v>
      </c>
      <c r="AW72" s="480">
        <f ca="1">ROUND(Grunddaten!BX47*((Grunddaten!$S47-Grunddaten!$Q47)/100*$G72+$E72),-1)</f>
        <v>0</v>
      </c>
      <c r="AX72" s="480">
        <f ca="1">ROUND(Grunddaten!BY47*((Grunddaten!$S47-Grunddaten!$Q47)/100*$G72+$E72),-1)</f>
        <v>0</v>
      </c>
      <c r="AY72" s="480">
        <f ca="1">ROUND(Grunddaten!BZ47*((Grunddaten!$S47-Grunddaten!$Q47)/100*$G72+$E72),-1)</f>
        <v>0</v>
      </c>
      <c r="AZ72" s="480">
        <f ca="1">ROUND(Grunddaten!CA47*((Grunddaten!$S47-Grunddaten!$Q47)/100*$G72+$E72),-1)</f>
        <v>0</v>
      </c>
      <c r="BA72" s="480">
        <f ca="1">ROUND(Grunddaten!CB47*((Grunddaten!$S47-Grunddaten!$Q47)/100*$G72+$E72),-1)</f>
        <v>0</v>
      </c>
      <c r="BB72" s="480">
        <f ca="1">ROUND(Grunddaten!CC47*((Grunddaten!$S47-Grunddaten!$Q47)/100*$G72+$E72),-1)</f>
        <v>0</v>
      </c>
      <c r="BC72" s="480">
        <f ca="1">ROUND(Grunddaten!CD47*((Grunddaten!$S47-Grunddaten!$Q47)/100*$G72+$E72),-1)</f>
        <v>0</v>
      </c>
      <c r="BD72" s="480">
        <f ca="1">ROUND(Grunddaten!CE47*((Grunddaten!$S47-Grunddaten!$Q47)/100*$G72+$E72),-1)</f>
        <v>0</v>
      </c>
      <c r="BE72" s="480">
        <f ca="1">ROUND(Grunddaten!CF47*((Grunddaten!$S47-Grunddaten!$Q47)/100*$G72+$E72),-1)</f>
        <v>0</v>
      </c>
      <c r="BF72" s="480">
        <f ca="1">ROUND(Grunddaten!CG47*((Grunddaten!$S47-Grunddaten!$Q47)/100*$G72+$E72),-1)</f>
        <v>0</v>
      </c>
      <c r="BG72" s="480">
        <f ca="1">ROUND(Grunddaten!CH47*((Grunddaten!$S47-Grunddaten!$Q47)/100*$G72+$E72),-1)</f>
        <v>0</v>
      </c>
      <c r="BH72" s="480">
        <f ca="1">ROUND(Grunddaten!CI47*((Grunddaten!$S47-Grunddaten!$Q47)/100*$G72+$E72),-1)</f>
        <v>0</v>
      </c>
      <c r="BI72" s="480">
        <f ca="1">ROUND(Grunddaten!CJ47*((Grunddaten!$S47-Grunddaten!$Q47)/100*$G72+$E72),-1)</f>
        <v>0</v>
      </c>
      <c r="BJ72" s="480">
        <f ca="1">ROUND(Grunddaten!CK47*((Grunddaten!$S47-Grunddaten!$Q47)/100*$G72+$E72),-1)</f>
        <v>0</v>
      </c>
      <c r="BK72" s="480">
        <f ca="1">ROUND(Grunddaten!CL47*((Grunddaten!$S47-Grunddaten!$Q47)/100*$G72+$E72),-1)</f>
        <v>0</v>
      </c>
      <c r="BL72" s="480">
        <f ca="1">ROUND(Grunddaten!CM47*((Grunddaten!$S47-Grunddaten!$Q47)/100*$G72+$E72),-1)</f>
        <v>0</v>
      </c>
      <c r="BM72" s="480">
        <f ca="1">ROUND(Grunddaten!CN47*((Grunddaten!$S47-Grunddaten!$Q47)/100*$G72+$E72),-1)</f>
        <v>0</v>
      </c>
      <c r="BN72" s="480">
        <f ca="1">ROUND(Grunddaten!CO47*((Grunddaten!$S47-Grunddaten!$Q47)/100*$G72+$E72),-1)</f>
        <v>0</v>
      </c>
      <c r="BO72" s="480">
        <f ca="1">ROUND(Grunddaten!CP47*((Grunddaten!$S47-Grunddaten!$Q47)/100*$G72+$E72),-1)</f>
        <v>0</v>
      </c>
      <c r="BP72" s="480">
        <f ca="1">ROUND(Grunddaten!CQ47*((Grunddaten!$S47-Grunddaten!$Q47)/100*$G72+$E72),-1)</f>
        <v>0</v>
      </c>
      <c r="BQ72" s="484">
        <f ca="1">ROUND(Grunddaten!CR47*((Grunddaten!$S47-Grunddaten!$Q47)/100*$G72+$E72),-1)</f>
        <v>0</v>
      </c>
    </row>
    <row r="73" spans="1:69" s="88" customFormat="1" ht="11.25" customHeight="1" x14ac:dyDescent="0.2">
      <c r="A73" s="513" t="str">
        <f>Grunddaten!C49</f>
        <v>Erdgas</v>
      </c>
      <c r="B73" s="1377"/>
      <c r="C73" s="2468"/>
      <c r="D73" s="2469"/>
      <c r="E73" s="2459">
        <f xml:space="preserve"> (IF(EV_Var4!$A$19=$A73,EV_Var4!$H$19,0) + IF(EV_Var4!$A$23=$A73,EV_Var4!$H$23,0) + IF(EV_Var4!$A$28=$A73,(EV_Var4!$H$27-EV_Var4!$AF$23),0) + IF(EV_Var4!$A$59=$A73,EV_Var4!$H$59,0)) * Grunddaten!$AI49</f>
        <v>0</v>
      </c>
      <c r="F73" s="2460"/>
      <c r="G73" s="2456">
        <f ca="1">SUMIF(EV_Var4!$A$10:$B$73,$A73,EV_Var4!$E$10:$E$73)</f>
        <v>0</v>
      </c>
      <c r="H73" s="2457"/>
      <c r="I73" s="2458"/>
      <c r="J73" s="2479">
        <f>Grunddaten!S49-(1-$R$109)*Grunddaten!Q49</f>
        <v>6.0696000000000003</v>
      </c>
      <c r="K73" s="2480"/>
      <c r="L73" s="2645">
        <f t="shared" ca="1" si="4"/>
        <v>0</v>
      </c>
      <c r="M73" s="2646"/>
      <c r="N73" s="2647"/>
      <c r="P73" s="268"/>
      <c r="Q73" s="268"/>
      <c r="S73" s="479">
        <f ca="1">ROUND(Grunddaten!AT49*((Grunddaten!$S49-Grunddaten!$Q49)/100*$G73+$E73),-1)</f>
        <v>0</v>
      </c>
      <c r="T73" s="480">
        <f ca="1">ROUND(Grunddaten!AU49*((Grunddaten!$S49-Grunddaten!$Q49)/100*$G73+$E73),-1)</f>
        <v>0</v>
      </c>
      <c r="U73" s="480">
        <f ca="1">ROUND(Grunddaten!AV49*((Grunddaten!$S49-Grunddaten!$Q49)/100*$G73+$E73),-1)</f>
        <v>0</v>
      </c>
      <c r="V73" s="480">
        <f ca="1">ROUND(Grunddaten!AW49*((Grunddaten!$S49-Grunddaten!$Q49)/100*$G73+$E73),-1)</f>
        <v>0</v>
      </c>
      <c r="W73" s="480">
        <f ca="1">ROUND(Grunddaten!AX49*((Grunddaten!$S49-Grunddaten!$Q49)/100*$G73+$E73),-1)</f>
        <v>0</v>
      </c>
      <c r="X73" s="480">
        <f ca="1">ROUND(Grunddaten!AY49*((Grunddaten!$S49-Grunddaten!$Q49)/100*$G73+$E73),-1)</f>
        <v>0</v>
      </c>
      <c r="Y73" s="480">
        <f ca="1">ROUND(Grunddaten!AZ49*((Grunddaten!$S49-Grunddaten!$Q49)/100*$G73+$E73),-1)</f>
        <v>0</v>
      </c>
      <c r="Z73" s="480">
        <f ca="1">ROUND(Grunddaten!BA49*((Grunddaten!$S49-Grunddaten!$Q49)/100*$G73+$E73),-1)</f>
        <v>0</v>
      </c>
      <c r="AA73" s="480">
        <f ca="1">ROUND(Grunddaten!BB49*((Grunddaten!$S49-Grunddaten!$Q49)/100*$G73+$E73),-1)</f>
        <v>0</v>
      </c>
      <c r="AB73" s="481">
        <f ca="1">ROUND(Grunddaten!BC49*((Grunddaten!$S49-Grunddaten!$Q49)/100*$G73+$E73),-1)</f>
        <v>0</v>
      </c>
      <c r="AC73" s="481">
        <f ca="1">ROUND(Grunddaten!BD49*((Grunddaten!$S49-Grunddaten!$Q49)/100*$G73+$E73),-1)</f>
        <v>0</v>
      </c>
      <c r="AD73" s="481">
        <f ca="1">ROUND(Grunddaten!BE49*((Grunddaten!$S49-Grunddaten!$Q49)/100*$G73+$E73),-1)</f>
        <v>0</v>
      </c>
      <c r="AE73" s="481">
        <f ca="1">ROUND(Grunddaten!BF49*((Grunddaten!$S49-Grunddaten!$Q49)/100*$G73+$E73),-1)</f>
        <v>0</v>
      </c>
      <c r="AF73" s="481">
        <f ca="1">ROUND(Grunddaten!BG49*((Grunddaten!$S49-Grunddaten!$Q49)/100*$G73+$E73),-1)</f>
        <v>0</v>
      </c>
      <c r="AG73" s="481">
        <f ca="1">ROUND(Grunddaten!BH49*((Grunddaten!$S49-Grunddaten!$Q49)/100*$G73+$E73),-1)</f>
        <v>0</v>
      </c>
      <c r="AH73" s="482">
        <f ca="1">ROUND(Grunddaten!BI49*((Grunddaten!$S49-Grunddaten!$Q49)/100*$G73+$E73),-1)</f>
        <v>0</v>
      </c>
      <c r="AI73" s="482">
        <f ca="1">ROUND(Grunddaten!BJ49*((Grunddaten!$S49-Grunddaten!$Q49)/100*$G73+$E73),-1)</f>
        <v>0</v>
      </c>
      <c r="AJ73" s="482">
        <f ca="1">ROUND(Grunddaten!BK49*((Grunddaten!$S49-Grunddaten!$Q49)/100*$G73+$E73),-1)</f>
        <v>0</v>
      </c>
      <c r="AK73" s="482">
        <f ca="1">ROUND(Grunddaten!BL49*((Grunddaten!$S49-Grunddaten!$Q49)/100*$G73+$E73),-1)</f>
        <v>0</v>
      </c>
      <c r="AL73" s="482">
        <f ca="1">ROUND(Grunddaten!BM49*((Grunddaten!$S49-Grunddaten!$Q49)/100*$G73+$E73),-1)</f>
        <v>0</v>
      </c>
      <c r="AM73" s="482">
        <f ca="1">ROUND(Grunddaten!BN49*((Grunddaten!$S49-Grunddaten!$Q49)/100*$G73+$E73),-1)</f>
        <v>0</v>
      </c>
      <c r="AN73" s="482">
        <f ca="1">ROUND(Grunddaten!BO49*((Grunddaten!$S49-Grunddaten!$Q49)/100*$G73+$E73),-1)</f>
        <v>0</v>
      </c>
      <c r="AO73" s="482">
        <f ca="1">ROUND(Grunddaten!BP49*((Grunddaten!$S49-Grunddaten!$Q49)/100*$G73+$E73),-1)</f>
        <v>0</v>
      </c>
      <c r="AP73" s="482">
        <f ca="1">ROUND(Grunddaten!BQ49*((Grunddaten!$S49-Grunddaten!$Q49)/100*$G73+$E73),-1)</f>
        <v>0</v>
      </c>
      <c r="AQ73" s="482">
        <f ca="1">ROUND(Grunddaten!BR49*((Grunddaten!$S49-Grunddaten!$Q49)/100*$G73+$E73),-1)</f>
        <v>0</v>
      </c>
      <c r="AR73" s="482">
        <f ca="1">ROUND(Grunddaten!BS49*((Grunddaten!$S49-Grunddaten!$Q49)/100*$G73+$E73),-1)</f>
        <v>0</v>
      </c>
      <c r="AS73" s="482">
        <f ca="1">ROUND(Grunddaten!BT49*((Grunddaten!$S49-Grunddaten!$Q49)/100*$G73+$E73),-1)</f>
        <v>0</v>
      </c>
      <c r="AT73" s="482">
        <f ca="1">ROUND(Grunddaten!BU49*((Grunddaten!$S49-Grunddaten!$Q49)/100*$G73+$E73),-1)</f>
        <v>0</v>
      </c>
      <c r="AU73" s="482">
        <f ca="1">ROUND(Grunddaten!BV49*((Grunddaten!$S49-Grunddaten!$Q49)/100*$G73+$E73),-1)</f>
        <v>0</v>
      </c>
      <c r="AV73" s="482">
        <f ca="1">ROUND(Grunddaten!BW49*((Grunddaten!$S49-Grunddaten!$Q49)/100*$G73+$E73),-1)</f>
        <v>0</v>
      </c>
      <c r="AW73" s="482">
        <f ca="1">ROUND(Grunddaten!BX49*((Grunddaten!$S49-Grunddaten!$Q49)/100*$G73+$E73),-1)</f>
        <v>0</v>
      </c>
      <c r="AX73" s="482">
        <f ca="1">ROUND(Grunddaten!BY49*((Grunddaten!$S49-Grunddaten!$Q49)/100*$G73+$E73),-1)</f>
        <v>0</v>
      </c>
      <c r="AY73" s="482">
        <f ca="1">ROUND(Grunddaten!BZ49*((Grunddaten!$S49-Grunddaten!$Q49)/100*$G73+$E73),-1)</f>
        <v>0</v>
      </c>
      <c r="AZ73" s="482">
        <f ca="1">ROUND(Grunddaten!CA49*((Grunddaten!$S49-Grunddaten!$Q49)/100*$G73+$E73),-1)</f>
        <v>0</v>
      </c>
      <c r="BA73" s="482">
        <f ca="1">ROUND(Grunddaten!CB49*((Grunddaten!$S49-Grunddaten!$Q49)/100*$G73+$E73),-1)</f>
        <v>0</v>
      </c>
      <c r="BB73" s="482">
        <f ca="1">ROUND(Grunddaten!CC49*((Grunddaten!$S49-Grunddaten!$Q49)/100*$G73+$E73),-1)</f>
        <v>0</v>
      </c>
      <c r="BC73" s="482">
        <f ca="1">ROUND(Grunddaten!CD49*((Grunddaten!$S49-Grunddaten!$Q49)/100*$G73+$E73),-1)</f>
        <v>0</v>
      </c>
      <c r="BD73" s="482">
        <f ca="1">ROUND(Grunddaten!CE49*((Grunddaten!$S49-Grunddaten!$Q49)/100*$G73+$E73),-1)</f>
        <v>0</v>
      </c>
      <c r="BE73" s="482">
        <f ca="1">ROUND(Grunddaten!CF49*((Grunddaten!$S49-Grunddaten!$Q49)/100*$G73+$E73),-1)</f>
        <v>0</v>
      </c>
      <c r="BF73" s="482">
        <f ca="1">ROUND(Grunddaten!CG49*((Grunddaten!$S49-Grunddaten!$Q49)/100*$G73+$E73),-1)</f>
        <v>0</v>
      </c>
      <c r="BG73" s="482">
        <f ca="1">ROUND(Grunddaten!CH49*((Grunddaten!$S49-Grunddaten!$Q49)/100*$G73+$E73),-1)</f>
        <v>0</v>
      </c>
      <c r="BH73" s="482">
        <f ca="1">ROUND(Grunddaten!CI49*((Grunddaten!$S49-Grunddaten!$Q49)/100*$G73+$E73),-1)</f>
        <v>0</v>
      </c>
      <c r="BI73" s="482">
        <f ca="1">ROUND(Grunddaten!CJ49*((Grunddaten!$S49-Grunddaten!$Q49)/100*$G73+$E73),-1)</f>
        <v>0</v>
      </c>
      <c r="BJ73" s="482">
        <f ca="1">ROUND(Grunddaten!CK49*((Grunddaten!$S49-Grunddaten!$Q49)/100*$G73+$E73),-1)</f>
        <v>0</v>
      </c>
      <c r="BK73" s="482">
        <f ca="1">ROUND(Grunddaten!CL49*((Grunddaten!$S49-Grunddaten!$Q49)/100*$G73+$E73),-1)</f>
        <v>0</v>
      </c>
      <c r="BL73" s="482">
        <f ca="1">ROUND(Grunddaten!CM49*((Grunddaten!$S49-Grunddaten!$Q49)/100*$G73+$E73),-1)</f>
        <v>0</v>
      </c>
      <c r="BM73" s="482">
        <f ca="1">ROUND(Grunddaten!CN49*((Grunddaten!$S49-Grunddaten!$Q49)/100*$G73+$E73),-1)</f>
        <v>0</v>
      </c>
      <c r="BN73" s="482">
        <f ca="1">ROUND(Grunddaten!CO49*((Grunddaten!$S49-Grunddaten!$Q49)/100*$G73+$E73),-1)</f>
        <v>0</v>
      </c>
      <c r="BO73" s="482">
        <f ca="1">ROUND(Grunddaten!CP49*((Grunddaten!$S49-Grunddaten!$Q49)/100*$G73+$E73),-1)</f>
        <v>0</v>
      </c>
      <c r="BP73" s="482">
        <f ca="1">ROUND(Grunddaten!CQ49*((Grunddaten!$S49-Grunddaten!$Q49)/100*$G73+$E73),-1)</f>
        <v>0</v>
      </c>
      <c r="BQ73" s="483">
        <f ca="1">ROUND(Grunddaten!CR49*((Grunddaten!$S49-Grunddaten!$Q49)/100*$G73+$E73),-1)</f>
        <v>0</v>
      </c>
    </row>
    <row r="74" spans="1:69" s="88" customFormat="1" ht="11.25" customHeight="1" x14ac:dyDescent="0.2">
      <c r="A74" s="513" t="str">
        <f>Grunddaten!C50</f>
        <v>Heizöl EL</v>
      </c>
      <c r="B74" s="1377"/>
      <c r="C74" s="2468"/>
      <c r="D74" s="2469"/>
      <c r="E74" s="2459"/>
      <c r="F74" s="2460"/>
      <c r="G74" s="2456">
        <f ca="1">SUMIF(EV_Var4!$A$10:$B$73,$A74,EV_Var4!$E$10:$E$73)</f>
        <v>0</v>
      </c>
      <c r="H74" s="2457"/>
      <c r="I74" s="2458"/>
      <c r="J74" s="2479">
        <f>Grunddaten!S50-(1-$R$109)*Grunddaten!Q50</f>
        <v>7.6100840336134441</v>
      </c>
      <c r="K74" s="2480"/>
      <c r="L74" s="2645">
        <f t="shared" ca="1" si="4"/>
        <v>0</v>
      </c>
      <c r="M74" s="2646"/>
      <c r="N74" s="2647"/>
      <c r="P74" s="268"/>
      <c r="Q74" s="268"/>
      <c r="S74" s="479">
        <f ca="1">ROUND(Grunddaten!AT50*((Grunddaten!$S50-Grunddaten!$Q50)/100*$G74+$E74),-1)</f>
        <v>0</v>
      </c>
      <c r="T74" s="480">
        <f ca="1">ROUND(Grunddaten!AU50*((Grunddaten!$S50-Grunddaten!$Q50)/100*$G74+$E74),-1)</f>
        <v>0</v>
      </c>
      <c r="U74" s="480">
        <f ca="1">ROUND(Grunddaten!AV50*((Grunddaten!$S50-Grunddaten!$Q50)/100*$G74+$E74),-1)</f>
        <v>0</v>
      </c>
      <c r="V74" s="480">
        <f ca="1">ROUND(Grunddaten!AW50*((Grunddaten!$S50-Grunddaten!$Q50)/100*$G74+$E74),-1)</f>
        <v>0</v>
      </c>
      <c r="W74" s="480">
        <f ca="1">ROUND(Grunddaten!AX50*((Grunddaten!$S50-Grunddaten!$Q50)/100*$G74+$E74),-1)</f>
        <v>0</v>
      </c>
      <c r="X74" s="480">
        <f ca="1">ROUND(Grunddaten!AY50*((Grunddaten!$S50-Grunddaten!$Q50)/100*$G74+$E74),-1)</f>
        <v>0</v>
      </c>
      <c r="Y74" s="480">
        <f ca="1">ROUND(Grunddaten!AZ50*((Grunddaten!$S50-Grunddaten!$Q50)/100*$G74+$E74),-1)</f>
        <v>0</v>
      </c>
      <c r="Z74" s="480">
        <f ca="1">ROUND(Grunddaten!BA50*((Grunddaten!$S50-Grunddaten!$Q50)/100*$G74+$E74),-1)</f>
        <v>0</v>
      </c>
      <c r="AA74" s="480">
        <f ca="1">ROUND(Grunddaten!BB50*((Grunddaten!$S50-Grunddaten!$Q50)/100*$G74+$E74),-1)</f>
        <v>0</v>
      </c>
      <c r="AB74" s="481">
        <f ca="1">ROUND(Grunddaten!BC50*((Grunddaten!$S50-Grunddaten!$Q50)/100*$G74+$E74),-1)</f>
        <v>0</v>
      </c>
      <c r="AC74" s="481">
        <f ca="1">ROUND(Grunddaten!BD50*((Grunddaten!$S50-Grunddaten!$Q50)/100*$G74+$E74),-1)</f>
        <v>0</v>
      </c>
      <c r="AD74" s="481">
        <f ca="1">ROUND(Grunddaten!BE50*((Grunddaten!$S50-Grunddaten!$Q50)/100*$G74+$E74),-1)</f>
        <v>0</v>
      </c>
      <c r="AE74" s="481">
        <f ca="1">ROUND(Grunddaten!BF50*((Grunddaten!$S50-Grunddaten!$Q50)/100*$G74+$E74),-1)</f>
        <v>0</v>
      </c>
      <c r="AF74" s="481">
        <f ca="1">ROUND(Grunddaten!BG50*((Grunddaten!$S50-Grunddaten!$Q50)/100*$G74+$E74),-1)</f>
        <v>0</v>
      </c>
      <c r="AG74" s="481">
        <f ca="1">ROUND(Grunddaten!BH50*((Grunddaten!$S50-Grunddaten!$Q50)/100*$G74+$E74),-1)</f>
        <v>0</v>
      </c>
      <c r="AH74" s="482">
        <f ca="1">ROUND(Grunddaten!BI50*((Grunddaten!$S50-Grunddaten!$Q50)/100*$G74+$E74),-1)</f>
        <v>0</v>
      </c>
      <c r="AI74" s="482">
        <f ca="1">ROUND(Grunddaten!BJ50*((Grunddaten!$S50-Grunddaten!$Q50)/100*$G74+$E74),-1)</f>
        <v>0</v>
      </c>
      <c r="AJ74" s="482">
        <f ca="1">ROUND(Grunddaten!BK50*((Grunddaten!$S50-Grunddaten!$Q50)/100*$G74+$E74),-1)</f>
        <v>0</v>
      </c>
      <c r="AK74" s="482">
        <f ca="1">ROUND(Grunddaten!BL50*((Grunddaten!$S50-Grunddaten!$Q50)/100*$G74+$E74),-1)</f>
        <v>0</v>
      </c>
      <c r="AL74" s="482">
        <f ca="1">ROUND(Grunddaten!BM50*((Grunddaten!$S50-Grunddaten!$Q50)/100*$G74+$E74),-1)</f>
        <v>0</v>
      </c>
      <c r="AM74" s="482">
        <f ca="1">ROUND(Grunddaten!BN50*((Grunddaten!$S50-Grunddaten!$Q50)/100*$G74+$E74),-1)</f>
        <v>0</v>
      </c>
      <c r="AN74" s="482">
        <f ca="1">ROUND(Grunddaten!BO50*((Grunddaten!$S50-Grunddaten!$Q50)/100*$G74+$E74),-1)</f>
        <v>0</v>
      </c>
      <c r="AO74" s="482">
        <f ca="1">ROUND(Grunddaten!BP50*((Grunddaten!$S50-Grunddaten!$Q50)/100*$G74+$E74),-1)</f>
        <v>0</v>
      </c>
      <c r="AP74" s="482">
        <f ca="1">ROUND(Grunddaten!BQ50*((Grunddaten!$S50-Grunddaten!$Q50)/100*$G74+$E74),-1)</f>
        <v>0</v>
      </c>
      <c r="AQ74" s="482">
        <f ca="1">ROUND(Grunddaten!BR50*((Grunddaten!$S50-Grunddaten!$Q50)/100*$G74+$E74),-1)</f>
        <v>0</v>
      </c>
      <c r="AR74" s="482">
        <f ca="1">ROUND(Grunddaten!BS50*((Grunddaten!$S50-Grunddaten!$Q50)/100*$G74+$E74),-1)</f>
        <v>0</v>
      </c>
      <c r="AS74" s="482">
        <f ca="1">ROUND(Grunddaten!BT50*((Grunddaten!$S50-Grunddaten!$Q50)/100*$G74+$E74),-1)</f>
        <v>0</v>
      </c>
      <c r="AT74" s="482">
        <f ca="1">ROUND(Grunddaten!BU50*((Grunddaten!$S50-Grunddaten!$Q50)/100*$G74+$E74),-1)</f>
        <v>0</v>
      </c>
      <c r="AU74" s="482">
        <f ca="1">ROUND(Grunddaten!BV50*((Grunddaten!$S50-Grunddaten!$Q50)/100*$G74+$E74),-1)</f>
        <v>0</v>
      </c>
      <c r="AV74" s="482">
        <f ca="1">ROUND(Grunddaten!BW50*((Grunddaten!$S50-Grunddaten!$Q50)/100*$G74+$E74),-1)</f>
        <v>0</v>
      </c>
      <c r="AW74" s="482">
        <f ca="1">ROUND(Grunddaten!BX50*((Grunddaten!$S50-Grunddaten!$Q50)/100*$G74+$E74),-1)</f>
        <v>0</v>
      </c>
      <c r="AX74" s="482">
        <f ca="1">ROUND(Grunddaten!BY50*((Grunddaten!$S50-Grunddaten!$Q50)/100*$G74+$E74),-1)</f>
        <v>0</v>
      </c>
      <c r="AY74" s="482">
        <f ca="1">ROUND(Grunddaten!BZ50*((Grunddaten!$S50-Grunddaten!$Q50)/100*$G74+$E74),-1)</f>
        <v>0</v>
      </c>
      <c r="AZ74" s="482">
        <f ca="1">ROUND(Grunddaten!CA50*((Grunddaten!$S50-Grunddaten!$Q50)/100*$G74+$E74),-1)</f>
        <v>0</v>
      </c>
      <c r="BA74" s="482">
        <f ca="1">ROUND(Grunddaten!CB50*((Grunddaten!$S50-Grunddaten!$Q50)/100*$G74+$E74),-1)</f>
        <v>0</v>
      </c>
      <c r="BB74" s="482">
        <f ca="1">ROUND(Grunddaten!CC50*((Grunddaten!$S50-Grunddaten!$Q50)/100*$G74+$E74),-1)</f>
        <v>0</v>
      </c>
      <c r="BC74" s="482">
        <f ca="1">ROUND(Grunddaten!CD50*((Grunddaten!$S50-Grunddaten!$Q50)/100*$G74+$E74),-1)</f>
        <v>0</v>
      </c>
      <c r="BD74" s="482">
        <f ca="1">ROUND(Grunddaten!CE50*((Grunddaten!$S50-Grunddaten!$Q50)/100*$G74+$E74),-1)</f>
        <v>0</v>
      </c>
      <c r="BE74" s="482">
        <f ca="1">ROUND(Grunddaten!CF50*((Grunddaten!$S50-Grunddaten!$Q50)/100*$G74+$E74),-1)</f>
        <v>0</v>
      </c>
      <c r="BF74" s="482">
        <f ca="1">ROUND(Grunddaten!CG50*((Grunddaten!$S50-Grunddaten!$Q50)/100*$G74+$E74),-1)</f>
        <v>0</v>
      </c>
      <c r="BG74" s="482">
        <f ca="1">ROUND(Grunddaten!CH50*((Grunddaten!$S50-Grunddaten!$Q50)/100*$G74+$E74),-1)</f>
        <v>0</v>
      </c>
      <c r="BH74" s="482">
        <f ca="1">ROUND(Grunddaten!CI50*((Grunddaten!$S50-Grunddaten!$Q50)/100*$G74+$E74),-1)</f>
        <v>0</v>
      </c>
      <c r="BI74" s="482">
        <f ca="1">ROUND(Grunddaten!CJ50*((Grunddaten!$S50-Grunddaten!$Q50)/100*$G74+$E74),-1)</f>
        <v>0</v>
      </c>
      <c r="BJ74" s="482">
        <f ca="1">ROUND(Grunddaten!CK50*((Grunddaten!$S50-Grunddaten!$Q50)/100*$G74+$E74),-1)</f>
        <v>0</v>
      </c>
      <c r="BK74" s="482">
        <f ca="1">ROUND(Grunddaten!CL50*((Grunddaten!$S50-Grunddaten!$Q50)/100*$G74+$E74),-1)</f>
        <v>0</v>
      </c>
      <c r="BL74" s="482">
        <f ca="1">ROUND(Grunddaten!CM50*((Grunddaten!$S50-Grunddaten!$Q50)/100*$G74+$E74),-1)</f>
        <v>0</v>
      </c>
      <c r="BM74" s="482">
        <f ca="1">ROUND(Grunddaten!CN50*((Grunddaten!$S50-Grunddaten!$Q50)/100*$G74+$E74),-1)</f>
        <v>0</v>
      </c>
      <c r="BN74" s="482">
        <f ca="1">ROUND(Grunddaten!CO50*((Grunddaten!$S50-Grunddaten!$Q50)/100*$G74+$E74),-1)</f>
        <v>0</v>
      </c>
      <c r="BO74" s="482">
        <f ca="1">ROUND(Grunddaten!CP50*((Grunddaten!$S50-Grunddaten!$Q50)/100*$G74+$E74),-1)</f>
        <v>0</v>
      </c>
      <c r="BP74" s="482">
        <f ca="1">ROUND(Grunddaten!CQ50*((Grunddaten!$S50-Grunddaten!$Q50)/100*$G74+$E74),-1)</f>
        <v>0</v>
      </c>
      <c r="BQ74" s="483">
        <f ca="1">ROUND(Grunddaten!CR50*((Grunddaten!$S50-Grunddaten!$Q50)/100*$G74+$E74),-1)</f>
        <v>0</v>
      </c>
    </row>
    <row r="75" spans="1:69" s="88" customFormat="1" ht="11.25" customHeight="1" x14ac:dyDescent="0.2">
      <c r="A75" s="549" t="str">
        <f>Grunddaten!$C$51</f>
        <v>Brennstoff XY</v>
      </c>
      <c r="B75" s="1389"/>
      <c r="C75" s="2468"/>
      <c r="D75" s="2469"/>
      <c r="E75" s="2459">
        <f xml:space="preserve"> (IF(EV_Var4!$A$19=$A75,EV_Var4!$H$19,0) + IF(EV_Var4!$A$23=$A75,EV_Var4!$H$23,0) + IF(EV_Var4!$A$28=$A75,(EV_Var4!$H$27-EV_Var4!$AF$23),0) + IF(EV_Var4!$A$59=$A75,EV_Var4!$H$59,0)) * Grunddaten!$AI51</f>
        <v>0</v>
      </c>
      <c r="F75" s="2460"/>
      <c r="G75" s="2456">
        <f ca="1">SUMIF(EV_Var4!$A$10:$B$73,$A75,EV_Var4!$E$10:$E$73)</f>
        <v>0</v>
      </c>
      <c r="H75" s="2457"/>
      <c r="I75" s="2458"/>
      <c r="J75" s="2479">
        <f>Grunddaten!S51-(1-$R$109)*Grunddaten!Q51</f>
        <v>0</v>
      </c>
      <c r="K75" s="2480"/>
      <c r="L75" s="2645">
        <f t="shared" ca="1" si="4"/>
        <v>0</v>
      </c>
      <c r="M75" s="2646"/>
      <c r="N75" s="2647"/>
      <c r="P75" s="268"/>
      <c r="Q75" s="268"/>
      <c r="S75" s="479">
        <f ca="1">ROUND(Grunddaten!AT51*((Grunddaten!$S51-Grunddaten!$Q51)/100*$G75+$E75),-1)</f>
        <v>0</v>
      </c>
      <c r="T75" s="480">
        <f ca="1">ROUND(Grunddaten!AU51*((Grunddaten!$S51-Grunddaten!$Q51)/100*$G75+$E75),-1)</f>
        <v>0</v>
      </c>
      <c r="U75" s="480">
        <f ca="1">ROUND(Grunddaten!AV51*((Grunddaten!$S51-Grunddaten!$Q51)/100*$G75+$E75),-1)</f>
        <v>0</v>
      </c>
      <c r="V75" s="480">
        <f ca="1">ROUND(Grunddaten!AW51*((Grunddaten!$S51-Grunddaten!$Q51)/100*$G75+$E75),-1)</f>
        <v>0</v>
      </c>
      <c r="W75" s="480">
        <f ca="1">ROUND(Grunddaten!AX51*((Grunddaten!$S51-Grunddaten!$Q51)/100*$G75+$E75),-1)</f>
        <v>0</v>
      </c>
      <c r="X75" s="480">
        <f ca="1">ROUND(Grunddaten!AY51*((Grunddaten!$S51-Grunddaten!$Q51)/100*$G75+$E75),-1)</f>
        <v>0</v>
      </c>
      <c r="Y75" s="480">
        <f ca="1">ROUND(Grunddaten!AZ51*((Grunddaten!$S51-Grunddaten!$Q51)/100*$G75+$E75),-1)</f>
        <v>0</v>
      </c>
      <c r="Z75" s="480">
        <f ca="1">ROUND(Grunddaten!BA51*((Grunddaten!$S51-Grunddaten!$Q51)/100*$G75+$E75),-1)</f>
        <v>0</v>
      </c>
      <c r="AA75" s="480">
        <f ca="1">ROUND(Grunddaten!BB51*((Grunddaten!$S51-Grunddaten!$Q51)/100*$G75+$E75),-1)</f>
        <v>0</v>
      </c>
      <c r="AB75" s="481">
        <f ca="1">ROUND(Grunddaten!BC51*((Grunddaten!$S51-Grunddaten!$Q51)/100*$G75+$E75),-1)</f>
        <v>0</v>
      </c>
      <c r="AC75" s="481">
        <f ca="1">ROUND(Grunddaten!BD51*((Grunddaten!$S51-Grunddaten!$Q51)/100*$G75+$E75),-1)</f>
        <v>0</v>
      </c>
      <c r="AD75" s="481">
        <f ca="1">ROUND(Grunddaten!BE51*((Grunddaten!$S51-Grunddaten!$Q51)/100*$G75+$E75),-1)</f>
        <v>0</v>
      </c>
      <c r="AE75" s="481">
        <f ca="1">ROUND(Grunddaten!BF51*((Grunddaten!$S51-Grunddaten!$Q51)/100*$G75+$E75),-1)</f>
        <v>0</v>
      </c>
      <c r="AF75" s="481">
        <f ca="1">ROUND(Grunddaten!BG51*((Grunddaten!$S51-Grunddaten!$Q51)/100*$G75+$E75),-1)</f>
        <v>0</v>
      </c>
      <c r="AG75" s="481">
        <f ca="1">ROUND(Grunddaten!BH51*((Grunddaten!$S51-Grunddaten!$Q51)/100*$G75+$E75),-1)</f>
        <v>0</v>
      </c>
      <c r="AH75" s="482">
        <f ca="1">ROUND(Grunddaten!BI51*((Grunddaten!$S51-Grunddaten!$Q51)/100*$G75+$E75),-1)</f>
        <v>0</v>
      </c>
      <c r="AI75" s="482">
        <f ca="1">ROUND(Grunddaten!BJ51*((Grunddaten!$S51-Grunddaten!$Q51)/100*$G75+$E75),-1)</f>
        <v>0</v>
      </c>
      <c r="AJ75" s="482">
        <f ca="1">ROUND(Grunddaten!BK51*((Grunddaten!$S51-Grunddaten!$Q51)/100*$G75+$E75),-1)</f>
        <v>0</v>
      </c>
      <c r="AK75" s="482">
        <f ca="1">ROUND(Grunddaten!BL51*((Grunddaten!$S51-Grunddaten!$Q51)/100*$G75+$E75),-1)</f>
        <v>0</v>
      </c>
      <c r="AL75" s="482">
        <f ca="1">ROUND(Grunddaten!BM51*((Grunddaten!$S51-Grunddaten!$Q51)/100*$G75+$E75),-1)</f>
        <v>0</v>
      </c>
      <c r="AM75" s="482">
        <f ca="1">ROUND(Grunddaten!BN51*((Grunddaten!$S51-Grunddaten!$Q51)/100*$G75+$E75),-1)</f>
        <v>0</v>
      </c>
      <c r="AN75" s="482">
        <f ca="1">ROUND(Grunddaten!BO51*((Grunddaten!$S51-Grunddaten!$Q51)/100*$G75+$E75),-1)</f>
        <v>0</v>
      </c>
      <c r="AO75" s="482">
        <f ca="1">ROUND(Grunddaten!BP51*((Grunddaten!$S51-Grunddaten!$Q51)/100*$G75+$E75),-1)</f>
        <v>0</v>
      </c>
      <c r="AP75" s="482">
        <f ca="1">ROUND(Grunddaten!BQ51*((Grunddaten!$S51-Grunddaten!$Q51)/100*$G75+$E75),-1)</f>
        <v>0</v>
      </c>
      <c r="AQ75" s="482">
        <f ca="1">ROUND(Grunddaten!BR51*((Grunddaten!$S51-Grunddaten!$Q51)/100*$G75+$E75),-1)</f>
        <v>0</v>
      </c>
      <c r="AR75" s="482">
        <f ca="1">ROUND(Grunddaten!BS51*((Grunddaten!$S51-Grunddaten!$Q51)/100*$G75+$E75),-1)</f>
        <v>0</v>
      </c>
      <c r="AS75" s="482">
        <f ca="1">ROUND(Grunddaten!BT51*((Grunddaten!$S51-Grunddaten!$Q51)/100*$G75+$E75),-1)</f>
        <v>0</v>
      </c>
      <c r="AT75" s="482">
        <f ca="1">ROUND(Grunddaten!BU51*((Grunddaten!$S51-Grunddaten!$Q51)/100*$G75+$E75),-1)</f>
        <v>0</v>
      </c>
      <c r="AU75" s="482">
        <f ca="1">ROUND(Grunddaten!BV51*((Grunddaten!$S51-Grunddaten!$Q51)/100*$G75+$E75),-1)</f>
        <v>0</v>
      </c>
      <c r="AV75" s="482">
        <f ca="1">ROUND(Grunddaten!BW51*((Grunddaten!$S51-Grunddaten!$Q51)/100*$G75+$E75),-1)</f>
        <v>0</v>
      </c>
      <c r="AW75" s="482">
        <f ca="1">ROUND(Grunddaten!BX51*((Grunddaten!$S51-Grunddaten!$Q51)/100*$G75+$E75),-1)</f>
        <v>0</v>
      </c>
      <c r="AX75" s="482">
        <f ca="1">ROUND(Grunddaten!BY51*((Grunddaten!$S51-Grunddaten!$Q51)/100*$G75+$E75),-1)</f>
        <v>0</v>
      </c>
      <c r="AY75" s="482">
        <f ca="1">ROUND(Grunddaten!BZ51*((Grunddaten!$S51-Grunddaten!$Q51)/100*$G75+$E75),-1)</f>
        <v>0</v>
      </c>
      <c r="AZ75" s="482">
        <f ca="1">ROUND(Grunddaten!CA51*((Grunddaten!$S51-Grunddaten!$Q51)/100*$G75+$E75),-1)</f>
        <v>0</v>
      </c>
      <c r="BA75" s="482">
        <f ca="1">ROUND(Grunddaten!CB51*((Grunddaten!$S51-Grunddaten!$Q51)/100*$G75+$E75),-1)</f>
        <v>0</v>
      </c>
      <c r="BB75" s="482">
        <f ca="1">ROUND(Grunddaten!CC51*((Grunddaten!$S51-Grunddaten!$Q51)/100*$G75+$E75),-1)</f>
        <v>0</v>
      </c>
      <c r="BC75" s="482">
        <f ca="1">ROUND(Grunddaten!CD51*((Grunddaten!$S51-Grunddaten!$Q51)/100*$G75+$E75),-1)</f>
        <v>0</v>
      </c>
      <c r="BD75" s="482">
        <f ca="1">ROUND(Grunddaten!CE51*((Grunddaten!$S51-Grunddaten!$Q51)/100*$G75+$E75),-1)</f>
        <v>0</v>
      </c>
      <c r="BE75" s="482">
        <f ca="1">ROUND(Grunddaten!CF51*((Grunddaten!$S51-Grunddaten!$Q51)/100*$G75+$E75),-1)</f>
        <v>0</v>
      </c>
      <c r="BF75" s="482">
        <f ca="1">ROUND(Grunddaten!CG51*((Grunddaten!$S51-Grunddaten!$Q51)/100*$G75+$E75),-1)</f>
        <v>0</v>
      </c>
      <c r="BG75" s="482">
        <f ca="1">ROUND(Grunddaten!CH51*((Grunddaten!$S51-Grunddaten!$Q51)/100*$G75+$E75),-1)</f>
        <v>0</v>
      </c>
      <c r="BH75" s="482">
        <f ca="1">ROUND(Grunddaten!CI51*((Grunddaten!$S51-Grunddaten!$Q51)/100*$G75+$E75),-1)</f>
        <v>0</v>
      </c>
      <c r="BI75" s="482">
        <f ca="1">ROUND(Grunddaten!CJ51*((Grunddaten!$S51-Grunddaten!$Q51)/100*$G75+$E75),-1)</f>
        <v>0</v>
      </c>
      <c r="BJ75" s="482">
        <f ca="1">ROUND(Grunddaten!CK51*((Grunddaten!$S51-Grunddaten!$Q51)/100*$G75+$E75),-1)</f>
        <v>0</v>
      </c>
      <c r="BK75" s="482">
        <f ca="1">ROUND(Grunddaten!CL51*((Grunddaten!$S51-Grunddaten!$Q51)/100*$G75+$E75),-1)</f>
        <v>0</v>
      </c>
      <c r="BL75" s="482">
        <f ca="1">ROUND(Grunddaten!CM51*((Grunddaten!$S51-Grunddaten!$Q51)/100*$G75+$E75),-1)</f>
        <v>0</v>
      </c>
      <c r="BM75" s="482">
        <f ca="1">ROUND(Grunddaten!CN51*((Grunddaten!$S51-Grunddaten!$Q51)/100*$G75+$E75),-1)</f>
        <v>0</v>
      </c>
      <c r="BN75" s="482">
        <f ca="1">ROUND(Grunddaten!CO51*((Grunddaten!$S51-Grunddaten!$Q51)/100*$G75+$E75),-1)</f>
        <v>0</v>
      </c>
      <c r="BO75" s="482">
        <f ca="1">ROUND(Grunddaten!CP51*((Grunddaten!$S51-Grunddaten!$Q51)/100*$G75+$E75),-1)</f>
        <v>0</v>
      </c>
      <c r="BP75" s="482">
        <f ca="1">ROUND(Grunddaten!CQ51*((Grunddaten!$S51-Grunddaten!$Q51)/100*$G75+$E75),-1)</f>
        <v>0</v>
      </c>
      <c r="BQ75" s="483">
        <f ca="1">ROUND(Grunddaten!CR51*((Grunddaten!$S51-Grunddaten!$Q51)/100*$G75+$E75),-1)</f>
        <v>0</v>
      </c>
    </row>
    <row r="76" spans="1:69" s="88" customFormat="1" ht="11.25" customHeight="1" x14ac:dyDescent="0.2">
      <c r="A76" s="513" t="str">
        <f>Grunddaten!A52</f>
        <v>Fernwärme</v>
      </c>
      <c r="B76" s="1377"/>
      <c r="C76" s="2468"/>
      <c r="D76" s="2469"/>
      <c r="E76" s="2459">
        <f xml:space="preserve"> VLOOKUP(Projektdaten!$G$22,Grunddaten!$C$52:$AI$54,33,FALSE) * IF(Grunddaten!$AM$55=Grunddaten!$AK$54,SQRT(EV_Var4!$AF$30/1000)*1000,EV_Var4!$AF$30)</f>
        <v>0</v>
      </c>
      <c r="F76" s="2460"/>
      <c r="G76" s="2456">
        <f ca="1">SUMIF(EV_Var4!$A$10:$B$73,$A76,EV_Var4!$E$10:$E$73)</f>
        <v>0</v>
      </c>
      <c r="H76" s="2457"/>
      <c r="I76" s="2458"/>
      <c r="J76" s="2461">
        <f ca="1">OFFSET(Grunddaten!$S$52,FW_Produkt,0)-(1-R109)*OFFSET(Grunddaten!$Q$52,FW_Produkt,0)</f>
        <v>8.0487999999999982</v>
      </c>
      <c r="K76" s="2462"/>
      <c r="L76" s="2645">
        <f t="shared" ca="1" si="4"/>
        <v>0</v>
      </c>
      <c r="M76" s="2646"/>
      <c r="N76" s="2647"/>
      <c r="P76" s="268"/>
      <c r="Q76" s="268"/>
      <c r="S76" s="479">
        <f ca="1">ROUND(OFFSET(Grunddaten!AT52,FW_Produkt,0)*((OFFSET(Grunddaten!$S52,FW_Produkt,0)-OFFSET(Grunddaten!$Q52,FW_Produkt,0))/100*$G76+$E76),-1)</f>
        <v>0</v>
      </c>
      <c r="T76" s="480">
        <f ca="1">ROUND(OFFSET(Grunddaten!AU52,FW_Produkt,0)*((OFFSET(Grunddaten!$S52,FW_Produkt,0)-OFFSET(Grunddaten!$Q52,FW_Produkt,0))/100*$G76+$E76),-1)</f>
        <v>0</v>
      </c>
      <c r="U76" s="480">
        <f ca="1">ROUND(OFFSET(Grunddaten!AV52,FW_Produkt,0)*((OFFSET(Grunddaten!$S52,FW_Produkt,0)-OFFSET(Grunddaten!$Q52,FW_Produkt,0))/100*$G76+$E76),-1)</f>
        <v>0</v>
      </c>
      <c r="V76" s="480">
        <f ca="1">ROUND(OFFSET(Grunddaten!AW52,FW_Produkt,0)*((OFFSET(Grunddaten!$S52,FW_Produkt,0)-OFFSET(Grunddaten!$Q52,FW_Produkt,0))/100*$G76+$E76),-1)</f>
        <v>0</v>
      </c>
      <c r="W76" s="480">
        <f ca="1">ROUND(OFFSET(Grunddaten!AX52,FW_Produkt,0)*((OFFSET(Grunddaten!$S52,FW_Produkt,0)-OFFSET(Grunddaten!$Q52,FW_Produkt,0))/100*$G76+$E76),-1)</f>
        <v>0</v>
      </c>
      <c r="X76" s="480">
        <f ca="1">ROUND(OFFSET(Grunddaten!AY52,FW_Produkt,0)*((OFFSET(Grunddaten!$S52,FW_Produkt,0)-OFFSET(Grunddaten!$Q52,FW_Produkt,0))/100*$G76+$E76),-1)</f>
        <v>0</v>
      </c>
      <c r="Y76" s="480">
        <f ca="1">ROUND(OFFSET(Grunddaten!AZ52,FW_Produkt,0)*((OFFSET(Grunddaten!$S52,FW_Produkt,0)-OFFSET(Grunddaten!$Q52,FW_Produkt,0))/100*$G76+$E76),-1)</f>
        <v>0</v>
      </c>
      <c r="Z76" s="480">
        <f ca="1">ROUND(OFFSET(Grunddaten!BA52,FW_Produkt,0)*((OFFSET(Grunddaten!$S52,FW_Produkt,0)-OFFSET(Grunddaten!$Q52,FW_Produkt,0))/100*$G76+$E76),-1)</f>
        <v>0</v>
      </c>
      <c r="AA76" s="480">
        <f ca="1">ROUND(OFFSET(Grunddaten!BB52,FW_Produkt,0)*((OFFSET(Grunddaten!$S52,FW_Produkt,0)-OFFSET(Grunddaten!$Q52,FW_Produkt,0))/100*$G76+$E76),-1)</f>
        <v>0</v>
      </c>
      <c r="AB76" s="480">
        <f ca="1">ROUND(OFFSET(Grunddaten!BC52,FW_Produkt,0)*((OFFSET(Grunddaten!$S52,FW_Produkt,0)-OFFSET(Grunddaten!$Q52,FW_Produkt,0))/100*$G76+$E76),-1)</f>
        <v>0</v>
      </c>
      <c r="AC76" s="480">
        <f ca="1">ROUND(OFFSET(Grunddaten!BD52,FW_Produkt,0)*((OFFSET(Grunddaten!$S52,FW_Produkt,0)-OFFSET(Grunddaten!$Q52,FW_Produkt,0))/100*$G76+$E76),-1)</f>
        <v>0</v>
      </c>
      <c r="AD76" s="480">
        <f ca="1">ROUND(OFFSET(Grunddaten!BE52,FW_Produkt,0)*((OFFSET(Grunddaten!$S52,FW_Produkt,0)-OFFSET(Grunddaten!$Q52,FW_Produkt,0))/100*$G76+$E76),-1)</f>
        <v>0</v>
      </c>
      <c r="AE76" s="480">
        <f ca="1">ROUND(OFFSET(Grunddaten!BF52,FW_Produkt,0)*((OFFSET(Grunddaten!$S52,FW_Produkt,0)-OFFSET(Grunddaten!$Q52,FW_Produkt,0))/100*$G76+$E76),-1)</f>
        <v>0</v>
      </c>
      <c r="AF76" s="480">
        <f ca="1">ROUND(OFFSET(Grunddaten!BG52,FW_Produkt,0)*((OFFSET(Grunddaten!$S52,FW_Produkt,0)-OFFSET(Grunddaten!$Q52,FW_Produkt,0))/100*$G76+$E76),-1)</f>
        <v>0</v>
      </c>
      <c r="AG76" s="480">
        <f ca="1">ROUND(OFFSET(Grunddaten!BH52,FW_Produkt,0)*((OFFSET(Grunddaten!$S52,FW_Produkt,0)-OFFSET(Grunddaten!$Q52,FW_Produkt,0))/100*$G76+$E76),-1)</f>
        <v>0</v>
      </c>
      <c r="AH76" s="480">
        <f ca="1">ROUND(OFFSET(Grunddaten!BI52,FW_Produkt,0)*((OFFSET(Grunddaten!$S52,FW_Produkt,0)-OFFSET(Grunddaten!$Q52,FW_Produkt,0))/100*$G76+$E76),-1)</f>
        <v>0</v>
      </c>
      <c r="AI76" s="480">
        <f ca="1">ROUND(OFFSET(Grunddaten!BJ52,FW_Produkt,0)*((OFFSET(Grunddaten!$S52,FW_Produkt,0)-OFFSET(Grunddaten!$Q52,FW_Produkt,0))/100*$G76+$E76),-1)</f>
        <v>0</v>
      </c>
      <c r="AJ76" s="480">
        <f ca="1">ROUND(OFFSET(Grunddaten!BK52,FW_Produkt,0)*((OFFSET(Grunddaten!$S52,FW_Produkt,0)-OFFSET(Grunddaten!$Q52,FW_Produkt,0))/100*$G76+$E76),-1)</f>
        <v>0</v>
      </c>
      <c r="AK76" s="480">
        <f ca="1">ROUND(OFFSET(Grunddaten!BL52,FW_Produkt,0)*((OFFSET(Grunddaten!$S52,FW_Produkt,0)-OFFSET(Grunddaten!$Q52,FW_Produkt,0))/100*$G76+$E76),-1)</f>
        <v>0</v>
      </c>
      <c r="AL76" s="480">
        <f ca="1">ROUND(OFFSET(Grunddaten!BM52,FW_Produkt,0)*((OFFSET(Grunddaten!$S52,FW_Produkt,0)-OFFSET(Grunddaten!$Q52,FW_Produkt,0))/100*$G76+$E76),-1)</f>
        <v>0</v>
      </c>
      <c r="AM76" s="480">
        <f ca="1">ROUND(OFFSET(Grunddaten!BN52,FW_Produkt,0)*((OFFSET(Grunddaten!$S52,FW_Produkt,0)-OFFSET(Grunddaten!$Q52,FW_Produkt,0))/100*$G76+$E76),-1)</f>
        <v>0</v>
      </c>
      <c r="AN76" s="480">
        <f ca="1">ROUND(OFFSET(Grunddaten!BO52,FW_Produkt,0)*((OFFSET(Grunddaten!$S52,FW_Produkt,0)-OFFSET(Grunddaten!$Q52,FW_Produkt,0))/100*$G76+$E76),-1)</f>
        <v>0</v>
      </c>
      <c r="AO76" s="480">
        <f ca="1">ROUND(OFFSET(Grunddaten!BP52,FW_Produkt,0)*((OFFSET(Grunddaten!$S52,FW_Produkt,0)-OFFSET(Grunddaten!$Q52,FW_Produkt,0))/100*$G76+$E76),-1)</f>
        <v>0</v>
      </c>
      <c r="AP76" s="480">
        <f ca="1">ROUND(OFFSET(Grunddaten!BQ52,FW_Produkt,0)*((OFFSET(Grunddaten!$S52,FW_Produkt,0)-OFFSET(Grunddaten!$Q52,FW_Produkt,0))/100*$G76+$E76),-1)</f>
        <v>0</v>
      </c>
      <c r="AQ76" s="480">
        <f ca="1">ROUND(OFFSET(Grunddaten!BR52,FW_Produkt,0)*((OFFSET(Grunddaten!$S52,FW_Produkt,0)-OFFSET(Grunddaten!$Q52,FW_Produkt,0))/100*$G76+$E76),-1)</f>
        <v>0</v>
      </c>
      <c r="AR76" s="480">
        <f ca="1">ROUND(OFFSET(Grunddaten!BS52,FW_Produkt,0)*((OFFSET(Grunddaten!$S52,FW_Produkt,0)-OFFSET(Grunddaten!$Q52,FW_Produkt,0))/100*$G76+$E76),-1)</f>
        <v>0</v>
      </c>
      <c r="AS76" s="480">
        <f ca="1">ROUND(OFFSET(Grunddaten!BT52,FW_Produkt,0)*((OFFSET(Grunddaten!$S52,FW_Produkt,0)-OFFSET(Grunddaten!$Q52,FW_Produkt,0))/100*$G76+$E76),-1)</f>
        <v>0</v>
      </c>
      <c r="AT76" s="480">
        <f ca="1">ROUND(OFFSET(Grunddaten!BU52,FW_Produkt,0)*((OFFSET(Grunddaten!$S52,FW_Produkt,0)-OFFSET(Grunddaten!$Q52,FW_Produkt,0))/100*$G76+$E76),-1)</f>
        <v>0</v>
      </c>
      <c r="AU76" s="480">
        <f ca="1">ROUND(OFFSET(Grunddaten!BV52,FW_Produkt,0)*((OFFSET(Grunddaten!$S52,FW_Produkt,0)-OFFSET(Grunddaten!$Q52,FW_Produkt,0))/100*$G76+$E76),-1)</f>
        <v>0</v>
      </c>
      <c r="AV76" s="480">
        <f ca="1">ROUND(OFFSET(Grunddaten!BW52,FW_Produkt,0)*((OFFSET(Grunddaten!$S52,FW_Produkt,0)-OFFSET(Grunddaten!$Q52,FW_Produkt,0))/100*$G76+$E76),-1)</f>
        <v>0</v>
      </c>
      <c r="AW76" s="480">
        <f ca="1">ROUND(OFFSET(Grunddaten!BX52,FW_Produkt,0)*((OFFSET(Grunddaten!$S52,FW_Produkt,0)-OFFSET(Grunddaten!$Q52,FW_Produkt,0))/100*$G76+$E76),-1)</f>
        <v>0</v>
      </c>
      <c r="AX76" s="480">
        <f ca="1">ROUND(OFFSET(Grunddaten!BY52,FW_Produkt,0)*((OFFSET(Grunddaten!$S52,FW_Produkt,0)-OFFSET(Grunddaten!$Q52,FW_Produkt,0))/100*$G76+$E76),-1)</f>
        <v>0</v>
      </c>
      <c r="AY76" s="480">
        <f ca="1">ROUND(OFFSET(Grunddaten!BZ52,FW_Produkt,0)*((OFFSET(Grunddaten!$S52,FW_Produkt,0)-OFFSET(Grunddaten!$Q52,FW_Produkt,0))/100*$G76+$E76),-1)</f>
        <v>0</v>
      </c>
      <c r="AZ76" s="480">
        <f ca="1">ROUND(OFFSET(Grunddaten!CA52,FW_Produkt,0)*((OFFSET(Grunddaten!$S52,FW_Produkt,0)-OFFSET(Grunddaten!$Q52,FW_Produkt,0))/100*$G76+$E76),-1)</f>
        <v>0</v>
      </c>
      <c r="BA76" s="480">
        <f ca="1">ROUND(OFFSET(Grunddaten!CB52,FW_Produkt,0)*((OFFSET(Grunddaten!$S52,FW_Produkt,0)-OFFSET(Grunddaten!$Q52,FW_Produkt,0))/100*$G76+$E76),-1)</f>
        <v>0</v>
      </c>
      <c r="BB76" s="480">
        <f ca="1">ROUND(OFFSET(Grunddaten!CC52,FW_Produkt,0)*((OFFSET(Grunddaten!$S52,FW_Produkt,0)-OFFSET(Grunddaten!$Q52,FW_Produkt,0))/100*$G76+$E76),-1)</f>
        <v>0</v>
      </c>
      <c r="BC76" s="480">
        <f ca="1">ROUND(OFFSET(Grunddaten!CD52,FW_Produkt,0)*((OFFSET(Grunddaten!$S52,FW_Produkt,0)-OFFSET(Grunddaten!$Q52,FW_Produkt,0))/100*$G76+$E76),-1)</f>
        <v>0</v>
      </c>
      <c r="BD76" s="480">
        <f ca="1">ROUND(OFFSET(Grunddaten!CE52,FW_Produkt,0)*((OFFSET(Grunddaten!$S52,FW_Produkt,0)-OFFSET(Grunddaten!$Q52,FW_Produkt,0))/100*$G76+$E76),-1)</f>
        <v>0</v>
      </c>
      <c r="BE76" s="480">
        <f ca="1">ROUND(OFFSET(Grunddaten!CF52,FW_Produkt,0)*((OFFSET(Grunddaten!$S52,FW_Produkt,0)-OFFSET(Grunddaten!$Q52,FW_Produkt,0))/100*$G76+$E76),-1)</f>
        <v>0</v>
      </c>
      <c r="BF76" s="480">
        <f ca="1">ROUND(OFFSET(Grunddaten!CG52,FW_Produkt,0)*((OFFSET(Grunddaten!$S52,FW_Produkt,0)-OFFSET(Grunddaten!$Q52,FW_Produkt,0))/100*$G76+$E76),-1)</f>
        <v>0</v>
      </c>
      <c r="BG76" s="480">
        <f ca="1">ROUND(OFFSET(Grunddaten!CH52,FW_Produkt,0)*((OFFSET(Grunddaten!$S52,FW_Produkt,0)-OFFSET(Grunddaten!$Q52,FW_Produkt,0))/100*$G76+$E76),-1)</f>
        <v>0</v>
      </c>
      <c r="BH76" s="480">
        <f ca="1">ROUND(OFFSET(Grunddaten!CI52,FW_Produkt,0)*((OFFSET(Grunddaten!$S52,FW_Produkt,0)-OFFSET(Grunddaten!$Q52,FW_Produkt,0))/100*$G76+$E76),-1)</f>
        <v>0</v>
      </c>
      <c r="BI76" s="480">
        <f ca="1">ROUND(OFFSET(Grunddaten!CJ52,FW_Produkt,0)*((OFFSET(Grunddaten!$S52,FW_Produkt,0)-OFFSET(Grunddaten!$Q52,FW_Produkt,0))/100*$G76+$E76),-1)</f>
        <v>0</v>
      </c>
      <c r="BJ76" s="480">
        <f ca="1">ROUND(OFFSET(Grunddaten!CK52,FW_Produkt,0)*((OFFSET(Grunddaten!$S52,FW_Produkt,0)-OFFSET(Grunddaten!$Q52,FW_Produkt,0))/100*$G76+$E76),-1)</f>
        <v>0</v>
      </c>
      <c r="BK76" s="480">
        <f ca="1">ROUND(OFFSET(Grunddaten!CL52,FW_Produkt,0)*((OFFSET(Grunddaten!$S52,FW_Produkt,0)-OFFSET(Grunddaten!$Q52,FW_Produkt,0))/100*$G76+$E76),-1)</f>
        <v>0</v>
      </c>
      <c r="BL76" s="480">
        <f ca="1">ROUND(OFFSET(Grunddaten!CM52,FW_Produkt,0)*((OFFSET(Grunddaten!$S52,FW_Produkt,0)-OFFSET(Grunddaten!$Q52,FW_Produkt,0))/100*$G76+$E76),-1)</f>
        <v>0</v>
      </c>
      <c r="BM76" s="480">
        <f ca="1">ROUND(OFFSET(Grunddaten!CN52,FW_Produkt,0)*((OFFSET(Grunddaten!$S52,FW_Produkt,0)-OFFSET(Grunddaten!$Q52,FW_Produkt,0))/100*$G76+$E76),-1)</f>
        <v>0</v>
      </c>
      <c r="BN76" s="480">
        <f ca="1">ROUND(OFFSET(Grunddaten!CO52,FW_Produkt,0)*((OFFSET(Grunddaten!$S52,FW_Produkt,0)-OFFSET(Grunddaten!$Q52,FW_Produkt,0))/100*$G76+$E76),-1)</f>
        <v>0</v>
      </c>
      <c r="BO76" s="480">
        <f ca="1">ROUND(OFFSET(Grunddaten!CP52,FW_Produkt,0)*((OFFSET(Grunddaten!$S52,FW_Produkt,0)-OFFSET(Grunddaten!$Q52,FW_Produkt,0))/100*$G76+$E76),-1)</f>
        <v>0</v>
      </c>
      <c r="BP76" s="480">
        <f ca="1">ROUND(OFFSET(Grunddaten!CQ52,FW_Produkt,0)*((OFFSET(Grunddaten!$S52,FW_Produkt,0)-OFFSET(Grunddaten!$Q52,FW_Produkt,0))/100*$G76+$E76),-1)</f>
        <v>0</v>
      </c>
      <c r="BQ76" s="484">
        <f ca="1">ROUND(OFFSET(Grunddaten!CR52,FW_Produkt,0)*((OFFSET(Grunddaten!$S52,FW_Produkt,0)-OFFSET(Grunddaten!$Q52,FW_Produkt,0))/100*$G76+$E76),-1)</f>
        <v>0</v>
      </c>
    </row>
    <row r="77" spans="1:69" s="88" customFormat="1" ht="11.25" customHeight="1" x14ac:dyDescent="0.2">
      <c r="A77" s="549" t="str">
        <f>Grunddaten!C55</f>
        <v>Wärmeverbund XY</v>
      </c>
      <c r="B77" s="1389"/>
      <c r="C77" s="2468"/>
      <c r="D77" s="2469"/>
      <c r="E77" s="2459">
        <f xml:space="preserve"> ( EV_Var4!I12 + IF(EV_Var4!$A$26=$A77,EV_Var4!$AF$23,0) + IF(EV_Var4!$A$31=$A77,EV_Var4!$AF$24,0) + IF(EV_Var4!$A$35=$A77,EV_Var4!$AF$25) ) * Grunddaten!$AI$55</f>
        <v>0</v>
      </c>
      <c r="F77" s="2460"/>
      <c r="G77" s="2456">
        <f ca="1">SUMIF(EV_Var4!$A$10:$B$73,$A77,EV_Var4!$E$10:$E$73)</f>
        <v>0</v>
      </c>
      <c r="H77" s="2457"/>
      <c r="I77" s="2458"/>
      <c r="J77" s="2479">
        <f>Grunddaten!S55-(1-$R$109)*Grunddaten!Q55</f>
        <v>0</v>
      </c>
      <c r="K77" s="2480"/>
      <c r="L77" s="2525">
        <f t="shared" ref="L77" ca="1" si="6">ROUND(E77+G77*J77/100,-1)</f>
        <v>0</v>
      </c>
      <c r="M77" s="2526"/>
      <c r="N77" s="2527"/>
      <c r="P77" s="1259"/>
      <c r="Q77" s="1259"/>
      <c r="S77" s="427">
        <f ca="1">ROUND(Grunddaten!AT55*((Grunddaten!$S55-Grunddaten!$Q55)/100*$G77+$E77),-1)</f>
        <v>0</v>
      </c>
      <c r="T77" s="428">
        <f ca="1">ROUND(Grunddaten!AU55*((Grunddaten!$S55-Grunddaten!$Q55)/100*$G77+$E77),-1)</f>
        <v>0</v>
      </c>
      <c r="U77" s="428">
        <f ca="1">ROUND(Grunddaten!AV55*((Grunddaten!$S55-Grunddaten!$Q55)/100*$G77+$E77),-1)</f>
        <v>0</v>
      </c>
      <c r="V77" s="428">
        <f ca="1">ROUND(Grunddaten!AW55*((Grunddaten!$S55-Grunddaten!$Q55)/100*$G77+$E77),-1)</f>
        <v>0</v>
      </c>
      <c r="W77" s="428">
        <f ca="1">ROUND(Grunddaten!AX55*((Grunddaten!$S55-Grunddaten!$Q55)/100*$G77+$E77),-1)</f>
        <v>0</v>
      </c>
      <c r="X77" s="428">
        <f ca="1">ROUND(Grunddaten!AY55*((Grunddaten!$S55-Grunddaten!$Q55)/100*$G77+$E77),-1)</f>
        <v>0</v>
      </c>
      <c r="Y77" s="428">
        <f ca="1">ROUND(Grunddaten!AZ55*((Grunddaten!$S55-Grunddaten!$Q55)/100*$G77+$E77),-1)</f>
        <v>0</v>
      </c>
      <c r="Z77" s="428">
        <f ca="1">ROUND(Grunddaten!BA55*((Grunddaten!$S55-Grunddaten!$Q55)/100*$G77+$E77),-1)</f>
        <v>0</v>
      </c>
      <c r="AA77" s="428">
        <f ca="1">ROUND(Grunddaten!BB55*((Grunddaten!$S55-Grunddaten!$Q55)/100*$G77+$E77),-1)</f>
        <v>0</v>
      </c>
      <c r="AB77" s="473">
        <f ca="1">ROUND(Grunddaten!BC55*((Grunddaten!$S55-Grunddaten!$Q55)/100*$G77+$E77),-1)</f>
        <v>0</v>
      </c>
      <c r="AC77" s="473">
        <f ca="1">ROUND(Grunddaten!BD55*((Grunddaten!$S55-Grunddaten!$Q55)/100*$G77+$E77),-1)</f>
        <v>0</v>
      </c>
      <c r="AD77" s="473">
        <f ca="1">ROUND(Grunddaten!BE55*((Grunddaten!$S55-Grunddaten!$Q55)/100*$G77+$E77),-1)</f>
        <v>0</v>
      </c>
      <c r="AE77" s="473">
        <f ca="1">ROUND(Grunddaten!BF55*((Grunddaten!$S55-Grunddaten!$Q55)/100*$G77+$E77),-1)</f>
        <v>0</v>
      </c>
      <c r="AF77" s="473">
        <f ca="1">ROUND(Grunddaten!BG55*((Grunddaten!$S55-Grunddaten!$Q55)/100*$G77+$E77),-1)</f>
        <v>0</v>
      </c>
      <c r="AG77" s="473">
        <f ca="1">ROUND(Grunddaten!BH55*((Grunddaten!$S55-Grunddaten!$Q55)/100*$G77+$E77),-1)</f>
        <v>0</v>
      </c>
      <c r="AH77" s="474">
        <f ca="1">ROUND(Grunddaten!BI55*((Grunddaten!$S55-Grunddaten!$Q55)/100*$G77+$E77),-1)</f>
        <v>0</v>
      </c>
      <c r="AI77" s="474">
        <f ca="1">ROUND(Grunddaten!BJ55*((Grunddaten!$S55-Grunddaten!$Q55)/100*$G77+$E77),-1)</f>
        <v>0</v>
      </c>
      <c r="AJ77" s="474">
        <f ca="1">ROUND(Grunddaten!BK55*((Grunddaten!$S55-Grunddaten!$Q55)/100*$G77+$E77),-1)</f>
        <v>0</v>
      </c>
      <c r="AK77" s="474">
        <f ca="1">ROUND(Grunddaten!BL55*((Grunddaten!$S55-Grunddaten!$Q55)/100*$G77+$E77),-1)</f>
        <v>0</v>
      </c>
      <c r="AL77" s="474">
        <f ca="1">ROUND(Grunddaten!BM55*((Grunddaten!$S55-Grunddaten!$Q55)/100*$G77+$E77),-1)</f>
        <v>0</v>
      </c>
      <c r="AM77" s="474">
        <f ca="1">ROUND(Grunddaten!BN55*((Grunddaten!$S55-Grunddaten!$Q55)/100*$G77+$E77),-1)</f>
        <v>0</v>
      </c>
      <c r="AN77" s="474">
        <f ca="1">ROUND(Grunddaten!BO55*((Grunddaten!$S55-Grunddaten!$Q55)/100*$G77+$E77),-1)</f>
        <v>0</v>
      </c>
      <c r="AO77" s="474">
        <f ca="1">ROUND(Grunddaten!BP55*((Grunddaten!$S55-Grunddaten!$Q55)/100*$G77+$E77),-1)</f>
        <v>0</v>
      </c>
      <c r="AP77" s="474">
        <f ca="1">ROUND(Grunddaten!BQ55*((Grunddaten!$S55-Grunddaten!$Q55)/100*$G77+$E77),-1)</f>
        <v>0</v>
      </c>
      <c r="AQ77" s="474">
        <f ca="1">ROUND(Grunddaten!BR55*((Grunddaten!$S55-Grunddaten!$Q55)/100*$G77+$E77),-1)</f>
        <v>0</v>
      </c>
      <c r="AR77" s="474">
        <f ca="1">ROUND(Grunddaten!BS55*((Grunddaten!$S55-Grunddaten!$Q55)/100*$G77+$E77),-1)</f>
        <v>0</v>
      </c>
      <c r="AS77" s="474">
        <f ca="1">ROUND(Grunddaten!BT55*((Grunddaten!$S55-Grunddaten!$Q55)/100*$G77+$E77),-1)</f>
        <v>0</v>
      </c>
      <c r="AT77" s="474">
        <f ca="1">ROUND(Grunddaten!BU55*((Grunddaten!$S55-Grunddaten!$Q55)/100*$G77+$E77),-1)</f>
        <v>0</v>
      </c>
      <c r="AU77" s="474">
        <f ca="1">ROUND(Grunddaten!BV55*((Grunddaten!$S55-Grunddaten!$Q55)/100*$G77+$E77),-1)</f>
        <v>0</v>
      </c>
      <c r="AV77" s="474">
        <f ca="1">ROUND(Grunddaten!BW55*((Grunddaten!$S55-Grunddaten!$Q55)/100*$G77+$E77),-1)</f>
        <v>0</v>
      </c>
      <c r="AW77" s="474">
        <f ca="1">ROUND(Grunddaten!BX55*((Grunddaten!$S55-Grunddaten!$Q55)/100*$G77+$E77),-1)</f>
        <v>0</v>
      </c>
      <c r="AX77" s="474">
        <f ca="1">ROUND(Grunddaten!BY55*((Grunddaten!$S55-Grunddaten!$Q55)/100*$G77+$E77),-1)</f>
        <v>0</v>
      </c>
      <c r="AY77" s="474">
        <f ca="1">ROUND(Grunddaten!BZ55*((Grunddaten!$S55-Grunddaten!$Q55)/100*$G77+$E77),-1)</f>
        <v>0</v>
      </c>
      <c r="AZ77" s="474">
        <f ca="1">ROUND(Grunddaten!CA55*((Grunddaten!$S55-Grunddaten!$Q55)/100*$G77+$E77),-1)</f>
        <v>0</v>
      </c>
      <c r="BA77" s="474">
        <f ca="1">ROUND(Grunddaten!CB55*((Grunddaten!$S55-Grunddaten!$Q55)/100*$G77+$E77),-1)</f>
        <v>0</v>
      </c>
      <c r="BB77" s="474">
        <f ca="1">ROUND(Grunddaten!CC55*((Grunddaten!$S55-Grunddaten!$Q55)/100*$G77+$E77),-1)</f>
        <v>0</v>
      </c>
      <c r="BC77" s="474">
        <f ca="1">ROUND(Grunddaten!CD55*((Grunddaten!$S55-Grunddaten!$Q55)/100*$G77+$E77),-1)</f>
        <v>0</v>
      </c>
      <c r="BD77" s="474">
        <f ca="1">ROUND(Grunddaten!CE55*((Grunddaten!$S55-Grunddaten!$Q55)/100*$G77+$E77),-1)</f>
        <v>0</v>
      </c>
      <c r="BE77" s="474">
        <f ca="1">ROUND(Grunddaten!CF55*((Grunddaten!$S55-Grunddaten!$Q55)/100*$G77+$E77),-1)</f>
        <v>0</v>
      </c>
      <c r="BF77" s="474">
        <f ca="1">ROUND(Grunddaten!CG55*((Grunddaten!$S55-Grunddaten!$Q55)/100*$G77+$E77),-1)</f>
        <v>0</v>
      </c>
      <c r="BG77" s="474">
        <f ca="1">ROUND(Grunddaten!CH55*((Grunddaten!$S55-Grunddaten!$Q55)/100*$G77+$E77),-1)</f>
        <v>0</v>
      </c>
      <c r="BH77" s="474">
        <f ca="1">ROUND(Grunddaten!CI55*((Grunddaten!$S55-Grunddaten!$Q55)/100*$G77+$E77),-1)</f>
        <v>0</v>
      </c>
      <c r="BI77" s="474">
        <f ca="1">ROUND(Grunddaten!CJ55*((Grunddaten!$S55-Grunddaten!$Q55)/100*$G77+$E77),-1)</f>
        <v>0</v>
      </c>
      <c r="BJ77" s="474">
        <f ca="1">ROUND(Grunddaten!CK55*((Grunddaten!$S55-Grunddaten!$Q55)/100*$G77+$E77),-1)</f>
        <v>0</v>
      </c>
      <c r="BK77" s="474">
        <f ca="1">ROUND(Grunddaten!CL55*((Grunddaten!$S55-Grunddaten!$Q55)/100*$G77+$E77),-1)</f>
        <v>0</v>
      </c>
      <c r="BL77" s="474">
        <f ca="1">ROUND(Grunddaten!CM55*((Grunddaten!$S55-Grunddaten!$Q55)/100*$G77+$E77),-1)</f>
        <v>0</v>
      </c>
      <c r="BM77" s="474">
        <f ca="1">ROUND(Grunddaten!CN55*((Grunddaten!$S55-Grunddaten!$Q55)/100*$G77+$E77),-1)</f>
        <v>0</v>
      </c>
      <c r="BN77" s="474">
        <f ca="1">ROUND(Grunddaten!CO55*((Grunddaten!$S55-Grunddaten!$Q55)/100*$G77+$E77),-1)</f>
        <v>0</v>
      </c>
      <c r="BO77" s="474">
        <f ca="1">ROUND(Grunddaten!CP55*((Grunddaten!$S55-Grunddaten!$Q55)/100*$G77+$E77),-1)</f>
        <v>0</v>
      </c>
      <c r="BP77" s="474">
        <f ca="1">ROUND(Grunddaten!CQ55*((Grunddaten!$S55-Grunddaten!$Q55)/100*$G77+$E77),-1)</f>
        <v>0</v>
      </c>
      <c r="BQ77" s="475">
        <f ca="1">ROUND(Grunddaten!CR55*((Grunddaten!$S55-Grunddaten!$Q55)/100*$G77+$E77),-1)</f>
        <v>0</v>
      </c>
    </row>
    <row r="78" spans="1:69" s="88" customFormat="1" ht="11.25" customHeight="1" thickBot="1" x14ac:dyDescent="0.25">
      <c r="A78" s="549" t="str">
        <f>Grunddaten!C56</f>
        <v>Kälteverbund XY</v>
      </c>
      <c r="B78" s="1389"/>
      <c r="C78" s="2468"/>
      <c r="D78" s="2469"/>
      <c r="E78" s="2459">
        <f xml:space="preserve"> EV_Var4!I55 * Grunddaten!$AI$56</f>
        <v>0</v>
      </c>
      <c r="F78" s="2460"/>
      <c r="G78" s="2456">
        <f ca="1">SUMIF(EV_Var4!$A$10:$B$73,$A78,EV_Var4!$E$10:$E$73)</f>
        <v>0</v>
      </c>
      <c r="H78" s="2457"/>
      <c r="I78" s="2458"/>
      <c r="J78" s="2479">
        <f>Grunddaten!S56-(1-$R$109)*Grunddaten!Q56</f>
        <v>0</v>
      </c>
      <c r="K78" s="2480"/>
      <c r="L78" s="2525">
        <f t="shared" ref="L78" ca="1" si="7">ROUND(E78+G78*J78/100,-1)</f>
        <v>0</v>
      </c>
      <c r="M78" s="2526"/>
      <c r="N78" s="2527"/>
      <c r="P78" s="1765"/>
      <c r="Q78" s="1765"/>
      <c r="S78" s="432">
        <f ca="1">ROUND(Grunddaten!AT56*((Grunddaten!$S56-Grunddaten!$Q56)/100*$G78+$E78),-1)</f>
        <v>0</v>
      </c>
      <c r="T78" s="433">
        <f ca="1">ROUND(Grunddaten!AU56*((Grunddaten!$S56-Grunddaten!$Q56)/100*$G78+$E78),-1)</f>
        <v>0</v>
      </c>
      <c r="U78" s="433">
        <f ca="1">ROUND(Grunddaten!AV56*((Grunddaten!$S56-Grunddaten!$Q56)/100*$G78+$E78),-1)</f>
        <v>0</v>
      </c>
      <c r="V78" s="433">
        <f ca="1">ROUND(Grunddaten!AW56*((Grunddaten!$S56-Grunddaten!$Q56)/100*$G78+$E78),-1)</f>
        <v>0</v>
      </c>
      <c r="W78" s="433">
        <f ca="1">ROUND(Grunddaten!AX56*((Grunddaten!$S56-Grunddaten!$Q56)/100*$G78+$E78),-1)</f>
        <v>0</v>
      </c>
      <c r="X78" s="433">
        <f ca="1">ROUND(Grunddaten!AY56*((Grunddaten!$S56-Grunddaten!$Q56)/100*$G78+$E78),-1)</f>
        <v>0</v>
      </c>
      <c r="Y78" s="433">
        <f ca="1">ROUND(Grunddaten!AZ56*((Grunddaten!$S56-Grunddaten!$Q56)/100*$G78+$E78),-1)</f>
        <v>0</v>
      </c>
      <c r="Z78" s="433">
        <f ca="1">ROUND(Grunddaten!BA56*((Grunddaten!$S56-Grunddaten!$Q56)/100*$G78+$E78),-1)</f>
        <v>0</v>
      </c>
      <c r="AA78" s="433">
        <f ca="1">ROUND(Grunddaten!BB56*((Grunddaten!$S56-Grunddaten!$Q56)/100*$G78+$E78),-1)</f>
        <v>0</v>
      </c>
      <c r="AB78" s="1264">
        <f ca="1">ROUND(Grunddaten!BC56*((Grunddaten!$S56-Grunddaten!$Q56)/100*$G78+$E78),-1)</f>
        <v>0</v>
      </c>
      <c r="AC78" s="1264">
        <f ca="1">ROUND(Grunddaten!BD56*((Grunddaten!$S56-Grunddaten!$Q56)/100*$G78+$E78),-1)</f>
        <v>0</v>
      </c>
      <c r="AD78" s="1264">
        <f ca="1">ROUND(Grunddaten!BE56*((Grunddaten!$S56-Grunddaten!$Q56)/100*$G78+$E78),-1)</f>
        <v>0</v>
      </c>
      <c r="AE78" s="1264">
        <f ca="1">ROUND(Grunddaten!BF56*((Grunddaten!$S56-Grunddaten!$Q56)/100*$G78+$E78),-1)</f>
        <v>0</v>
      </c>
      <c r="AF78" s="1264">
        <f ca="1">ROUND(Grunddaten!BG56*((Grunddaten!$S56-Grunddaten!$Q56)/100*$G78+$E78),-1)</f>
        <v>0</v>
      </c>
      <c r="AG78" s="1264">
        <f ca="1">ROUND(Grunddaten!BH56*((Grunddaten!$S56-Grunddaten!$Q56)/100*$G78+$E78),-1)</f>
        <v>0</v>
      </c>
      <c r="AH78" s="1262">
        <f ca="1">ROUND(Grunddaten!BI56*((Grunddaten!$S56-Grunddaten!$Q56)/100*$G78+$E78),-1)</f>
        <v>0</v>
      </c>
      <c r="AI78" s="1262">
        <f ca="1">ROUND(Grunddaten!BJ56*((Grunddaten!$S56-Grunddaten!$Q56)/100*$G78+$E78),-1)</f>
        <v>0</v>
      </c>
      <c r="AJ78" s="1262">
        <f ca="1">ROUND(Grunddaten!BK56*((Grunddaten!$S56-Grunddaten!$Q56)/100*$G78+$E78),-1)</f>
        <v>0</v>
      </c>
      <c r="AK78" s="1262">
        <f ca="1">ROUND(Grunddaten!BL56*((Grunddaten!$S56-Grunddaten!$Q56)/100*$G78+$E78),-1)</f>
        <v>0</v>
      </c>
      <c r="AL78" s="1262">
        <f ca="1">ROUND(Grunddaten!BM56*((Grunddaten!$S56-Grunddaten!$Q56)/100*$G78+$E78),-1)</f>
        <v>0</v>
      </c>
      <c r="AM78" s="1262">
        <f ca="1">ROUND(Grunddaten!BN56*((Grunddaten!$S56-Grunddaten!$Q56)/100*$G78+$E78),-1)</f>
        <v>0</v>
      </c>
      <c r="AN78" s="1262">
        <f ca="1">ROUND(Grunddaten!BO56*((Grunddaten!$S56-Grunddaten!$Q56)/100*$G78+$E78),-1)</f>
        <v>0</v>
      </c>
      <c r="AO78" s="1262">
        <f ca="1">ROUND(Grunddaten!BP56*((Grunddaten!$S56-Grunddaten!$Q56)/100*$G78+$E78),-1)</f>
        <v>0</v>
      </c>
      <c r="AP78" s="1262">
        <f ca="1">ROUND(Grunddaten!BQ56*((Grunddaten!$S56-Grunddaten!$Q56)/100*$G78+$E78),-1)</f>
        <v>0</v>
      </c>
      <c r="AQ78" s="1262">
        <f ca="1">ROUND(Grunddaten!BR56*((Grunddaten!$S56-Grunddaten!$Q56)/100*$G78+$E78),-1)</f>
        <v>0</v>
      </c>
      <c r="AR78" s="1262">
        <f ca="1">ROUND(Grunddaten!BS56*((Grunddaten!$S56-Grunddaten!$Q56)/100*$G78+$E78),-1)</f>
        <v>0</v>
      </c>
      <c r="AS78" s="1262">
        <f ca="1">ROUND(Grunddaten!BT56*((Grunddaten!$S56-Grunddaten!$Q56)/100*$G78+$E78),-1)</f>
        <v>0</v>
      </c>
      <c r="AT78" s="1262">
        <f ca="1">ROUND(Grunddaten!BU56*((Grunddaten!$S56-Grunddaten!$Q56)/100*$G78+$E78),-1)</f>
        <v>0</v>
      </c>
      <c r="AU78" s="1262">
        <f ca="1">ROUND(Grunddaten!BV56*((Grunddaten!$S56-Grunddaten!$Q56)/100*$G78+$E78),-1)</f>
        <v>0</v>
      </c>
      <c r="AV78" s="1262">
        <f ca="1">ROUND(Grunddaten!BW56*((Grunddaten!$S56-Grunddaten!$Q56)/100*$G78+$E78),-1)</f>
        <v>0</v>
      </c>
      <c r="AW78" s="1262">
        <f ca="1">ROUND(Grunddaten!BX56*((Grunddaten!$S56-Grunddaten!$Q56)/100*$G78+$E78),-1)</f>
        <v>0</v>
      </c>
      <c r="AX78" s="1262">
        <f ca="1">ROUND(Grunddaten!BY56*((Grunddaten!$S56-Grunddaten!$Q56)/100*$G78+$E78),-1)</f>
        <v>0</v>
      </c>
      <c r="AY78" s="1262">
        <f ca="1">ROUND(Grunddaten!BZ56*((Grunddaten!$S56-Grunddaten!$Q56)/100*$G78+$E78),-1)</f>
        <v>0</v>
      </c>
      <c r="AZ78" s="1262">
        <f ca="1">ROUND(Grunddaten!CA56*((Grunddaten!$S56-Grunddaten!$Q56)/100*$G78+$E78),-1)</f>
        <v>0</v>
      </c>
      <c r="BA78" s="1262">
        <f ca="1">ROUND(Grunddaten!CB56*((Grunddaten!$S56-Grunddaten!$Q56)/100*$G78+$E78),-1)</f>
        <v>0</v>
      </c>
      <c r="BB78" s="1262">
        <f ca="1">ROUND(Grunddaten!CC56*((Grunddaten!$S56-Grunddaten!$Q56)/100*$G78+$E78),-1)</f>
        <v>0</v>
      </c>
      <c r="BC78" s="1262">
        <f ca="1">ROUND(Grunddaten!CD56*((Grunddaten!$S56-Grunddaten!$Q56)/100*$G78+$E78),-1)</f>
        <v>0</v>
      </c>
      <c r="BD78" s="1262">
        <f ca="1">ROUND(Grunddaten!CE56*((Grunddaten!$S56-Grunddaten!$Q56)/100*$G78+$E78),-1)</f>
        <v>0</v>
      </c>
      <c r="BE78" s="1262">
        <f ca="1">ROUND(Grunddaten!CF56*((Grunddaten!$S56-Grunddaten!$Q56)/100*$G78+$E78),-1)</f>
        <v>0</v>
      </c>
      <c r="BF78" s="1262">
        <f ca="1">ROUND(Grunddaten!CG56*((Grunddaten!$S56-Grunddaten!$Q56)/100*$G78+$E78),-1)</f>
        <v>0</v>
      </c>
      <c r="BG78" s="1262">
        <f ca="1">ROUND(Grunddaten!CH56*((Grunddaten!$S56-Grunddaten!$Q56)/100*$G78+$E78),-1)</f>
        <v>0</v>
      </c>
      <c r="BH78" s="1262">
        <f ca="1">ROUND(Grunddaten!CI56*((Grunddaten!$S56-Grunddaten!$Q56)/100*$G78+$E78),-1)</f>
        <v>0</v>
      </c>
      <c r="BI78" s="1262">
        <f ca="1">ROUND(Grunddaten!CJ56*((Grunddaten!$S56-Grunddaten!$Q56)/100*$G78+$E78),-1)</f>
        <v>0</v>
      </c>
      <c r="BJ78" s="1262">
        <f ca="1">ROUND(Grunddaten!CK56*((Grunddaten!$S56-Grunddaten!$Q56)/100*$G78+$E78),-1)</f>
        <v>0</v>
      </c>
      <c r="BK78" s="1262">
        <f ca="1">ROUND(Grunddaten!CL56*((Grunddaten!$S56-Grunddaten!$Q56)/100*$G78+$E78),-1)</f>
        <v>0</v>
      </c>
      <c r="BL78" s="1262">
        <f ca="1">ROUND(Grunddaten!CM56*((Grunddaten!$S56-Grunddaten!$Q56)/100*$G78+$E78),-1)</f>
        <v>0</v>
      </c>
      <c r="BM78" s="1262">
        <f ca="1">ROUND(Grunddaten!CN56*((Grunddaten!$S56-Grunddaten!$Q56)/100*$G78+$E78),-1)</f>
        <v>0</v>
      </c>
      <c r="BN78" s="1262">
        <f ca="1">ROUND(Grunddaten!CO56*((Grunddaten!$S56-Grunddaten!$Q56)/100*$G78+$E78),-1)</f>
        <v>0</v>
      </c>
      <c r="BO78" s="1262">
        <f ca="1">ROUND(Grunddaten!CP56*((Grunddaten!$S56-Grunddaten!$Q56)/100*$G78+$E78),-1)</f>
        <v>0</v>
      </c>
      <c r="BP78" s="1262">
        <f ca="1">ROUND(Grunddaten!CQ56*((Grunddaten!$S56-Grunddaten!$Q56)/100*$G78+$E78),-1)</f>
        <v>0</v>
      </c>
      <c r="BQ78" s="1263">
        <f ca="1">ROUND(Grunddaten!CR56*((Grunddaten!$S56-Grunddaten!$Q56)/100*$G78+$E78),-1)</f>
        <v>0</v>
      </c>
    </row>
    <row r="79" spans="1:69" s="88" customFormat="1" ht="14.1" customHeight="1" thickBot="1" x14ac:dyDescent="0.25">
      <c r="A79" s="391" t="s">
        <v>14</v>
      </c>
      <c r="B79" s="91"/>
      <c r="C79" s="91"/>
      <c r="D79" s="2696"/>
      <c r="E79" s="2696"/>
      <c r="F79" s="2696"/>
      <c r="G79" s="846"/>
      <c r="H79" s="2696"/>
      <c r="I79" s="2696"/>
      <c r="J79" s="2699"/>
      <c r="K79" s="2699"/>
      <c r="L79" s="2668">
        <f ca="1">SUM(L61:L78)</f>
        <v>0</v>
      </c>
      <c r="M79" s="2669"/>
      <c r="N79" s="2670"/>
      <c r="S79" s="485">
        <f ca="1">SUM(S62:S76)</f>
        <v>0</v>
      </c>
      <c r="T79" s="486">
        <f t="shared" ref="T79:BQ79" ca="1" si="8">SUM(T62:T76)</f>
        <v>0</v>
      </c>
      <c r="U79" s="486">
        <f t="shared" ca="1" si="8"/>
        <v>0</v>
      </c>
      <c r="V79" s="486">
        <f t="shared" ca="1" si="8"/>
        <v>0</v>
      </c>
      <c r="W79" s="486">
        <f t="shared" ca="1" si="8"/>
        <v>0</v>
      </c>
      <c r="X79" s="486">
        <f t="shared" ca="1" si="8"/>
        <v>0</v>
      </c>
      <c r="Y79" s="486">
        <f t="shared" ca="1" si="8"/>
        <v>0</v>
      </c>
      <c r="Z79" s="486">
        <f t="shared" ca="1" si="8"/>
        <v>0</v>
      </c>
      <c r="AA79" s="486">
        <f t="shared" ca="1" si="8"/>
        <v>0</v>
      </c>
      <c r="AB79" s="486">
        <f t="shared" ca="1" si="8"/>
        <v>0</v>
      </c>
      <c r="AC79" s="486">
        <f t="shared" ca="1" si="8"/>
        <v>0</v>
      </c>
      <c r="AD79" s="486">
        <f t="shared" ca="1" si="8"/>
        <v>0</v>
      </c>
      <c r="AE79" s="486">
        <f t="shared" ca="1" si="8"/>
        <v>0</v>
      </c>
      <c r="AF79" s="486">
        <f t="shared" ca="1" si="8"/>
        <v>0</v>
      </c>
      <c r="AG79" s="486">
        <f t="shared" ca="1" si="8"/>
        <v>0</v>
      </c>
      <c r="AH79" s="486">
        <f t="shared" ca="1" si="8"/>
        <v>0</v>
      </c>
      <c r="AI79" s="486">
        <f t="shared" ca="1" si="8"/>
        <v>0</v>
      </c>
      <c r="AJ79" s="486">
        <f t="shared" ca="1" si="8"/>
        <v>0</v>
      </c>
      <c r="AK79" s="486">
        <f t="shared" ca="1" si="8"/>
        <v>0</v>
      </c>
      <c r="AL79" s="486">
        <f t="shared" ca="1" si="8"/>
        <v>0</v>
      </c>
      <c r="AM79" s="486">
        <f t="shared" ca="1" si="8"/>
        <v>0</v>
      </c>
      <c r="AN79" s="486">
        <f t="shared" ca="1" si="8"/>
        <v>0</v>
      </c>
      <c r="AO79" s="486">
        <f t="shared" ca="1" si="8"/>
        <v>0</v>
      </c>
      <c r="AP79" s="486">
        <f t="shared" ca="1" si="8"/>
        <v>0</v>
      </c>
      <c r="AQ79" s="486">
        <f t="shared" ca="1" si="8"/>
        <v>0</v>
      </c>
      <c r="AR79" s="486">
        <f t="shared" ca="1" si="8"/>
        <v>0</v>
      </c>
      <c r="AS79" s="486">
        <f t="shared" ca="1" si="8"/>
        <v>0</v>
      </c>
      <c r="AT79" s="486">
        <f t="shared" ca="1" si="8"/>
        <v>0</v>
      </c>
      <c r="AU79" s="486">
        <f t="shared" ca="1" si="8"/>
        <v>0</v>
      </c>
      <c r="AV79" s="486">
        <f t="shared" ca="1" si="8"/>
        <v>0</v>
      </c>
      <c r="AW79" s="486">
        <f t="shared" ca="1" si="8"/>
        <v>0</v>
      </c>
      <c r="AX79" s="486">
        <f t="shared" ca="1" si="8"/>
        <v>0</v>
      </c>
      <c r="AY79" s="486">
        <f t="shared" ca="1" si="8"/>
        <v>0</v>
      </c>
      <c r="AZ79" s="486">
        <f t="shared" ca="1" si="8"/>
        <v>0</v>
      </c>
      <c r="BA79" s="486">
        <f t="shared" ca="1" si="8"/>
        <v>0</v>
      </c>
      <c r="BB79" s="486">
        <f t="shared" ca="1" si="8"/>
        <v>0</v>
      </c>
      <c r="BC79" s="486">
        <f t="shared" ca="1" si="8"/>
        <v>0</v>
      </c>
      <c r="BD79" s="486">
        <f t="shared" ca="1" si="8"/>
        <v>0</v>
      </c>
      <c r="BE79" s="486">
        <f t="shared" ca="1" si="8"/>
        <v>0</v>
      </c>
      <c r="BF79" s="486">
        <f t="shared" ca="1" si="8"/>
        <v>0</v>
      </c>
      <c r="BG79" s="486">
        <f t="shared" ca="1" si="8"/>
        <v>0</v>
      </c>
      <c r="BH79" s="486">
        <f t="shared" ca="1" si="8"/>
        <v>0</v>
      </c>
      <c r="BI79" s="486">
        <f t="shared" ca="1" si="8"/>
        <v>0</v>
      </c>
      <c r="BJ79" s="486">
        <f t="shared" ca="1" si="8"/>
        <v>0</v>
      </c>
      <c r="BK79" s="486">
        <f t="shared" ca="1" si="8"/>
        <v>0</v>
      </c>
      <c r="BL79" s="486">
        <f t="shared" ca="1" si="8"/>
        <v>0</v>
      </c>
      <c r="BM79" s="486">
        <f t="shared" ca="1" si="8"/>
        <v>0</v>
      </c>
      <c r="BN79" s="486">
        <f t="shared" ca="1" si="8"/>
        <v>0</v>
      </c>
      <c r="BO79" s="486">
        <f t="shared" ca="1" si="8"/>
        <v>0</v>
      </c>
      <c r="BP79" s="486">
        <f t="shared" ca="1" si="8"/>
        <v>0</v>
      </c>
      <c r="BQ79" s="487">
        <f t="shared" ca="1" si="8"/>
        <v>0</v>
      </c>
    </row>
    <row r="80" spans="1:69" ht="5.95" customHeight="1" x14ac:dyDescent="0.2">
      <c r="P80" s="83"/>
      <c r="Q80" s="83"/>
      <c r="R80" s="271"/>
      <c r="S80" s="412"/>
      <c r="T80" s="413"/>
      <c r="U80" s="412"/>
      <c r="V80" s="412"/>
      <c r="W80" s="412"/>
      <c r="X80" s="412"/>
      <c r="Y80" s="412"/>
      <c r="Z80" s="412"/>
      <c r="AA80" s="412"/>
      <c r="AB80" s="414"/>
      <c r="AC80" s="414"/>
      <c r="AD80" s="414"/>
      <c r="AE80" s="414"/>
      <c r="AF80" s="414"/>
      <c r="AG80" s="414"/>
      <c r="AH80" s="448"/>
      <c r="AI80" s="448"/>
      <c r="AJ80" s="448"/>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row>
    <row r="81" spans="1:69" ht="17.350000000000001" customHeight="1" x14ac:dyDescent="0.25">
      <c r="A81" s="107" t="s">
        <v>36</v>
      </c>
      <c r="B81" s="107"/>
      <c r="G81" s="83"/>
      <c r="H81" s="97"/>
      <c r="I81" s="526"/>
      <c r="J81" s="527"/>
      <c r="K81" s="528"/>
      <c r="L81" s="787" t="s">
        <v>521</v>
      </c>
      <c r="M81" s="2698">
        <f>ROUND(MAX(G39,WR_Var1!G39,WR_Var2!G39,WR_Var3!G39),0)</f>
        <v>0</v>
      </c>
      <c r="N81" s="2698"/>
      <c r="O81" s="847"/>
      <c r="P81" s="83"/>
      <c r="Q81" s="83"/>
      <c r="R81" s="414"/>
      <c r="S81" s="415"/>
      <c r="T81" s="414"/>
      <c r="U81" s="414"/>
      <c r="V81" s="414"/>
      <c r="W81" s="414"/>
      <c r="X81" s="414"/>
      <c r="Y81" s="414"/>
      <c r="Z81" s="414"/>
      <c r="AA81" s="414"/>
      <c r="AB81" s="414"/>
      <c r="AC81" s="414"/>
      <c r="AD81" s="414"/>
      <c r="AE81" s="414"/>
      <c r="AF81" s="414"/>
      <c r="AG81" s="448"/>
      <c r="AH81" s="448"/>
      <c r="AI81" s="448"/>
      <c r="AJ81" s="819"/>
      <c r="AK81" s="449"/>
      <c r="AL81" s="449"/>
      <c r="AM81" s="449"/>
      <c r="AN81" s="449"/>
      <c r="AO81" s="449"/>
      <c r="AP81" s="450"/>
      <c r="AQ81" s="449"/>
      <c r="AR81" s="449"/>
      <c r="AS81" s="449"/>
      <c r="AT81" s="449"/>
      <c r="AU81" s="449"/>
      <c r="AV81" s="449"/>
      <c r="AW81" s="449"/>
      <c r="AX81" s="449"/>
      <c r="AY81" s="449"/>
      <c r="AZ81" s="449"/>
      <c r="BA81" s="449"/>
      <c r="BB81" s="449"/>
      <c r="BC81" s="449"/>
      <c r="BD81" s="449"/>
      <c r="BE81" s="449"/>
      <c r="BF81" s="449"/>
      <c r="BG81" s="449"/>
      <c r="BH81" s="449"/>
      <c r="BI81" s="449"/>
      <c r="BJ81" s="449"/>
      <c r="BK81" s="449"/>
      <c r="BL81" s="449"/>
      <c r="BM81" s="449"/>
      <c r="BN81" s="449"/>
      <c r="BO81" s="449"/>
      <c r="BP81" s="449"/>
      <c r="BQ81" s="83"/>
    </row>
    <row r="82" spans="1:69" ht="2.0499999999999998" customHeight="1" x14ac:dyDescent="0.2">
      <c r="H82" s="84"/>
      <c r="I82" s="530"/>
      <c r="J82" s="527"/>
      <c r="K82" s="527"/>
      <c r="L82" s="527"/>
      <c r="P82" s="83"/>
      <c r="Q82" s="83"/>
      <c r="R82" s="414"/>
      <c r="S82" s="415"/>
      <c r="T82" s="414"/>
      <c r="U82" s="414"/>
      <c r="V82" s="414"/>
      <c r="W82" s="414"/>
      <c r="X82" s="414"/>
      <c r="Y82" s="414"/>
      <c r="Z82" s="414"/>
      <c r="AA82" s="414"/>
      <c r="AB82" s="414"/>
      <c r="AC82" s="414"/>
      <c r="AD82" s="414"/>
      <c r="AE82" s="414"/>
      <c r="AF82" s="414"/>
      <c r="AG82" s="448"/>
      <c r="AH82" s="448"/>
      <c r="AI82" s="448"/>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83"/>
    </row>
    <row r="83" spans="1:69" ht="12.1" customHeight="1" x14ac:dyDescent="0.2">
      <c r="A83" s="83"/>
      <c r="B83" s="96"/>
      <c r="D83" s="1761" t="s">
        <v>51</v>
      </c>
      <c r="E83" s="2481">
        <f>IF(ISBLANK($M$83),$M$81,$M$83)</f>
        <v>0</v>
      </c>
      <c r="F83" s="2481"/>
      <c r="G83" s="83"/>
      <c r="I83" s="530"/>
      <c r="J83" s="527"/>
      <c r="K83" s="1059"/>
      <c r="L83" s="529" t="s">
        <v>37</v>
      </c>
      <c r="M83" s="2697"/>
      <c r="N83" s="2697"/>
      <c r="O83" s="316"/>
      <c r="Q83" s="86"/>
      <c r="R83" s="451"/>
      <c r="S83" s="415"/>
      <c r="T83" s="414"/>
      <c r="U83" s="414"/>
      <c r="V83" s="414"/>
      <c r="W83" s="414"/>
      <c r="X83" s="414"/>
      <c r="Y83" s="414"/>
      <c r="Z83" s="414"/>
      <c r="AA83" s="414"/>
      <c r="AB83" s="414"/>
      <c r="AC83" s="414"/>
      <c r="AD83" s="414"/>
      <c r="AE83" s="414"/>
      <c r="AF83" s="414"/>
      <c r="AG83" s="448"/>
      <c r="AH83" s="448"/>
      <c r="AI83" s="448"/>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449"/>
      <c r="BF83" s="449"/>
      <c r="BG83" s="449"/>
      <c r="BH83" s="449"/>
      <c r="BI83" s="449"/>
      <c r="BJ83" s="449"/>
      <c r="BK83" s="449"/>
      <c r="BL83" s="449"/>
      <c r="BM83" s="449"/>
      <c r="BN83" s="449"/>
      <c r="BO83" s="449"/>
      <c r="BP83" s="449"/>
      <c r="BQ83" s="83"/>
    </row>
    <row r="84" spans="1:69" ht="3.9" customHeight="1" thickBot="1" x14ac:dyDescent="0.25">
      <c r="A84" s="84"/>
      <c r="B84" s="84"/>
      <c r="C84" s="86"/>
      <c r="D84" s="86"/>
      <c r="E84" s="86"/>
      <c r="F84" s="86"/>
      <c r="G84" s="86"/>
      <c r="H84" s="86"/>
      <c r="I84" s="86"/>
      <c r="J84" s="86"/>
      <c r="Q84" s="86"/>
      <c r="R84" s="451"/>
      <c r="S84" s="415"/>
      <c r="T84" s="414"/>
      <c r="U84" s="414"/>
      <c r="V84" s="414"/>
      <c r="W84" s="414"/>
      <c r="X84" s="414"/>
      <c r="Y84" s="414"/>
      <c r="Z84" s="414"/>
      <c r="AA84" s="414"/>
      <c r="AB84" s="414"/>
      <c r="AC84" s="414"/>
      <c r="AD84" s="414"/>
      <c r="AE84" s="414"/>
      <c r="AF84" s="414"/>
      <c r="AG84" s="448"/>
      <c r="AH84" s="448"/>
      <c r="AI84" s="448"/>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449"/>
      <c r="BF84" s="449"/>
      <c r="BG84" s="449"/>
      <c r="BH84" s="449"/>
      <c r="BI84" s="449"/>
      <c r="BJ84" s="449"/>
      <c r="BK84" s="449"/>
      <c r="BL84" s="449"/>
      <c r="BM84" s="449"/>
      <c r="BN84" s="449"/>
      <c r="BO84" s="449"/>
      <c r="BP84" s="449"/>
      <c r="BQ84" s="83"/>
    </row>
    <row r="85" spans="1:69" s="93" customFormat="1" ht="11.25" customHeight="1" x14ac:dyDescent="0.2">
      <c r="A85" s="515"/>
      <c r="B85" s="1463"/>
      <c r="C85" s="1463"/>
      <c r="D85" s="1461"/>
      <c r="E85" s="2517" t="s">
        <v>38</v>
      </c>
      <c r="F85" s="2518"/>
      <c r="G85" s="2517" t="s">
        <v>50</v>
      </c>
      <c r="H85" s="2706"/>
      <c r="I85" s="2706"/>
      <c r="J85" s="2706"/>
      <c r="K85" s="2518"/>
      <c r="L85" s="2517" t="s">
        <v>737</v>
      </c>
      <c r="M85" s="2706"/>
      <c r="N85" s="2740"/>
      <c r="O85" s="841"/>
      <c r="P85" s="809"/>
      <c r="Q85" s="810"/>
      <c r="R85" s="92"/>
      <c r="S85" s="416"/>
      <c r="T85" s="416"/>
      <c r="U85" s="416"/>
      <c r="V85" s="416"/>
      <c r="W85" s="416"/>
      <c r="X85" s="416"/>
      <c r="Y85" s="416"/>
      <c r="Z85" s="416"/>
      <c r="AA85" s="411"/>
      <c r="AB85" s="414"/>
      <c r="AC85" s="414"/>
      <c r="AD85" s="414"/>
      <c r="AE85" s="414"/>
      <c r="AF85" s="414"/>
      <c r="AG85" s="448"/>
      <c r="AH85" s="448"/>
      <c r="AI85" s="448"/>
      <c r="AJ85" s="449"/>
      <c r="AK85" s="449"/>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row>
    <row r="86" spans="1:69" s="93" customFormat="1" ht="11.25" customHeight="1" x14ac:dyDescent="0.2">
      <c r="A86" s="1521" t="s">
        <v>12</v>
      </c>
      <c r="B86" s="1112"/>
      <c r="C86" s="1112"/>
      <c r="D86" s="1522"/>
      <c r="E86" s="2702" t="s">
        <v>40</v>
      </c>
      <c r="F86" s="2703"/>
      <c r="G86" s="2528" t="s">
        <v>733</v>
      </c>
      <c r="H86" s="2529"/>
      <c r="I86" s="2707"/>
      <c r="J86" s="2746" t="s">
        <v>734</v>
      </c>
      <c r="K86" s="2711"/>
      <c r="L86" s="2702" t="s">
        <v>659</v>
      </c>
      <c r="M86" s="2741"/>
      <c r="N86" s="2742"/>
      <c r="O86" s="841"/>
      <c r="P86" s="2650" t="s">
        <v>464</v>
      </c>
      <c r="Q86" s="2651"/>
      <c r="R86" s="555"/>
      <c r="U86" s="451"/>
      <c r="V86" s="416"/>
      <c r="W86" s="416"/>
      <c r="X86" s="416"/>
      <c r="Y86" s="416"/>
      <c r="Z86" s="416"/>
      <c r="AA86" s="416"/>
      <c r="AB86" s="416"/>
      <c r="AC86" s="416"/>
      <c r="AD86" s="410"/>
      <c r="AE86" s="414"/>
      <c r="AF86" s="414"/>
      <c r="AG86" s="414"/>
      <c r="AH86" s="414"/>
      <c r="AI86" s="414"/>
      <c r="AJ86" s="448"/>
      <c r="AK86" s="448"/>
      <c r="AL86" s="448"/>
      <c r="AM86" s="449"/>
      <c r="AN86" s="449"/>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row>
    <row r="87" spans="1:69" s="93" customFormat="1" ht="11.25" customHeight="1" x14ac:dyDescent="0.2">
      <c r="A87" s="390"/>
      <c r="B87" s="1464"/>
      <c r="C87" s="1464"/>
      <c r="D87" s="799"/>
      <c r="E87" s="2609" t="s">
        <v>641</v>
      </c>
      <c r="F87" s="2613"/>
      <c r="G87" s="2609" t="s">
        <v>655</v>
      </c>
      <c r="H87" s="2610"/>
      <c r="I87" s="2611"/>
      <c r="J87" s="2612" t="s">
        <v>655</v>
      </c>
      <c r="K87" s="2613"/>
      <c r="L87" s="2609" t="s">
        <v>655</v>
      </c>
      <c r="M87" s="2610"/>
      <c r="N87" s="2660"/>
      <c r="O87" s="1112"/>
      <c r="P87" s="2658" t="s">
        <v>465</v>
      </c>
      <c r="Q87" s="2659"/>
      <c r="R87" s="555"/>
      <c r="S87" s="436" t="s">
        <v>680</v>
      </c>
      <c r="U87" s="451"/>
      <c r="V87" s="416"/>
      <c r="W87" s="416"/>
      <c r="X87" s="416"/>
      <c r="Y87" s="416"/>
      <c r="Z87" s="416"/>
      <c r="AA87" s="416"/>
      <c r="AB87" s="416"/>
      <c r="AC87" s="416"/>
      <c r="AD87" s="410"/>
      <c r="AE87" s="414"/>
      <c r="AF87" s="414"/>
      <c r="AG87" s="414"/>
      <c r="AH87" s="414"/>
      <c r="AI87" s="414"/>
      <c r="AJ87" s="448"/>
      <c r="AK87" s="448"/>
      <c r="AL87" s="448"/>
      <c r="AM87" s="449"/>
      <c r="AN87" s="449"/>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6"/>
      <c r="BN87" s="416"/>
      <c r="BO87" s="416"/>
      <c r="BP87" s="416"/>
      <c r="BQ87" s="416"/>
    </row>
    <row r="88" spans="1:69" s="88" customFormat="1" ht="12.1" customHeight="1" x14ac:dyDescent="0.2">
      <c r="A88" s="516" t="s">
        <v>735</v>
      </c>
      <c r="B88" s="1390"/>
      <c r="D88" s="1380" t="str">
        <f>"("&amp;Projektdaten!$G$31&amp;")"</f>
        <v>(Förderbeiträge berücksichtigen)</v>
      </c>
      <c r="E88" s="2553" t="s">
        <v>34</v>
      </c>
      <c r="F88" s="2554"/>
      <c r="G88" s="2623">
        <f>IF(Projektdaten!$T$31=1,$J$54,$J$39)</f>
        <v>0</v>
      </c>
      <c r="H88" s="2624"/>
      <c r="I88" s="2625"/>
      <c r="J88" s="2621" t="s">
        <v>49</v>
      </c>
      <c r="K88" s="2622"/>
      <c r="L88" s="2623">
        <f>G88</f>
        <v>0</v>
      </c>
      <c r="M88" s="2624"/>
      <c r="N88" s="2743"/>
      <c r="O88" s="292"/>
      <c r="P88" s="2652">
        <f>$E$39</f>
        <v>0</v>
      </c>
      <c r="Q88" s="2653"/>
      <c r="R88" s="92"/>
      <c r="S88" s="431">
        <f ca="1">S59</f>
        <v>2016</v>
      </c>
      <c r="T88" s="421">
        <f ca="1">S88+1</f>
        <v>2017</v>
      </c>
      <c r="U88" s="421">
        <f t="shared" ref="U88:BP88" ca="1" si="9">T88+1</f>
        <v>2018</v>
      </c>
      <c r="V88" s="421">
        <f t="shared" ca="1" si="9"/>
        <v>2019</v>
      </c>
      <c r="W88" s="421">
        <f t="shared" ca="1" si="9"/>
        <v>2020</v>
      </c>
      <c r="X88" s="421">
        <f t="shared" ca="1" si="9"/>
        <v>2021</v>
      </c>
      <c r="Y88" s="421">
        <f t="shared" ca="1" si="9"/>
        <v>2022</v>
      </c>
      <c r="Z88" s="421">
        <f t="shared" ca="1" si="9"/>
        <v>2023</v>
      </c>
      <c r="AA88" s="421">
        <f t="shared" ca="1" si="9"/>
        <v>2024</v>
      </c>
      <c r="AB88" s="421">
        <f t="shared" ca="1" si="9"/>
        <v>2025</v>
      </c>
      <c r="AC88" s="421">
        <f t="shared" ca="1" si="9"/>
        <v>2026</v>
      </c>
      <c r="AD88" s="421">
        <f t="shared" ca="1" si="9"/>
        <v>2027</v>
      </c>
      <c r="AE88" s="421">
        <f t="shared" ca="1" si="9"/>
        <v>2028</v>
      </c>
      <c r="AF88" s="421">
        <f t="shared" ca="1" si="9"/>
        <v>2029</v>
      </c>
      <c r="AG88" s="421">
        <f t="shared" ca="1" si="9"/>
        <v>2030</v>
      </c>
      <c r="AH88" s="421">
        <f t="shared" ca="1" si="9"/>
        <v>2031</v>
      </c>
      <c r="AI88" s="421">
        <f t="shared" ca="1" si="9"/>
        <v>2032</v>
      </c>
      <c r="AJ88" s="421">
        <f t="shared" ca="1" si="9"/>
        <v>2033</v>
      </c>
      <c r="AK88" s="421">
        <f t="shared" ca="1" si="9"/>
        <v>2034</v>
      </c>
      <c r="AL88" s="421">
        <f t="shared" ca="1" si="9"/>
        <v>2035</v>
      </c>
      <c r="AM88" s="421">
        <f t="shared" ca="1" si="9"/>
        <v>2036</v>
      </c>
      <c r="AN88" s="421">
        <f t="shared" ca="1" si="9"/>
        <v>2037</v>
      </c>
      <c r="AO88" s="421">
        <f t="shared" ca="1" si="9"/>
        <v>2038</v>
      </c>
      <c r="AP88" s="421">
        <f t="shared" ca="1" si="9"/>
        <v>2039</v>
      </c>
      <c r="AQ88" s="421">
        <f t="shared" ca="1" si="9"/>
        <v>2040</v>
      </c>
      <c r="AR88" s="421">
        <f t="shared" ca="1" si="9"/>
        <v>2041</v>
      </c>
      <c r="AS88" s="421">
        <f t="shared" ca="1" si="9"/>
        <v>2042</v>
      </c>
      <c r="AT88" s="421">
        <f t="shared" ca="1" si="9"/>
        <v>2043</v>
      </c>
      <c r="AU88" s="421">
        <f t="shared" ca="1" si="9"/>
        <v>2044</v>
      </c>
      <c r="AV88" s="421">
        <f t="shared" ca="1" si="9"/>
        <v>2045</v>
      </c>
      <c r="AW88" s="421">
        <f t="shared" ca="1" si="9"/>
        <v>2046</v>
      </c>
      <c r="AX88" s="421">
        <f t="shared" ca="1" si="9"/>
        <v>2047</v>
      </c>
      <c r="AY88" s="421">
        <f t="shared" ca="1" si="9"/>
        <v>2048</v>
      </c>
      <c r="AZ88" s="421">
        <f t="shared" ca="1" si="9"/>
        <v>2049</v>
      </c>
      <c r="BA88" s="421">
        <f t="shared" ca="1" si="9"/>
        <v>2050</v>
      </c>
      <c r="BB88" s="421">
        <f t="shared" ca="1" si="9"/>
        <v>2051</v>
      </c>
      <c r="BC88" s="421">
        <f t="shared" ca="1" si="9"/>
        <v>2052</v>
      </c>
      <c r="BD88" s="421">
        <f t="shared" ca="1" si="9"/>
        <v>2053</v>
      </c>
      <c r="BE88" s="421">
        <f t="shared" ca="1" si="9"/>
        <v>2054</v>
      </c>
      <c r="BF88" s="421">
        <f t="shared" ca="1" si="9"/>
        <v>2055</v>
      </c>
      <c r="BG88" s="421">
        <f t="shared" ca="1" si="9"/>
        <v>2056</v>
      </c>
      <c r="BH88" s="421">
        <f t="shared" ca="1" si="9"/>
        <v>2057</v>
      </c>
      <c r="BI88" s="421">
        <f t="shared" ca="1" si="9"/>
        <v>2058</v>
      </c>
      <c r="BJ88" s="421">
        <f t="shared" ca="1" si="9"/>
        <v>2059</v>
      </c>
      <c r="BK88" s="421">
        <f t="shared" ca="1" si="9"/>
        <v>2060</v>
      </c>
      <c r="BL88" s="421">
        <f t="shared" ca="1" si="9"/>
        <v>2061</v>
      </c>
      <c r="BM88" s="421">
        <f t="shared" ca="1" si="9"/>
        <v>2062</v>
      </c>
      <c r="BN88" s="421">
        <f t="shared" ca="1" si="9"/>
        <v>2063</v>
      </c>
      <c r="BO88" s="421">
        <f t="shared" ca="1" si="9"/>
        <v>2064</v>
      </c>
      <c r="BP88" s="421">
        <f t="shared" ca="1" si="9"/>
        <v>2065</v>
      </c>
      <c r="BQ88" s="426">
        <f ca="1">BP88+1</f>
        <v>2066</v>
      </c>
    </row>
    <row r="89" spans="1:69" s="88" customFormat="1" ht="12.1" customHeight="1" x14ac:dyDescent="0.2">
      <c r="A89" s="552" t="s">
        <v>744</v>
      </c>
      <c r="B89" s="697"/>
      <c r="C89" s="697"/>
      <c r="D89" s="844"/>
      <c r="E89" s="2589">
        <f>IF(ISBLANK(Grunddaten!$AF$5),Grunddaten!$AE$5,Grunddaten!$AF$5)</f>
        <v>0</v>
      </c>
      <c r="F89" s="2590"/>
      <c r="G89" s="2626">
        <f>$N39</f>
        <v>0</v>
      </c>
      <c r="H89" s="2627"/>
      <c r="I89" s="2628"/>
      <c r="J89" s="2585" t="s">
        <v>49</v>
      </c>
      <c r="K89" s="2586"/>
      <c r="L89" s="2626">
        <f ca="1">IF(P89=0,0,-ROUND(PMT($J$9,$E$83,$P89),-1))</f>
        <v>0</v>
      </c>
      <c r="M89" s="2627"/>
      <c r="N89" s="2744"/>
      <c r="O89" s="292"/>
      <c r="P89" s="2654">
        <f ca="1">ROUND(NPV($J$9,S89:OFFSET($S$89,0,$E$83-1)),-1)</f>
        <v>0</v>
      </c>
      <c r="Q89" s="2655"/>
      <c r="R89" s="92"/>
      <c r="S89" s="490">
        <f>G89</f>
        <v>0</v>
      </c>
      <c r="T89" s="491">
        <f ca="1">$S$89*(1+(T88-$S$88)*$E$89)</f>
        <v>0</v>
      </c>
      <c r="U89" s="491">
        <f t="shared" ref="U89:BQ89" ca="1" si="10">$S$89*(1+(U88-$S$88)*$E$89)</f>
        <v>0</v>
      </c>
      <c r="V89" s="491">
        <f t="shared" ca="1" si="10"/>
        <v>0</v>
      </c>
      <c r="W89" s="491">
        <f t="shared" ca="1" si="10"/>
        <v>0</v>
      </c>
      <c r="X89" s="491">
        <f t="shared" ca="1" si="10"/>
        <v>0</v>
      </c>
      <c r="Y89" s="491">
        <f t="shared" ca="1" si="10"/>
        <v>0</v>
      </c>
      <c r="Z89" s="491">
        <f t="shared" ca="1" si="10"/>
        <v>0</v>
      </c>
      <c r="AA89" s="491">
        <f t="shared" ca="1" si="10"/>
        <v>0</v>
      </c>
      <c r="AB89" s="491">
        <f t="shared" ca="1" si="10"/>
        <v>0</v>
      </c>
      <c r="AC89" s="491">
        <f t="shared" ca="1" si="10"/>
        <v>0</v>
      </c>
      <c r="AD89" s="491">
        <f t="shared" ca="1" si="10"/>
        <v>0</v>
      </c>
      <c r="AE89" s="491">
        <f t="shared" ca="1" si="10"/>
        <v>0</v>
      </c>
      <c r="AF89" s="491">
        <f t="shared" ca="1" si="10"/>
        <v>0</v>
      </c>
      <c r="AG89" s="491">
        <f t="shared" ca="1" si="10"/>
        <v>0</v>
      </c>
      <c r="AH89" s="491">
        <f t="shared" ca="1" si="10"/>
        <v>0</v>
      </c>
      <c r="AI89" s="491">
        <f t="shared" ca="1" si="10"/>
        <v>0</v>
      </c>
      <c r="AJ89" s="491">
        <f t="shared" ca="1" si="10"/>
        <v>0</v>
      </c>
      <c r="AK89" s="491">
        <f t="shared" ca="1" si="10"/>
        <v>0</v>
      </c>
      <c r="AL89" s="491">
        <f t="shared" ca="1" si="10"/>
        <v>0</v>
      </c>
      <c r="AM89" s="491">
        <f t="shared" ca="1" si="10"/>
        <v>0</v>
      </c>
      <c r="AN89" s="491">
        <f t="shared" ca="1" si="10"/>
        <v>0</v>
      </c>
      <c r="AO89" s="491">
        <f t="shared" ca="1" si="10"/>
        <v>0</v>
      </c>
      <c r="AP89" s="491">
        <f t="shared" ca="1" si="10"/>
        <v>0</v>
      </c>
      <c r="AQ89" s="491">
        <f t="shared" ca="1" si="10"/>
        <v>0</v>
      </c>
      <c r="AR89" s="491">
        <f t="shared" ca="1" si="10"/>
        <v>0</v>
      </c>
      <c r="AS89" s="491">
        <f t="shared" ca="1" si="10"/>
        <v>0</v>
      </c>
      <c r="AT89" s="491">
        <f t="shared" ca="1" si="10"/>
        <v>0</v>
      </c>
      <c r="AU89" s="491">
        <f t="shared" ca="1" si="10"/>
        <v>0</v>
      </c>
      <c r="AV89" s="491">
        <f t="shared" ca="1" si="10"/>
        <v>0</v>
      </c>
      <c r="AW89" s="491">
        <f t="shared" ca="1" si="10"/>
        <v>0</v>
      </c>
      <c r="AX89" s="491">
        <f t="shared" ca="1" si="10"/>
        <v>0</v>
      </c>
      <c r="AY89" s="491">
        <f t="shared" ca="1" si="10"/>
        <v>0</v>
      </c>
      <c r="AZ89" s="491">
        <f t="shared" ca="1" si="10"/>
        <v>0</v>
      </c>
      <c r="BA89" s="491">
        <f t="shared" ca="1" si="10"/>
        <v>0</v>
      </c>
      <c r="BB89" s="491">
        <f t="shared" ca="1" si="10"/>
        <v>0</v>
      </c>
      <c r="BC89" s="491">
        <f t="shared" ca="1" si="10"/>
        <v>0</v>
      </c>
      <c r="BD89" s="491">
        <f t="shared" ca="1" si="10"/>
        <v>0</v>
      </c>
      <c r="BE89" s="491">
        <f t="shared" ca="1" si="10"/>
        <v>0</v>
      </c>
      <c r="BF89" s="491">
        <f t="shared" ca="1" si="10"/>
        <v>0</v>
      </c>
      <c r="BG89" s="491">
        <f t="shared" ca="1" si="10"/>
        <v>0</v>
      </c>
      <c r="BH89" s="491">
        <f t="shared" ca="1" si="10"/>
        <v>0</v>
      </c>
      <c r="BI89" s="491">
        <f t="shared" ca="1" si="10"/>
        <v>0</v>
      </c>
      <c r="BJ89" s="491">
        <f t="shared" ca="1" si="10"/>
        <v>0</v>
      </c>
      <c r="BK89" s="491">
        <f t="shared" ca="1" si="10"/>
        <v>0</v>
      </c>
      <c r="BL89" s="491">
        <f t="shared" ca="1" si="10"/>
        <v>0</v>
      </c>
      <c r="BM89" s="491">
        <f t="shared" ca="1" si="10"/>
        <v>0</v>
      </c>
      <c r="BN89" s="491">
        <f t="shared" ca="1" si="10"/>
        <v>0</v>
      </c>
      <c r="BO89" s="491">
        <f t="shared" ca="1" si="10"/>
        <v>0</v>
      </c>
      <c r="BP89" s="491">
        <f t="shared" ca="1" si="10"/>
        <v>0</v>
      </c>
      <c r="BQ89" s="1766">
        <f t="shared" ca="1" si="10"/>
        <v>0</v>
      </c>
    </row>
    <row r="90" spans="1:69" s="88" customFormat="1" ht="12.1" customHeight="1" x14ac:dyDescent="0.2">
      <c r="A90" s="517" t="s">
        <v>39</v>
      </c>
      <c r="B90" s="92"/>
      <c r="C90" s="92"/>
      <c r="D90" s="843"/>
      <c r="E90" s="2568"/>
      <c r="F90" s="2569"/>
      <c r="G90" s="2629"/>
      <c r="H90" s="2630"/>
      <c r="I90" s="2631"/>
      <c r="J90" s="2587"/>
      <c r="K90" s="2588"/>
      <c r="L90" s="2629"/>
      <c r="M90" s="2630"/>
      <c r="N90" s="2745"/>
      <c r="O90" s="292"/>
      <c r="P90" s="2890"/>
      <c r="Q90" s="2891"/>
      <c r="R90" s="556"/>
      <c r="S90" s="492"/>
      <c r="T90" s="492"/>
      <c r="U90" s="492"/>
      <c r="V90" s="492"/>
      <c r="W90" s="492"/>
      <c r="X90" s="492"/>
      <c r="Y90" s="492"/>
      <c r="Z90" s="492"/>
      <c r="AA90" s="410"/>
      <c r="AB90" s="452"/>
      <c r="AC90" s="452"/>
      <c r="AD90" s="452"/>
      <c r="AE90" s="452"/>
      <c r="AF90" s="452"/>
      <c r="AG90" s="453"/>
      <c r="AH90" s="453"/>
      <c r="AI90" s="453"/>
      <c r="AJ90" s="451"/>
      <c r="AK90" s="451"/>
      <c r="AL90" s="451"/>
      <c r="AM90" s="451"/>
      <c r="AN90" s="451"/>
      <c r="AO90" s="451"/>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1"/>
      <c r="BM90" s="451"/>
      <c r="BN90" s="451"/>
      <c r="BO90" s="451"/>
      <c r="BP90" s="451"/>
    </row>
    <row r="91" spans="1:69" s="88" customFormat="1" ht="11.25" customHeight="1" x14ac:dyDescent="0.2">
      <c r="A91" s="751" t="str">
        <f t="shared" ref="A91:A100" si="11">A62</f>
        <v>Elektrizität, Hochtarif</v>
      </c>
      <c r="B91" s="752"/>
      <c r="C91" s="752"/>
      <c r="D91" s="845"/>
      <c r="E91" s="2614">
        <f ca="1">IF(G91=0,0,OFFSET(Grunddaten!$AH$11,El_Produkt,0))/100</f>
        <v>0</v>
      </c>
      <c r="F91" s="2615"/>
      <c r="G91" s="2578">
        <f t="shared" ref="G91:G107" ca="1" si="12">L62-J91</f>
        <v>0</v>
      </c>
      <c r="H91" s="2579"/>
      <c r="I91" s="2580"/>
      <c r="J91" s="2581">
        <f ca="1">$R$109*OFFSET(Grunddaten!$Q$11,El_Produkt,0)/100*G62</f>
        <v>0</v>
      </c>
      <c r="K91" s="2582"/>
      <c r="L91" s="2525">
        <f t="shared" ref="L91:L107" ca="1" si="13">IF(P91=0,0,-ROUND(PMT($J$9,$E$83,$P91),-1))</f>
        <v>0</v>
      </c>
      <c r="M91" s="2526"/>
      <c r="N91" s="2527"/>
      <c r="O91" s="294"/>
      <c r="P91" s="2641">
        <f ca="1">ROUND(NPV($J$9,S62:OFFSET(S62,0,$E$83-1)),-1)</f>
        <v>0</v>
      </c>
      <c r="Q91" s="2642"/>
      <c r="R91" s="554"/>
      <c r="S91" s="268"/>
      <c r="T91" s="268"/>
      <c r="U91" s="268"/>
      <c r="V91" s="268"/>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row>
    <row r="92" spans="1:69" s="88" customFormat="1" ht="11.25" customHeight="1" x14ac:dyDescent="0.2">
      <c r="A92" s="698" t="str">
        <f t="shared" si="11"/>
        <v>Elektrizität, Niedertarif</v>
      </c>
      <c r="B92" s="699"/>
      <c r="C92" s="699"/>
      <c r="D92" s="842"/>
      <c r="E92" s="2564">
        <f ca="1">IF(G92=0,0,OFFSET(Grunddaten!$AH$11,El_Produkt+1,0))/100</f>
        <v>0</v>
      </c>
      <c r="F92" s="2565"/>
      <c r="G92" s="2618">
        <f t="shared" ca="1" si="12"/>
        <v>0</v>
      </c>
      <c r="H92" s="2619"/>
      <c r="I92" s="2620"/>
      <c r="J92" s="2583">
        <f ca="1">$R$109*OFFSET(Grunddaten!$Q$11,El_Produkt,0)/100*G63</f>
        <v>0</v>
      </c>
      <c r="K92" s="2584"/>
      <c r="L92" s="2531">
        <f t="shared" ca="1" si="13"/>
        <v>0</v>
      </c>
      <c r="M92" s="2532"/>
      <c r="N92" s="2533"/>
      <c r="O92" s="294"/>
      <c r="P92" s="2643">
        <f ca="1">ROUND(NPV($J$9,S63:OFFSET(S63,0,$E$83-1)),-1)</f>
        <v>0</v>
      </c>
      <c r="Q92" s="2644"/>
      <c r="R92" s="554"/>
      <c r="S92" s="268"/>
      <c r="T92" s="268"/>
      <c r="U92" s="268"/>
      <c r="V92" s="268"/>
      <c r="AE92" s="284"/>
      <c r="AF92" s="284"/>
      <c r="AG92" s="447"/>
      <c r="AH92" s="447"/>
      <c r="AI92" s="447"/>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row>
    <row r="93" spans="1:69" s="88" customFormat="1" ht="11.25" customHeight="1" x14ac:dyDescent="0.2">
      <c r="A93" s="751" t="str">
        <f t="shared" si="11"/>
        <v>Elektrizität Wärmepumpen, HT</v>
      </c>
      <c r="B93" s="752"/>
      <c r="C93" s="752"/>
      <c r="D93" s="843"/>
      <c r="E93" s="2568">
        <f ca="1">IF(G93=0,0,OFFSET(Grunddaten!$AH$11,El_Produkt+2-2*$Q$64,0))/100</f>
        <v>0</v>
      </c>
      <c r="F93" s="2569"/>
      <c r="G93" s="2578">
        <f t="shared" ca="1" si="12"/>
        <v>0</v>
      </c>
      <c r="H93" s="2579"/>
      <c r="I93" s="2580"/>
      <c r="J93" s="2581">
        <f ca="1">$R$109*OFFSET(Grunddaten!$Q$11,El_Produkt,0)/100*G64</f>
        <v>0</v>
      </c>
      <c r="K93" s="2582"/>
      <c r="L93" s="2525">
        <f t="shared" ca="1" si="13"/>
        <v>0</v>
      </c>
      <c r="M93" s="2526"/>
      <c r="N93" s="2527"/>
      <c r="O93" s="294"/>
      <c r="P93" s="2636">
        <f ca="1">ROUND(NPV($J$9,S64:OFFSET(S64,0,$E$83-1)),-1)</f>
        <v>0</v>
      </c>
      <c r="Q93" s="2637"/>
      <c r="R93" s="554"/>
      <c r="S93" s="268"/>
      <c r="T93" s="268"/>
      <c r="U93" s="268"/>
      <c r="V93" s="268"/>
      <c r="AE93" s="284"/>
      <c r="AF93" s="284"/>
      <c r="AG93" s="447"/>
      <c r="AH93" s="447"/>
      <c r="AI93" s="447"/>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row>
    <row r="94" spans="1:69" s="88" customFormat="1" ht="11.25" customHeight="1" x14ac:dyDescent="0.2">
      <c r="A94" s="698" t="str">
        <f t="shared" si="11"/>
        <v>Elektrizität Wärmepumpen, NT</v>
      </c>
      <c r="B94" s="699"/>
      <c r="C94" s="699"/>
      <c r="D94" s="842"/>
      <c r="E94" s="2564">
        <f ca="1">IF(G94=0,0,OFFSET(Grunddaten!$AH$11,El_Produkt+3-2*$Q$64,0))/100</f>
        <v>0</v>
      </c>
      <c r="F94" s="2565"/>
      <c r="G94" s="2618">
        <f t="shared" ca="1" si="12"/>
        <v>0</v>
      </c>
      <c r="H94" s="2619"/>
      <c r="I94" s="2620"/>
      <c r="J94" s="2583">
        <f ca="1">$R$109*OFFSET(Grunddaten!$Q$11,El_Produkt,0)/100*G65</f>
        <v>0</v>
      </c>
      <c r="K94" s="2584"/>
      <c r="L94" s="2531">
        <f t="shared" ca="1" si="13"/>
        <v>0</v>
      </c>
      <c r="M94" s="2532"/>
      <c r="N94" s="2533"/>
      <c r="O94" s="294"/>
      <c r="P94" s="2636">
        <f ca="1">ROUND(NPV($J$9,S65:OFFSET(S65,0,$E$83-1)),-1)</f>
        <v>0</v>
      </c>
      <c r="Q94" s="2637"/>
      <c r="R94" s="554"/>
      <c r="S94" s="268"/>
      <c r="T94" s="268"/>
      <c r="U94" s="268"/>
      <c r="V94" s="268"/>
      <c r="AE94" s="284"/>
      <c r="AF94" s="284"/>
      <c r="AG94" s="447"/>
      <c r="AH94" s="447"/>
      <c r="AI94" s="447"/>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c r="BP94" s="382"/>
    </row>
    <row r="95" spans="1:69" s="88" customFormat="1" ht="11.25" customHeight="1" x14ac:dyDescent="0.2">
      <c r="A95" s="751" t="str">
        <f t="shared" si="11"/>
        <v>Netzrückspeisung erneuerbar, HT</v>
      </c>
      <c r="B95" s="752"/>
      <c r="C95" s="752"/>
      <c r="D95" s="843"/>
      <c r="E95" s="2568">
        <f>IF(G95=0,0,Grunddaten!$AH29/100)</f>
        <v>0</v>
      </c>
      <c r="F95" s="2569"/>
      <c r="G95" s="2578">
        <f t="shared" si="12"/>
        <v>0</v>
      </c>
      <c r="H95" s="2579"/>
      <c r="I95" s="2580"/>
      <c r="J95" s="2581">
        <f>$R$109*Grunddaten!Q29/100*G66</f>
        <v>0</v>
      </c>
      <c r="K95" s="2582"/>
      <c r="L95" s="2525">
        <f t="shared" ca="1" si="13"/>
        <v>0</v>
      </c>
      <c r="M95" s="2526"/>
      <c r="N95" s="2527"/>
      <c r="O95" s="294"/>
      <c r="P95" s="2641">
        <f ca="1">ROUND(NPV($J$9,S66:OFFSET(S66,0,$E$83-1)),-1)</f>
        <v>0</v>
      </c>
      <c r="Q95" s="2642"/>
      <c r="R95" s="554"/>
      <c r="S95" s="268"/>
      <c r="T95" s="268"/>
      <c r="U95" s="268"/>
      <c r="V95" s="268"/>
      <c r="AE95" s="284"/>
      <c r="AF95" s="284"/>
      <c r="AG95" s="447"/>
      <c r="AH95" s="447"/>
      <c r="AI95" s="447"/>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c r="BP95" s="382"/>
    </row>
    <row r="96" spans="1:69" s="88" customFormat="1" ht="11.25" customHeight="1" x14ac:dyDescent="0.2">
      <c r="A96" s="698" t="str">
        <f t="shared" si="11"/>
        <v>Netzrückspeisung erneuerbar, NT</v>
      </c>
      <c r="B96" s="699"/>
      <c r="C96" s="699"/>
      <c r="D96" s="842"/>
      <c r="E96" s="2564">
        <f>IF(G96=0,0,Grunddaten!$AH30/100)</f>
        <v>0</v>
      </c>
      <c r="F96" s="2565"/>
      <c r="G96" s="2618">
        <f t="shared" si="12"/>
        <v>0</v>
      </c>
      <c r="H96" s="2619"/>
      <c r="I96" s="2620"/>
      <c r="J96" s="2583">
        <f>$R$109*Grunddaten!Q29/100*G67</f>
        <v>0</v>
      </c>
      <c r="K96" s="2584"/>
      <c r="L96" s="2531">
        <f t="shared" ca="1" si="13"/>
        <v>0</v>
      </c>
      <c r="M96" s="2532"/>
      <c r="N96" s="2533"/>
      <c r="O96" s="294"/>
      <c r="P96" s="2643">
        <f ca="1">ROUND(NPV($J$9,S67:OFFSET(S67,0,$E$83-1)),-1)</f>
        <v>0</v>
      </c>
      <c r="Q96" s="2644"/>
      <c r="R96" s="554"/>
      <c r="S96" s="268"/>
      <c r="T96" s="268"/>
      <c r="U96" s="268"/>
      <c r="V96" s="268"/>
      <c r="AE96" s="284"/>
      <c r="AF96" s="284"/>
      <c r="AG96" s="447"/>
      <c r="AH96" s="447"/>
      <c r="AI96" s="447"/>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row>
    <row r="97" spans="1:74" s="88" customFormat="1" ht="11.25" customHeight="1" x14ac:dyDescent="0.2">
      <c r="A97" s="751" t="str">
        <f t="shared" si="11"/>
        <v>Netzrückspeisung nicht erneuerbar, HT</v>
      </c>
      <c r="B97" s="752"/>
      <c r="C97" s="752"/>
      <c r="D97" s="1119"/>
      <c r="E97" s="2568">
        <f>IF(G97=0,0,Grunddaten!$AH31/100)</f>
        <v>0</v>
      </c>
      <c r="F97" s="2569"/>
      <c r="G97" s="2578">
        <f t="shared" si="12"/>
        <v>0</v>
      </c>
      <c r="H97" s="2579"/>
      <c r="I97" s="2580"/>
      <c r="J97" s="2581">
        <f>$R$109*Grunddaten!Q31/100*G68</f>
        <v>0</v>
      </c>
      <c r="K97" s="2582"/>
      <c r="L97" s="2525">
        <f t="shared" ca="1" si="13"/>
        <v>0</v>
      </c>
      <c r="M97" s="2526"/>
      <c r="N97" s="2527"/>
      <c r="O97" s="294"/>
      <c r="P97" s="2636">
        <f ca="1">ROUND(NPV($J$9,S68:OFFSET(S68,0,$E$83-1)),-1)</f>
        <v>0</v>
      </c>
      <c r="Q97" s="2637"/>
      <c r="R97" s="554"/>
      <c r="S97" s="1359"/>
      <c r="T97" s="1359"/>
      <c r="U97" s="1359"/>
      <c r="V97" s="1359"/>
      <c r="AE97" s="284"/>
      <c r="AF97" s="284"/>
      <c r="AG97" s="447"/>
      <c r="AH97" s="447"/>
      <c r="AI97" s="447"/>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row>
    <row r="98" spans="1:74" s="88" customFormat="1" ht="11.25" customHeight="1" x14ac:dyDescent="0.2">
      <c r="A98" s="698" t="str">
        <f t="shared" si="11"/>
        <v>Netzrückspeisung nicht erneuerbar, NT</v>
      </c>
      <c r="B98" s="699"/>
      <c r="C98" s="699"/>
      <c r="D98" s="1121"/>
      <c r="E98" s="2564">
        <f>IF(G98=0,0,Grunddaten!$AH32/100)</f>
        <v>0</v>
      </c>
      <c r="F98" s="2565"/>
      <c r="G98" s="2618">
        <f t="shared" si="12"/>
        <v>0</v>
      </c>
      <c r="H98" s="2619"/>
      <c r="I98" s="2620"/>
      <c r="J98" s="2583">
        <f>$R$109*Grunddaten!Q31/100*G69</f>
        <v>0</v>
      </c>
      <c r="K98" s="2584"/>
      <c r="L98" s="2531">
        <f t="shared" ca="1" si="13"/>
        <v>0</v>
      </c>
      <c r="M98" s="2532"/>
      <c r="N98" s="2533"/>
      <c r="O98" s="294"/>
      <c r="P98" s="2636">
        <f ca="1">ROUND(NPV($J$9,S69:OFFSET(S69,0,$E$83-1)),-1)</f>
        <v>0</v>
      </c>
      <c r="Q98" s="2637"/>
      <c r="R98" s="554"/>
      <c r="S98" s="1359"/>
      <c r="T98" s="1359"/>
      <c r="U98" s="1359"/>
      <c r="V98" s="1359"/>
      <c r="AE98" s="284"/>
      <c r="AF98" s="284"/>
      <c r="AG98" s="447"/>
      <c r="AH98" s="447"/>
      <c r="AI98" s="447"/>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row>
    <row r="99" spans="1:74" s="88" customFormat="1" ht="11.25" customHeight="1" x14ac:dyDescent="0.2">
      <c r="A99" s="753" t="str">
        <f t="shared" si="11"/>
        <v>Holzpellets</v>
      </c>
      <c r="B99" s="754"/>
      <c r="C99" s="754"/>
      <c r="D99" s="844"/>
      <c r="E99" s="2589">
        <f ca="1">IF(G99=0,0,Grunddaten!$AH45/100)</f>
        <v>0</v>
      </c>
      <c r="F99" s="2590"/>
      <c r="G99" s="2591">
        <f t="shared" ca="1" si="12"/>
        <v>0</v>
      </c>
      <c r="H99" s="2592"/>
      <c r="I99" s="2593"/>
      <c r="J99" s="2477">
        <f ca="1">$R$109*Grunddaten!Q45/100*G70</f>
        <v>0</v>
      </c>
      <c r="K99" s="2478"/>
      <c r="L99" s="2645">
        <f t="shared" ca="1" si="13"/>
        <v>0</v>
      </c>
      <c r="M99" s="2646"/>
      <c r="N99" s="2647"/>
      <c r="O99" s="294"/>
      <c r="P99" s="2638">
        <f ca="1">ROUND(NPV($J$9,S70:OFFSET(S70,0,$E$83-1)),-1)</f>
        <v>0</v>
      </c>
      <c r="Q99" s="2639"/>
      <c r="R99" s="554"/>
      <c r="S99" s="268"/>
      <c r="T99" s="268"/>
      <c r="U99" s="268"/>
      <c r="V99" s="268"/>
      <c r="AE99" s="284"/>
      <c r="AF99" s="284"/>
      <c r="AG99" s="447"/>
      <c r="AH99" s="447"/>
      <c r="AI99" s="447"/>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row>
    <row r="100" spans="1:74" s="88" customFormat="1" ht="11.25" customHeight="1" x14ac:dyDescent="0.2">
      <c r="A100" s="753" t="str">
        <f t="shared" si="11"/>
        <v>Holzschnitzel</v>
      </c>
      <c r="B100" s="754"/>
      <c r="C100" s="754"/>
      <c r="D100" s="844"/>
      <c r="E100" s="2589">
        <f ca="1">IF(G100=0,0,Grunddaten!$AH46/100)</f>
        <v>0</v>
      </c>
      <c r="F100" s="2590"/>
      <c r="G100" s="2591">
        <f t="shared" ca="1" si="12"/>
        <v>0</v>
      </c>
      <c r="H100" s="2592"/>
      <c r="I100" s="2593"/>
      <c r="J100" s="2477">
        <f ca="1">$R$109*Grunddaten!Q46/100*G71</f>
        <v>0</v>
      </c>
      <c r="K100" s="2478"/>
      <c r="L100" s="2645">
        <f t="shared" ca="1" si="13"/>
        <v>0</v>
      </c>
      <c r="M100" s="2646"/>
      <c r="N100" s="2647"/>
      <c r="O100" s="294"/>
      <c r="P100" s="2638">
        <f ca="1">ROUND(NPV($J$9,S71:OFFSET(S71,0,$E$83-1)),-1)</f>
        <v>0</v>
      </c>
      <c r="Q100" s="2639"/>
      <c r="R100" s="554"/>
      <c r="S100" s="268"/>
      <c r="T100" s="268"/>
      <c r="U100" s="268"/>
      <c r="V100" s="268"/>
      <c r="AE100" s="284"/>
      <c r="AF100" s="284"/>
      <c r="AG100" s="447"/>
      <c r="AH100" s="447"/>
      <c r="AI100" s="447"/>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row>
    <row r="101" spans="1:74" s="88" customFormat="1" ht="11.25" customHeight="1" x14ac:dyDescent="0.2">
      <c r="A101" s="753" t="str">
        <f t="shared" ref="A101:A107" si="14">A72</f>
        <v>Biogas</v>
      </c>
      <c r="B101" s="754"/>
      <c r="C101" s="754"/>
      <c r="D101" s="844"/>
      <c r="E101" s="2700">
        <f ca="1">IF(G101=0,0,VLOOKUP(Projektdaten!G24,Grunddaten!C47:AI48,32,FALSE)/100)</f>
        <v>0</v>
      </c>
      <c r="F101" s="2701"/>
      <c r="G101" s="2591">
        <f t="shared" ca="1" si="12"/>
        <v>0</v>
      </c>
      <c r="H101" s="2592"/>
      <c r="I101" s="2593"/>
      <c r="J101" s="2477">
        <f ca="1">$R$109*VLOOKUP(Projektdaten!G24,Grunddaten!C47:AI48,15,FALSE)/100*G72</f>
        <v>0</v>
      </c>
      <c r="K101" s="2478"/>
      <c r="L101" s="2645">
        <f t="shared" ca="1" si="13"/>
        <v>0</v>
      </c>
      <c r="M101" s="2646"/>
      <c r="N101" s="2647"/>
      <c r="O101" s="294"/>
      <c r="P101" s="2638">
        <f ca="1">ROUND(NPV($J$9,S72:OFFSET(S72,0,$E$83-1)),-1)</f>
        <v>0</v>
      </c>
      <c r="Q101" s="2639"/>
      <c r="R101" s="554"/>
      <c r="S101" s="268"/>
      <c r="T101" s="268"/>
      <c r="U101" s="268"/>
      <c r="V101" s="268"/>
      <c r="AE101" s="284"/>
      <c r="AF101" s="284"/>
      <c r="AG101" s="447"/>
      <c r="AH101" s="447"/>
      <c r="AI101" s="447"/>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row>
    <row r="102" spans="1:74" s="88" customFormat="1" ht="11.25" customHeight="1" x14ac:dyDescent="0.2">
      <c r="A102" s="753" t="str">
        <f t="shared" si="14"/>
        <v>Erdgas</v>
      </c>
      <c r="B102" s="754"/>
      <c r="C102" s="754"/>
      <c r="D102" s="844"/>
      <c r="E102" s="2589">
        <f ca="1">IF(G102=0,0,Grunddaten!$AH49/100)</f>
        <v>0</v>
      </c>
      <c r="F102" s="2590"/>
      <c r="G102" s="2591">
        <f t="shared" ca="1" si="12"/>
        <v>0</v>
      </c>
      <c r="H102" s="2592"/>
      <c r="I102" s="2593"/>
      <c r="J102" s="2477">
        <f ca="1">$R$109*Grunddaten!Q49/100*G73</f>
        <v>0</v>
      </c>
      <c r="K102" s="2478"/>
      <c r="L102" s="2645">
        <f t="shared" ca="1" si="13"/>
        <v>0</v>
      </c>
      <c r="M102" s="2646"/>
      <c r="N102" s="2647"/>
      <c r="O102" s="294"/>
      <c r="P102" s="2638">
        <f ca="1">ROUND(NPV($J$9,S73:OFFSET(S73,0,$E$83-1)),-1)</f>
        <v>0</v>
      </c>
      <c r="Q102" s="2639"/>
      <c r="R102" s="554"/>
      <c r="S102" s="268"/>
      <c r="T102" s="268"/>
      <c r="U102" s="268"/>
      <c r="V102" s="268"/>
      <c r="AE102" s="284"/>
      <c r="AF102" s="284"/>
      <c r="AG102" s="447"/>
      <c r="AH102" s="447"/>
      <c r="AI102" s="447"/>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row>
    <row r="103" spans="1:74" s="88" customFormat="1" ht="11.25" customHeight="1" x14ac:dyDescent="0.2">
      <c r="A103" s="753" t="str">
        <f t="shared" si="14"/>
        <v>Heizöl EL</v>
      </c>
      <c r="B103" s="754"/>
      <c r="C103" s="754"/>
      <c r="D103" s="844"/>
      <c r="E103" s="2589">
        <f ca="1">IF(G103=0,0,Grunddaten!$AH50/100)</f>
        <v>0</v>
      </c>
      <c r="F103" s="2590"/>
      <c r="G103" s="2591">
        <f t="shared" ca="1" si="12"/>
        <v>0</v>
      </c>
      <c r="H103" s="2592"/>
      <c r="I103" s="2593"/>
      <c r="J103" s="2477">
        <f ca="1">$R$109*Grunddaten!Q50/100*G74</f>
        <v>0</v>
      </c>
      <c r="K103" s="2478"/>
      <c r="L103" s="2645">
        <f t="shared" ca="1" si="13"/>
        <v>0</v>
      </c>
      <c r="M103" s="2646"/>
      <c r="N103" s="2647"/>
      <c r="O103" s="294"/>
      <c r="P103" s="2638">
        <f ca="1">ROUND(NPV($J$9,S74:OFFSET(S74,0,$E$83-1)),-1)</f>
        <v>0</v>
      </c>
      <c r="Q103" s="2639"/>
      <c r="R103" s="554"/>
      <c r="S103" s="268"/>
      <c r="T103" s="268"/>
      <c r="U103" s="268"/>
      <c r="V103" s="268"/>
      <c r="AE103" s="284"/>
      <c r="AF103" s="284"/>
      <c r="AG103" s="447"/>
      <c r="AH103" s="447"/>
      <c r="AI103" s="447"/>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row>
    <row r="104" spans="1:74" s="88" customFormat="1" ht="11.25" customHeight="1" x14ac:dyDescent="0.2">
      <c r="A104" s="753" t="str">
        <f t="shared" si="14"/>
        <v>Brennstoff XY</v>
      </c>
      <c r="B104" s="754"/>
      <c r="C104" s="754"/>
      <c r="D104" s="844"/>
      <c r="E104" s="2589">
        <f ca="1">IF(G104=0,0,Grunddaten!$AH51/100)</f>
        <v>0</v>
      </c>
      <c r="F104" s="2590"/>
      <c r="G104" s="2591">
        <f t="shared" ca="1" si="12"/>
        <v>0</v>
      </c>
      <c r="H104" s="2592"/>
      <c r="I104" s="2593"/>
      <c r="J104" s="2477">
        <f ca="1">$R$109*Grunddaten!Q51/100*G75</f>
        <v>0</v>
      </c>
      <c r="K104" s="2478"/>
      <c r="L104" s="2645">
        <f t="shared" ca="1" si="13"/>
        <v>0</v>
      </c>
      <c r="M104" s="2646"/>
      <c r="N104" s="2647"/>
      <c r="O104" s="294"/>
      <c r="P104" s="2638">
        <f ca="1">ROUND(NPV($J$9,S75:OFFSET(S75,0,$E$83-1)),-1)</f>
        <v>0</v>
      </c>
      <c r="Q104" s="2639"/>
      <c r="R104" s="554"/>
      <c r="S104" s="268"/>
      <c r="T104" s="268"/>
      <c r="U104" s="268"/>
      <c r="V104" s="268"/>
      <c r="AE104" s="284"/>
      <c r="AF104" s="284"/>
      <c r="AG104" s="447"/>
      <c r="AH104" s="447"/>
      <c r="AI104" s="447"/>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row>
    <row r="105" spans="1:74" s="88" customFormat="1" ht="11.25" customHeight="1" x14ac:dyDescent="0.2">
      <c r="A105" s="751" t="str">
        <f t="shared" si="14"/>
        <v>Fernwärme</v>
      </c>
      <c r="B105" s="752"/>
      <c r="C105" s="752"/>
      <c r="D105" s="845"/>
      <c r="E105" s="2614">
        <f ca="1">IF(G105=0,0,OFFSET(Grunddaten!$AH$52,FW_Produkt,0))/100</f>
        <v>0</v>
      </c>
      <c r="F105" s="2615"/>
      <c r="G105" s="2578">
        <f t="shared" ca="1" si="12"/>
        <v>0</v>
      </c>
      <c r="H105" s="2579"/>
      <c r="I105" s="2580"/>
      <c r="J105" s="2581">
        <f ca="1">$R$109*OFFSET(Grunddaten!$Q$52,FW_Produkt,0)/100*G76</f>
        <v>0</v>
      </c>
      <c r="K105" s="2582"/>
      <c r="L105" s="2525">
        <f t="shared" ca="1" si="13"/>
        <v>0</v>
      </c>
      <c r="M105" s="2526"/>
      <c r="N105" s="2527"/>
      <c r="O105" s="294"/>
      <c r="P105" s="2638">
        <f ca="1">ROUND(NPV($J$9,S76:OFFSET(S76,0,$E$83-1)),-1)</f>
        <v>0</v>
      </c>
      <c r="Q105" s="2639"/>
      <c r="R105" s="554"/>
      <c r="S105" s="268"/>
      <c r="T105" s="268"/>
      <c r="U105" s="268"/>
      <c r="V105" s="268"/>
      <c r="AE105" s="284"/>
      <c r="AF105" s="284"/>
      <c r="AG105" s="447"/>
      <c r="AH105" s="447"/>
      <c r="AI105" s="447"/>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row>
    <row r="106" spans="1:74" s="88" customFormat="1" ht="11.25" customHeight="1" x14ac:dyDescent="0.2">
      <c r="A106" s="753" t="str">
        <f t="shared" si="14"/>
        <v>Wärmeverbund XY</v>
      </c>
      <c r="B106" s="754"/>
      <c r="C106" s="754"/>
      <c r="D106" s="1260"/>
      <c r="E106" s="2589">
        <f ca="1">IF(G106=0,0,Grunddaten!$AH55/100)</f>
        <v>0</v>
      </c>
      <c r="F106" s="2590"/>
      <c r="G106" s="2591">
        <f t="shared" ca="1" si="12"/>
        <v>0</v>
      </c>
      <c r="H106" s="2592"/>
      <c r="I106" s="2593"/>
      <c r="J106" s="2477">
        <f ca="1">$R$109*Grunddaten!Q55/100*G77</f>
        <v>0</v>
      </c>
      <c r="K106" s="2478"/>
      <c r="L106" s="2645">
        <f t="shared" ca="1" si="13"/>
        <v>0</v>
      </c>
      <c r="M106" s="2646"/>
      <c r="N106" s="2647"/>
      <c r="O106" s="294"/>
      <c r="P106" s="2638">
        <f ca="1">ROUND(NPV($J$9,S77:OFFSET(S77,0,$E$83-1)),-1)</f>
        <v>0</v>
      </c>
      <c r="Q106" s="2639"/>
      <c r="R106" s="554"/>
      <c r="S106" s="1259"/>
      <c r="T106" s="1259"/>
      <c r="U106" s="1259"/>
      <c r="V106" s="1259"/>
      <c r="AE106" s="284"/>
      <c r="AF106" s="284"/>
      <c r="AG106" s="447"/>
      <c r="AH106" s="447"/>
      <c r="AI106" s="447"/>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row>
    <row r="107" spans="1:74" s="88" customFormat="1" ht="11.25" customHeight="1" x14ac:dyDescent="0.2">
      <c r="A107" s="753" t="str">
        <f t="shared" si="14"/>
        <v>Kälteverbund XY</v>
      </c>
      <c r="B107" s="754"/>
      <c r="C107" s="754"/>
      <c r="D107" s="1260"/>
      <c r="E107" s="2589">
        <f ca="1">IF(G107=0,0,Grunddaten!$AH56/100)</f>
        <v>0</v>
      </c>
      <c r="F107" s="2590"/>
      <c r="G107" s="2591">
        <f t="shared" ca="1" si="12"/>
        <v>0</v>
      </c>
      <c r="H107" s="2592"/>
      <c r="I107" s="2593"/>
      <c r="J107" s="2477">
        <f ca="1">$R$109*Grunddaten!Q56/100*G78</f>
        <v>0</v>
      </c>
      <c r="K107" s="2478"/>
      <c r="L107" s="2645">
        <f t="shared" ca="1" si="13"/>
        <v>0</v>
      </c>
      <c r="M107" s="2646"/>
      <c r="N107" s="2647"/>
      <c r="O107" s="294"/>
      <c r="P107" s="2648">
        <f ca="1">ROUND(NPV($J$9,S78:OFFSET(S78,0,$E$83-1)),-1)</f>
        <v>0</v>
      </c>
      <c r="Q107" s="2649"/>
      <c r="R107" s="554"/>
      <c r="S107" s="1765"/>
      <c r="T107" s="1765"/>
      <c r="U107" s="1765"/>
      <c r="V107" s="1765"/>
      <c r="AE107" s="284"/>
      <c r="AF107" s="284"/>
      <c r="AG107" s="447"/>
      <c r="AH107" s="447"/>
      <c r="AI107" s="447"/>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row>
    <row r="108" spans="1:74" s="88" customFormat="1" ht="12.1" customHeight="1" x14ac:dyDescent="0.2">
      <c r="A108" s="756" t="s">
        <v>48</v>
      </c>
      <c r="B108" s="1391"/>
      <c r="C108" s="757"/>
      <c r="D108" s="757"/>
      <c r="E108" s="1066"/>
      <c r="F108" s="1067"/>
      <c r="G108" s="2575">
        <f ca="1">ROUND(SUM(G91:G106),-1)</f>
        <v>0</v>
      </c>
      <c r="H108" s="2576"/>
      <c r="I108" s="2577"/>
      <c r="J108" s="2466" t="s">
        <v>49</v>
      </c>
      <c r="K108" s="2467"/>
      <c r="L108" s="2575">
        <f ca="1">ROUND(SUM(L91:N107),-1)</f>
        <v>0</v>
      </c>
      <c r="M108" s="2576"/>
      <c r="N108" s="2664"/>
      <c r="O108" s="293"/>
      <c r="S108" s="382"/>
      <c r="AE108" s="284"/>
      <c r="AF108" s="284"/>
      <c r="AG108" s="447"/>
      <c r="AH108" s="447"/>
      <c r="AI108" s="447"/>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c r="BP108" s="382"/>
    </row>
    <row r="109" spans="1:74" s="88" customFormat="1" ht="12.1" customHeight="1" thickBot="1" x14ac:dyDescent="0.25">
      <c r="A109" s="755" t="s">
        <v>752</v>
      </c>
      <c r="B109" s="1392"/>
      <c r="C109" s="2704" t="str">
        <f>IF($R$109=1,"(berücksichtigt)","(nicht berücksichtigt)")</f>
        <v>(nicht berücksichtigt)</v>
      </c>
      <c r="D109" s="2704"/>
      <c r="E109" s="1068"/>
      <c r="F109" s="1068"/>
      <c r="G109" s="1524"/>
      <c r="H109" s="1524"/>
      <c r="I109" s="1525"/>
      <c r="J109" s="2680">
        <f ca="1">$R$109*ROUND(SUM(J91:J107),-1)</f>
        <v>0</v>
      </c>
      <c r="K109" s="2588"/>
      <c r="L109" s="2665">
        <f ca="1">J109</f>
        <v>0</v>
      </c>
      <c r="M109" s="2666"/>
      <c r="N109" s="2667"/>
      <c r="O109" s="293"/>
      <c r="P109" s="546" t="s">
        <v>485</v>
      </c>
      <c r="Q109" s="547"/>
      <c r="R109" s="548">
        <f>Projektdaten!$T$29</f>
        <v>0</v>
      </c>
      <c r="S109" s="321" t="s">
        <v>486</v>
      </c>
      <c r="AE109" s="284"/>
      <c r="AF109" s="284"/>
      <c r="AG109" s="447"/>
      <c r="AH109" s="447"/>
      <c r="AI109" s="447"/>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c r="BP109" s="382"/>
    </row>
    <row r="110" spans="1:74" s="88" customFormat="1" ht="13.6" customHeight="1" thickBot="1" x14ac:dyDescent="0.25">
      <c r="A110" s="391" t="s">
        <v>47</v>
      </c>
      <c r="B110" s="91"/>
      <c r="C110" s="393"/>
      <c r="D110" s="393"/>
      <c r="E110" s="1465"/>
      <c r="F110" s="1465"/>
      <c r="G110" s="2606">
        <f ca="1">G88+G89+G108+J109</f>
        <v>0</v>
      </c>
      <c r="H110" s="2607"/>
      <c r="I110" s="2607"/>
      <c r="J110" s="2607"/>
      <c r="K110" s="2608"/>
      <c r="L110" s="2668">
        <f ca="1">ROUND(SUM(L88+L89+L108+L109),-1)</f>
        <v>0</v>
      </c>
      <c r="M110" s="2669"/>
      <c r="N110" s="2670"/>
      <c r="O110" s="293"/>
      <c r="P110" s="290"/>
      <c r="R110" s="382"/>
      <c r="S110" s="382"/>
      <c r="AE110" s="284"/>
      <c r="AF110" s="284"/>
      <c r="AG110" s="447"/>
      <c r="AH110" s="447"/>
      <c r="AI110" s="447"/>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c r="BP110" s="382"/>
      <c r="BS110" s="268"/>
      <c r="BT110" s="268"/>
      <c r="BU110" s="268"/>
      <c r="BV110" s="268"/>
    </row>
    <row r="111" spans="1:74" s="172" customFormat="1" ht="5.95" customHeight="1" x14ac:dyDescent="0.2">
      <c r="A111" s="96" t="s">
        <v>12</v>
      </c>
      <c r="B111" s="96"/>
      <c r="C111" s="95"/>
      <c r="D111" s="95"/>
      <c r="E111" s="95"/>
      <c r="F111" s="95"/>
      <c r="G111" s="95"/>
      <c r="H111" s="171" t="s">
        <v>12</v>
      </c>
      <c r="I111" s="171"/>
      <c r="K111" s="173" t="s">
        <v>12</v>
      </c>
      <c r="L111" s="173"/>
      <c r="M111" s="173"/>
      <c r="N111" s="173"/>
      <c r="O111" s="173"/>
      <c r="P111" s="87"/>
      <c r="Q111" s="270"/>
      <c r="S111" s="454"/>
      <c r="T111" s="454"/>
      <c r="AD111" s="270"/>
      <c r="AE111" s="270"/>
      <c r="AF111" s="270"/>
      <c r="AG111" s="270"/>
      <c r="AH111" s="455"/>
      <c r="AI111" s="455"/>
      <c r="AJ111" s="455"/>
      <c r="AK111" s="454"/>
      <c r="AL111" s="454"/>
      <c r="AM111" s="454"/>
      <c r="AN111" s="454"/>
      <c r="AO111" s="454"/>
      <c r="AP111" s="454"/>
      <c r="AQ111" s="454"/>
      <c r="AR111" s="454"/>
      <c r="AS111" s="454"/>
      <c r="AT111" s="454"/>
      <c r="AU111" s="454"/>
      <c r="AV111" s="454"/>
      <c r="AW111" s="454"/>
      <c r="AX111" s="454"/>
      <c r="AY111" s="454"/>
      <c r="AZ111" s="454"/>
      <c r="BA111" s="454"/>
      <c r="BB111" s="454"/>
      <c r="BC111" s="454"/>
      <c r="BD111" s="454"/>
      <c r="BE111" s="454"/>
      <c r="BF111" s="454"/>
      <c r="BG111" s="454"/>
      <c r="BH111" s="454"/>
      <c r="BI111" s="454"/>
      <c r="BJ111" s="454"/>
      <c r="BK111" s="454"/>
      <c r="BL111" s="454"/>
      <c r="BM111" s="454"/>
      <c r="BN111" s="454"/>
      <c r="BO111" s="454"/>
      <c r="BP111" s="454"/>
      <c r="BQ111" s="454"/>
      <c r="BS111" s="268"/>
      <c r="BT111" s="268"/>
      <c r="BU111" s="268"/>
      <c r="BV111" s="268"/>
    </row>
    <row r="112" spans="1:74" s="84" customFormat="1" ht="17.350000000000001" customHeight="1" x14ac:dyDescent="0.25">
      <c r="A112" s="107" t="s">
        <v>478</v>
      </c>
      <c r="B112" s="107"/>
      <c r="D112" s="1379"/>
      <c r="E112" s="1379" t="str">
        <f>$D$88</f>
        <v>(Förderbeiträge berücksichtigen)</v>
      </c>
      <c r="F112" s="102"/>
      <c r="G112" s="102"/>
      <c r="H112" s="83"/>
      <c r="I112" s="83"/>
      <c r="J112" s="83"/>
      <c r="K112" s="101"/>
      <c r="L112" s="101"/>
      <c r="M112" s="101"/>
      <c r="N112" s="101"/>
      <c r="O112" s="101"/>
      <c r="P112" s="506" t="s">
        <v>474</v>
      </c>
      <c r="S112" s="381"/>
      <c r="T112" s="381"/>
      <c r="U112" s="381"/>
      <c r="V112" s="381"/>
      <c r="W112" s="381"/>
      <c r="X112" s="381"/>
      <c r="AB112" s="395"/>
      <c r="AC112" s="270"/>
      <c r="AD112" s="270"/>
      <c r="AE112" s="270"/>
      <c r="AF112" s="270"/>
      <c r="AG112" s="270"/>
      <c r="AH112" s="380"/>
      <c r="AI112" s="380"/>
      <c r="AJ112" s="380"/>
      <c r="AK112" s="381"/>
      <c r="AL112" s="381"/>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c r="BP112" s="381"/>
      <c r="BQ112" s="381"/>
      <c r="BS112" s="268"/>
      <c r="BT112" s="268"/>
      <c r="BU112" s="268"/>
      <c r="BV112" s="268"/>
    </row>
    <row r="113" spans="1:74" s="84" customFormat="1" ht="2.25" customHeight="1" thickBot="1" x14ac:dyDescent="0.25">
      <c r="A113" s="94"/>
      <c r="B113" s="94"/>
      <c r="C113" s="100"/>
      <c r="D113" s="100"/>
      <c r="E113" s="100"/>
      <c r="F113" s="100"/>
      <c r="G113" s="101"/>
      <c r="H113" s="86"/>
      <c r="I113" s="86"/>
      <c r="J113" s="86"/>
      <c r="K113" s="86"/>
      <c r="L113" s="86"/>
      <c r="M113" s="86"/>
      <c r="N113" s="86"/>
      <c r="O113" s="86"/>
      <c r="Q113" s="270"/>
      <c r="S113" s="381"/>
      <c r="T113" s="381"/>
      <c r="U113" s="381"/>
      <c r="V113" s="381"/>
      <c r="W113" s="381"/>
      <c r="X113" s="381"/>
      <c r="AB113" s="270"/>
      <c r="AC113" s="270"/>
      <c r="AD113" s="270"/>
      <c r="AE113" s="270"/>
      <c r="AF113" s="270"/>
      <c r="AG113" s="270"/>
      <c r="AH113" s="380"/>
      <c r="AI113" s="380"/>
      <c r="AJ113" s="380"/>
      <c r="AK113" s="381"/>
      <c r="AL113" s="381"/>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381"/>
      <c r="BK113" s="381"/>
      <c r="BL113" s="381"/>
      <c r="BM113" s="381"/>
      <c r="BN113" s="381"/>
      <c r="BO113" s="381"/>
      <c r="BP113" s="381"/>
      <c r="BQ113" s="381"/>
      <c r="BS113" s="268"/>
      <c r="BT113" s="268"/>
      <c r="BU113" s="268"/>
      <c r="BV113" s="268"/>
    </row>
    <row r="114" spans="1:74" s="84" customFormat="1" ht="12.9" customHeight="1" thickBot="1" x14ac:dyDescent="0.25">
      <c r="A114" s="388"/>
      <c r="B114" s="99"/>
      <c r="C114" s="2441" t="s">
        <v>480</v>
      </c>
      <c r="D114" s="2442"/>
      <c r="E114" s="2442"/>
      <c r="F114" s="2443"/>
      <c r="G114" s="2441" t="s">
        <v>678</v>
      </c>
      <c r="H114" s="2442"/>
      <c r="I114" s="2442"/>
      <c r="J114" s="2442"/>
      <c r="K114" s="2442"/>
      <c r="L114" s="2442"/>
      <c r="M114" s="2442"/>
      <c r="N114" s="2679"/>
      <c r="O114" s="268"/>
      <c r="P114" s="435" t="s">
        <v>475</v>
      </c>
      <c r="Q114" s="381"/>
      <c r="R114" s="381"/>
      <c r="S114" s="381"/>
      <c r="T114" s="381"/>
      <c r="U114" s="381"/>
      <c r="V114" s="381"/>
      <c r="W114" s="381"/>
      <c r="AA114" s="270"/>
      <c r="AB114" s="270"/>
      <c r="AC114" s="270"/>
      <c r="AD114" s="270"/>
      <c r="AE114" s="270"/>
      <c r="AF114" s="380"/>
      <c r="AG114" s="380"/>
      <c r="AH114" s="380"/>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c r="BS114" s="268"/>
      <c r="BT114" s="268"/>
      <c r="BU114" s="268"/>
      <c r="BV114" s="268"/>
    </row>
    <row r="115" spans="1:74" s="84" customFormat="1" ht="12.9" customHeight="1" thickBot="1" x14ac:dyDescent="0.25">
      <c r="A115" s="507"/>
      <c r="B115" s="98"/>
      <c r="C115" s="2444" t="s">
        <v>32</v>
      </c>
      <c r="D115" s="2445"/>
      <c r="E115" s="2445"/>
      <c r="F115" s="2446"/>
      <c r="G115" s="2444" t="s">
        <v>472</v>
      </c>
      <c r="H115" s="2445"/>
      <c r="I115" s="2446"/>
      <c r="J115" s="2672" t="s">
        <v>473</v>
      </c>
      <c r="K115" s="2672"/>
      <c r="L115" s="2671" t="s">
        <v>452</v>
      </c>
      <c r="M115" s="2672"/>
      <c r="N115" s="2673"/>
      <c r="O115" s="268"/>
      <c r="P115" s="505">
        <f>SUM(P116:P118)</f>
        <v>0</v>
      </c>
      <c r="Q115" s="503">
        <v>2</v>
      </c>
      <c r="R115" s="503">
        <v>3</v>
      </c>
      <c r="S115" s="503">
        <v>4</v>
      </c>
      <c r="T115" s="503">
        <v>5</v>
      </c>
      <c r="U115" s="503">
        <v>6</v>
      </c>
      <c r="V115" s="504">
        <v>7</v>
      </c>
      <c r="W115" s="381"/>
      <c r="AA115" s="270"/>
      <c r="AB115" s="270"/>
      <c r="AC115" s="270"/>
      <c r="AD115" s="270"/>
      <c r="AE115" s="270"/>
      <c r="AF115" s="380"/>
      <c r="AG115" s="380"/>
      <c r="AH115" s="380"/>
      <c r="AI115" s="381"/>
      <c r="AJ115" s="381"/>
      <c r="AK115" s="381"/>
      <c r="AL115" s="381"/>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c r="BS115" s="268"/>
      <c r="BT115" s="268"/>
      <c r="BU115" s="268"/>
      <c r="BV115" s="268"/>
    </row>
    <row r="116" spans="1:74" s="84" customFormat="1" ht="12.75" customHeight="1" x14ac:dyDescent="0.2">
      <c r="A116" s="518" t="s">
        <v>469</v>
      </c>
      <c r="B116" s="1393"/>
      <c r="C116" s="2542">
        <f>SUM(EV_Var4!$M$10:$M$39,EV_Var4!$M$43,EV_Var4!$M$47,EV_Var4!$M$58,EV_Var4!$R$58)</f>
        <v>0</v>
      </c>
      <c r="D116" s="2543"/>
      <c r="E116" s="2543"/>
      <c r="F116" s="2544"/>
      <c r="G116" s="2594" t="str">
        <f>IF(C116=0,"",IF(OR($P$115=0,NOT(ISBLANK(J116))),$L$119,HLOOKUP($P$115,$Q$115:$V$118,2,FALSE)))</f>
        <v/>
      </c>
      <c r="H116" s="2595"/>
      <c r="I116" s="2596"/>
      <c r="J116" s="2683"/>
      <c r="K116" s="2684"/>
      <c r="L116" s="2689" t="str">
        <f>IF(ISBLANK(J116),G116,J116)</f>
        <v/>
      </c>
      <c r="M116" s="2690"/>
      <c r="N116" s="2691"/>
      <c r="O116" s="268"/>
      <c r="P116" s="408">
        <f>IF(ISBLANK(J116),0,2)</f>
        <v>0</v>
      </c>
      <c r="Q116" s="501">
        <f>$J116*$C116/100</f>
        <v>0</v>
      </c>
      <c r="R116" s="494" t="e">
        <f ca="1">($L$110-SUM($J$91:$N$94)*$V$124-$R$117)/($C$116+$C$118)*100</f>
        <v>#DIV/0!</v>
      </c>
      <c r="S116" s="494" t="e">
        <f ca="1">($L$110-SUM($J$91:$N$94)*$V$124-$S$118)/($C$116+$C$117)*100</f>
        <v>#DIV/0!</v>
      </c>
      <c r="T116" s="502">
        <f>$J116*$C116/100</f>
        <v>0</v>
      </c>
      <c r="U116" s="499">
        <f>$J116*$C116/100</f>
        <v>0</v>
      </c>
      <c r="V116" s="495" t="e">
        <f ca="1">($L$110-SUM($J$91:$N$94)*$V$124-SUM($V$117,$V$118))/$C$116*100</f>
        <v>#DIV/0!</v>
      </c>
      <c r="W116" s="493"/>
      <c r="AA116" s="493"/>
      <c r="AB116" s="493"/>
      <c r="AC116" s="493"/>
      <c r="AD116" s="493"/>
      <c r="AE116" s="493"/>
      <c r="AF116" s="270"/>
      <c r="AG116" s="380"/>
      <c r="AH116" s="380"/>
      <c r="AI116" s="380"/>
      <c r="AJ116" s="381"/>
      <c r="AK116" s="381"/>
      <c r="AL116" s="381"/>
      <c r="AM116" s="381"/>
      <c r="AN116" s="381"/>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1"/>
      <c r="BM116" s="381"/>
      <c r="BN116" s="381"/>
      <c r="BO116" s="381"/>
      <c r="BP116" s="381"/>
      <c r="BS116" s="268"/>
      <c r="BT116" s="268"/>
      <c r="BU116" s="268"/>
      <c r="BV116" s="268"/>
    </row>
    <row r="117" spans="1:74" s="84" customFormat="1" ht="12.75" customHeight="1" x14ac:dyDescent="0.2">
      <c r="A117" s="519" t="s">
        <v>470</v>
      </c>
      <c r="B117" s="1394"/>
      <c r="C117" s="2545">
        <f>SUM(EV_Var4!$M$41,EV_Var4!$M$45,EV_Var4!$M$49,EV_Var4!$M$52,EV_Var4!$M$55)</f>
        <v>0</v>
      </c>
      <c r="D117" s="2546"/>
      <c r="E117" s="2546"/>
      <c r="F117" s="2547"/>
      <c r="G117" s="2597" t="str">
        <f>IF(C117=0,"",IF(OR($P$115=0,NOT(ISBLANK(J117))),$L$119,HLOOKUP($P$115,$Q$115:$V$118,3,FALSE)))</f>
        <v/>
      </c>
      <c r="H117" s="2598"/>
      <c r="I117" s="2599"/>
      <c r="J117" s="2685"/>
      <c r="K117" s="2686"/>
      <c r="L117" s="2692" t="str">
        <f>IF(ISBLANK(J117),G117,J117)</f>
        <v/>
      </c>
      <c r="M117" s="2693"/>
      <c r="N117" s="2694"/>
      <c r="O117" s="268"/>
      <c r="P117" s="425">
        <f>IF(ISBLANK(J117),0,3)</f>
        <v>0</v>
      </c>
      <c r="Q117" s="500" t="e">
        <f ca="1">($L$110-SUM($J$91:$N$94)*$V$124-$Q$116)/($C$117+$C$118)*100</f>
        <v>#DIV/0!</v>
      </c>
      <c r="R117" s="496">
        <f>$J117*$C117/100</f>
        <v>0</v>
      </c>
      <c r="S117" s="494" t="e">
        <f ca="1">S116</f>
        <v>#DIV/0!</v>
      </c>
      <c r="T117" s="498">
        <f>$J117*$C117/100</f>
        <v>0</v>
      </c>
      <c r="U117" s="495" t="e">
        <f ca="1">($L$110-SUM($J$91:$N$94)*$V$124-SUM($U$116,$U$118))/$C$117*100</f>
        <v>#DIV/0!</v>
      </c>
      <c r="V117" s="497">
        <f>$J117*$C117/100</f>
        <v>0</v>
      </c>
      <c r="W117" s="493"/>
      <c r="X117" s="101"/>
      <c r="Y117" s="101"/>
      <c r="Z117" s="101"/>
      <c r="AA117" s="493"/>
      <c r="AB117" s="493"/>
      <c r="AC117" s="493"/>
      <c r="AD117" s="493"/>
      <c r="AE117" s="493"/>
      <c r="AF117" s="270"/>
      <c r="AG117" s="380"/>
      <c r="AH117" s="380"/>
      <c r="AI117" s="380"/>
      <c r="AJ117" s="381"/>
      <c r="AK117" s="381"/>
      <c r="AL117" s="38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c r="BS117" s="268"/>
      <c r="BT117" s="268"/>
      <c r="BU117" s="268"/>
      <c r="BV117" s="268"/>
    </row>
    <row r="118" spans="1:74" s="84" customFormat="1" ht="12.75" customHeight="1" x14ac:dyDescent="0.2">
      <c r="A118" s="511" t="s">
        <v>481</v>
      </c>
      <c r="B118" s="1387"/>
      <c r="C118" s="2548">
        <f>$T$129</f>
        <v>0</v>
      </c>
      <c r="D118" s="2549"/>
      <c r="E118" s="2549"/>
      <c r="F118" s="2550"/>
      <c r="G118" s="2600" t="str">
        <f>IF(C118=0,"",IF(OR($P$115=0,NOT(ISBLANK(J118))),$L$119,HLOOKUP($P$115,$Q$115:$V$118,4,FALSE)))</f>
        <v/>
      </c>
      <c r="H118" s="2601"/>
      <c r="I118" s="2602"/>
      <c r="J118" s="2687"/>
      <c r="K118" s="2688"/>
      <c r="L118" s="2661" t="str">
        <f>IF(ISBLANK(J118),G118,J118)</f>
        <v/>
      </c>
      <c r="M118" s="2662"/>
      <c r="N118" s="2663"/>
      <c r="O118" s="268"/>
      <c r="P118" s="425">
        <f>IF(ISBLANK(J118),0,4)</f>
        <v>0</v>
      </c>
      <c r="Q118" s="488" t="e">
        <f ca="1">Q117</f>
        <v>#DIV/0!</v>
      </c>
      <c r="R118" s="489" t="e">
        <f ca="1">R116</f>
        <v>#DIV/0!</v>
      </c>
      <c r="S118" s="496">
        <f>$J118*$C118/100</f>
        <v>0</v>
      </c>
      <c r="T118" s="489" t="e">
        <f ca="1">($L$110-SUM($J$91:$N$94)*$V$124-SUM($T$116,$T$117))/$C$118*100</f>
        <v>#DIV/0!</v>
      </c>
      <c r="U118" s="499">
        <f>$J118*$C118/100</f>
        <v>0</v>
      </c>
      <c r="V118" s="499">
        <f>$J118*$C118/100</f>
        <v>0</v>
      </c>
      <c r="W118" s="493"/>
      <c r="X118" s="2695"/>
      <c r="Y118" s="2695"/>
      <c r="Z118" s="2695"/>
      <c r="AA118" s="493"/>
      <c r="AB118" s="493"/>
      <c r="AC118" s="493"/>
      <c r="AD118" s="493"/>
      <c r="AE118" s="493"/>
      <c r="AF118" s="270"/>
      <c r="AG118" s="380"/>
      <c r="AH118" s="380"/>
      <c r="AI118" s="380"/>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c r="BS118" s="268"/>
      <c r="BT118" s="268"/>
      <c r="BU118" s="268"/>
      <c r="BV118" s="268"/>
    </row>
    <row r="119" spans="1:74" s="84" customFormat="1" ht="12.75" customHeight="1" thickBot="1" x14ac:dyDescent="0.25">
      <c r="A119" s="520" t="s">
        <v>491</v>
      </c>
      <c r="B119" s="1395"/>
      <c r="C119" s="2572">
        <f>SUM(C116:F118)</f>
        <v>0</v>
      </c>
      <c r="D119" s="2573"/>
      <c r="E119" s="2573"/>
      <c r="F119" s="2574"/>
      <c r="G119" s="2603">
        <f>$L119</f>
        <v>0</v>
      </c>
      <c r="H119" s="2604"/>
      <c r="I119" s="2605"/>
      <c r="J119" s="2681"/>
      <c r="K119" s="2682"/>
      <c r="L119" s="2676">
        <f>IF(C119=0,0,($L$110-SUM($J$91:$N$94)*$V$124)/$C$119*100)</f>
        <v>0</v>
      </c>
      <c r="M119" s="2677"/>
      <c r="N119" s="2678"/>
      <c r="O119" s="268"/>
      <c r="P119" s="493"/>
      <c r="Q119" s="493"/>
      <c r="R119" s="493"/>
      <c r="S119" s="493"/>
      <c r="T119" s="493"/>
      <c r="U119" s="493"/>
      <c r="V119" s="493"/>
      <c r="W119" s="493"/>
      <c r="X119" s="493"/>
      <c r="Y119" s="493"/>
      <c r="Z119" s="493"/>
      <c r="AA119" s="493"/>
      <c r="AB119" s="493"/>
      <c r="AC119" s="493"/>
      <c r="AD119" s="493"/>
      <c r="AE119" s="270"/>
      <c r="AF119" s="380"/>
      <c r="AG119" s="380"/>
      <c r="AH119" s="380"/>
      <c r="AI119" s="381"/>
      <c r="AJ119" s="381"/>
      <c r="AK119" s="381"/>
      <c r="AL119" s="381"/>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row>
    <row r="120" spans="1:74" s="84" customFormat="1" ht="12.9" customHeight="1" x14ac:dyDescent="0.2">
      <c r="A120" s="534" t="s">
        <v>487</v>
      </c>
      <c r="B120" s="534"/>
      <c r="P120" s="270"/>
      <c r="R120" s="381"/>
      <c r="S120" s="381"/>
      <c r="T120" s="381"/>
      <c r="U120" s="381"/>
      <c r="V120" s="381"/>
      <c r="W120" s="381"/>
      <c r="X120" s="381"/>
      <c r="Y120" s="381"/>
      <c r="Z120" s="381"/>
      <c r="AA120" s="270"/>
      <c r="AB120" s="270"/>
      <c r="AC120" s="270"/>
      <c r="AD120" s="270"/>
      <c r="AE120" s="270"/>
      <c r="AF120" s="270"/>
      <c r="AG120" s="380"/>
      <c r="AH120" s="380"/>
      <c r="AI120" s="380"/>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row>
    <row r="121" spans="1:74" s="381" customFormat="1" ht="12.9" customHeight="1" x14ac:dyDescent="0.2">
      <c r="N121" s="673"/>
      <c r="P121" s="538" t="s">
        <v>483</v>
      </c>
      <c r="Q121" s="539"/>
      <c r="R121" s="539"/>
      <c r="S121" s="539"/>
      <c r="T121" s="539"/>
      <c r="U121" s="539"/>
      <c r="V121" s="539"/>
      <c r="AA121" s="270"/>
      <c r="AB121" s="270"/>
      <c r="AC121" s="270"/>
      <c r="AD121" s="270"/>
      <c r="AE121" s="270"/>
      <c r="AF121" s="270"/>
      <c r="AG121" s="380"/>
      <c r="AH121" s="380"/>
      <c r="AI121" s="380"/>
    </row>
    <row r="122" spans="1:74" s="381" customFormat="1" ht="12.9" customHeight="1" x14ac:dyDescent="0.2">
      <c r="N122" s="673"/>
      <c r="AA122" s="270"/>
      <c r="AB122" s="270"/>
      <c r="AC122" s="270"/>
      <c r="AD122" s="270"/>
      <c r="AE122" s="270"/>
      <c r="AF122" s="270"/>
      <c r="AG122" s="380"/>
      <c r="AH122" s="380"/>
      <c r="AI122" s="380"/>
    </row>
    <row r="123" spans="1:74" s="381" customFormat="1" ht="10.9" x14ac:dyDescent="0.2">
      <c r="N123" s="673"/>
      <c r="P123" s="789" t="s">
        <v>522</v>
      </c>
      <c r="Q123" s="790"/>
      <c r="R123" s="790"/>
      <c r="S123" s="790"/>
      <c r="AA123" s="270"/>
      <c r="AB123" s="270"/>
      <c r="AC123" s="270"/>
      <c r="AD123" s="270"/>
      <c r="AE123" s="270"/>
      <c r="AF123" s="270"/>
      <c r="AG123" s="380"/>
      <c r="AH123" s="380"/>
      <c r="AI123" s="380"/>
    </row>
    <row r="124" spans="1:74" s="381" customFormat="1" ht="10.9" x14ac:dyDescent="0.2">
      <c r="P124" s="536" t="s">
        <v>523</v>
      </c>
      <c r="T124" s="2633">
        <f>MAX(T126-T140,0)</f>
        <v>0</v>
      </c>
      <c r="U124" s="2633"/>
      <c r="V124" s="670">
        <f>IF(T126=0,0,T124/T126)</f>
        <v>0</v>
      </c>
      <c r="AA124" s="270"/>
      <c r="AB124" s="270"/>
      <c r="AC124" s="270"/>
      <c r="AD124" s="270"/>
      <c r="AE124" s="270"/>
      <c r="AF124" s="270"/>
      <c r="AG124" s="380"/>
      <c r="AH124" s="380"/>
      <c r="AI124" s="380"/>
    </row>
    <row r="125" spans="1:74" s="381" customFormat="1" ht="10.9" x14ac:dyDescent="0.2">
      <c r="P125" s="536" t="s">
        <v>524</v>
      </c>
      <c r="T125" s="2640">
        <f>MAX(T126-T124,0)</f>
        <v>0</v>
      </c>
      <c r="U125" s="2640"/>
      <c r="V125" s="793">
        <f>IF(T126=0,0,T125/T126)</f>
        <v>0</v>
      </c>
      <c r="AA125" s="270"/>
      <c r="AB125" s="270"/>
      <c r="AC125" s="270"/>
      <c r="AD125" s="270"/>
      <c r="AE125" s="270"/>
      <c r="AF125" s="270"/>
      <c r="AG125" s="380"/>
      <c r="AH125" s="380"/>
      <c r="AI125" s="380"/>
    </row>
    <row r="126" spans="1:74" s="381" customFormat="1" ht="10.9" x14ac:dyDescent="0.2">
      <c r="P126" s="791" t="s">
        <v>532</v>
      </c>
      <c r="Q126" s="792"/>
      <c r="R126" s="792"/>
      <c r="S126" s="792"/>
      <c r="T126" s="2634">
        <f>EV_Var4!$E$67</f>
        <v>0</v>
      </c>
      <c r="U126" s="2634"/>
      <c r="V126" s="794">
        <f>IF(T126=0,0,T126/T126)</f>
        <v>0</v>
      </c>
      <c r="AA126" s="270"/>
      <c r="AB126" s="270"/>
      <c r="AC126" s="270"/>
      <c r="AD126" s="270"/>
      <c r="AE126" s="270"/>
      <c r="AF126" s="270"/>
      <c r="AG126" s="380"/>
      <c r="AH126" s="380"/>
      <c r="AI126" s="380"/>
    </row>
    <row r="127" spans="1:74" s="381" customFormat="1" ht="10.9" x14ac:dyDescent="0.2">
      <c r="AA127" s="270"/>
      <c r="AB127" s="270"/>
      <c r="AC127" s="270"/>
      <c r="AD127" s="270"/>
      <c r="AE127" s="270"/>
      <c r="AF127" s="270"/>
      <c r="AG127" s="380"/>
      <c r="AH127" s="380"/>
      <c r="AI127" s="380"/>
    </row>
    <row r="128" spans="1:74" s="381" customFormat="1" ht="10.9" x14ac:dyDescent="0.2">
      <c r="P128" s="789" t="s">
        <v>525</v>
      </c>
      <c r="Q128" s="790"/>
      <c r="R128" s="790"/>
      <c r="S128" s="790"/>
      <c r="AA128" s="270"/>
      <c r="AB128" s="270"/>
      <c r="AC128" s="270"/>
      <c r="AD128" s="270"/>
      <c r="AE128" s="270"/>
      <c r="AF128" s="270"/>
      <c r="AG128" s="380"/>
      <c r="AH128" s="380"/>
      <c r="AI128" s="380"/>
    </row>
    <row r="129" spans="1:69" s="381" customFormat="1" ht="10.9" x14ac:dyDescent="0.2">
      <c r="P129" s="669" t="s">
        <v>534</v>
      </c>
      <c r="Q129" s="796"/>
      <c r="R129" s="796"/>
      <c r="S129" s="796"/>
      <c r="T129" s="2633">
        <f>IF(T124&gt;0,T132-T131,(T132-T131)-(T140-T125))</f>
        <v>0</v>
      </c>
      <c r="U129" s="2633"/>
      <c r="V129" s="672">
        <f>IF($T$132=0,0,T129/$T$132)</f>
        <v>0</v>
      </c>
      <c r="Z129" s="1009"/>
      <c r="AA129" s="1009"/>
      <c r="AB129" s="270"/>
      <c r="AC129" s="270"/>
      <c r="AD129" s="270"/>
      <c r="AE129" s="270"/>
      <c r="AF129" s="270"/>
      <c r="AG129" s="380"/>
      <c r="AH129" s="380"/>
      <c r="AI129" s="380"/>
    </row>
    <row r="130" spans="1:69" s="381" customFormat="1" x14ac:dyDescent="0.2">
      <c r="A130" s="268"/>
      <c r="B130" s="1381"/>
      <c r="C130" s="268"/>
      <c r="D130" s="268"/>
      <c r="E130" s="268"/>
      <c r="F130" s="268"/>
      <c r="G130" s="268"/>
      <c r="H130" s="268"/>
      <c r="P130" s="536" t="s">
        <v>524</v>
      </c>
      <c r="Q130" s="535"/>
      <c r="R130" s="535"/>
      <c r="S130" s="535"/>
      <c r="T130" s="2675">
        <f>T131-T129</f>
        <v>0</v>
      </c>
      <c r="U130" s="2675"/>
      <c r="V130" s="1060">
        <f>IF($T$132=0,0,T130/$T$132)</f>
        <v>0</v>
      </c>
      <c r="Z130" s="1009"/>
      <c r="AA130" s="1009"/>
      <c r="AB130" s="270"/>
      <c r="AC130" s="270"/>
      <c r="AD130" s="270"/>
      <c r="AE130" s="270"/>
      <c r="AF130" s="270"/>
      <c r="AG130" s="380"/>
      <c r="AH130" s="380"/>
      <c r="AI130" s="380"/>
    </row>
    <row r="131" spans="1:69" s="381" customFormat="1" x14ac:dyDescent="0.2">
      <c r="A131" s="268"/>
      <c r="B131" s="1381"/>
      <c r="C131" s="268"/>
      <c r="D131" s="268"/>
      <c r="E131" s="268"/>
      <c r="F131" s="268"/>
      <c r="G131" s="268"/>
      <c r="H131" s="268"/>
      <c r="P131" s="560" t="s">
        <v>526</v>
      </c>
      <c r="Q131" s="790"/>
      <c r="R131" s="790"/>
      <c r="S131" s="790"/>
      <c r="T131" s="2674">
        <f>EV_Var4!$M$73</f>
        <v>0</v>
      </c>
      <c r="U131" s="2674"/>
      <c r="V131" s="671">
        <f>IF($T$132=0,0,T131/$T$132)</f>
        <v>0</v>
      </c>
      <c r="Z131" s="1009"/>
      <c r="AA131" s="1009"/>
      <c r="AB131" s="270"/>
      <c r="AC131" s="270"/>
      <c r="AD131" s="270"/>
      <c r="AE131" s="270"/>
      <c r="AF131" s="270"/>
      <c r="AG131" s="380"/>
      <c r="AH131" s="380"/>
      <c r="AI131" s="380"/>
    </row>
    <row r="132" spans="1:69" s="381" customFormat="1" x14ac:dyDescent="0.2">
      <c r="A132" s="268"/>
      <c r="B132" s="1381"/>
      <c r="C132" s="268"/>
      <c r="D132" s="268"/>
      <c r="E132" s="268"/>
      <c r="F132" s="268"/>
      <c r="G132" s="268"/>
      <c r="H132" s="268"/>
      <c r="P132" s="791" t="s">
        <v>529</v>
      </c>
      <c r="Q132" s="792"/>
      <c r="R132" s="792"/>
      <c r="S132" s="792"/>
      <c r="T132" s="2632">
        <f>EV_Var4!$M$70+EV_Var4!$M$60</f>
        <v>0</v>
      </c>
      <c r="U132" s="2632"/>
      <c r="V132" s="794">
        <f>IF($T$132=0,0,T132/$T$132)</f>
        <v>0</v>
      </c>
      <c r="Z132" s="1009"/>
      <c r="AA132" s="1009"/>
      <c r="AB132" s="270"/>
      <c r="AC132" s="270"/>
      <c r="AD132" s="270"/>
      <c r="AE132" s="270"/>
      <c r="AF132" s="270"/>
      <c r="AG132" s="380"/>
      <c r="AH132" s="380"/>
      <c r="AI132" s="380"/>
    </row>
    <row r="133" spans="1:69" s="381" customFormat="1" x14ac:dyDescent="0.2">
      <c r="A133" s="268"/>
      <c r="B133" s="1381"/>
      <c r="C133" s="268"/>
      <c r="D133" s="268"/>
      <c r="E133" s="268"/>
      <c r="F133" s="268"/>
      <c r="G133" s="268"/>
      <c r="H133" s="268"/>
      <c r="P133" s="536"/>
      <c r="Q133" s="535"/>
      <c r="R133" s="535"/>
      <c r="S133" s="535"/>
      <c r="T133" s="1061"/>
      <c r="U133" s="1061"/>
      <c r="V133" s="797"/>
      <c r="Z133" s="1009"/>
      <c r="AA133" s="1009"/>
      <c r="AB133" s="270"/>
      <c r="AC133" s="270"/>
      <c r="AD133" s="270"/>
      <c r="AE133" s="270"/>
      <c r="AF133" s="270"/>
      <c r="AG133" s="380"/>
      <c r="AH133" s="380"/>
      <c r="AI133" s="380"/>
    </row>
    <row r="134" spans="1:69" s="381" customFormat="1" x14ac:dyDescent="0.2">
      <c r="A134" s="268"/>
      <c r="B134" s="1381"/>
      <c r="C134" s="268"/>
      <c r="D134" s="268"/>
      <c r="E134" s="268"/>
      <c r="F134" s="268"/>
      <c r="G134" s="268"/>
      <c r="H134" s="268"/>
      <c r="P134" s="560" t="s">
        <v>530</v>
      </c>
      <c r="Q134" s="790"/>
      <c r="R134" s="790"/>
      <c r="S134" s="790"/>
      <c r="T134" s="2635">
        <f>T132-T131</f>
        <v>0</v>
      </c>
      <c r="U134" s="2635">
        <f>T132-T131</f>
        <v>0</v>
      </c>
      <c r="V134" s="671"/>
      <c r="AA134" s="270"/>
      <c r="AB134" s="270"/>
      <c r="AC134" s="270"/>
      <c r="AD134" s="270"/>
      <c r="AE134" s="270"/>
      <c r="AF134" s="270"/>
      <c r="AG134" s="380"/>
      <c r="AH134" s="380"/>
      <c r="AI134" s="380"/>
    </row>
    <row r="135" spans="1:69" s="381" customFormat="1" x14ac:dyDescent="0.2">
      <c r="A135" s="268"/>
      <c r="B135" s="1381"/>
      <c r="C135" s="268"/>
      <c r="D135" s="268"/>
      <c r="E135" s="268"/>
      <c r="F135" s="268"/>
      <c r="G135" s="268"/>
      <c r="H135" s="268"/>
      <c r="P135" s="791" t="s">
        <v>531</v>
      </c>
      <c r="Q135" s="792"/>
      <c r="R135" s="792"/>
      <c r="S135" s="792"/>
      <c r="T135" s="2632">
        <f>T132+T126</f>
        <v>0</v>
      </c>
      <c r="U135" s="2632"/>
      <c r="V135" s="794"/>
      <c r="Z135" s="1009"/>
      <c r="AA135" s="1009"/>
      <c r="AB135" s="270"/>
      <c r="AC135" s="270"/>
      <c r="AD135" s="270"/>
      <c r="AE135" s="270"/>
      <c r="AF135" s="270"/>
      <c r="AG135" s="380"/>
      <c r="AH135" s="380"/>
      <c r="AI135" s="380"/>
    </row>
    <row r="136" spans="1:69" s="381" customFormat="1" x14ac:dyDescent="0.2">
      <c r="A136" s="268"/>
      <c r="B136" s="1381"/>
      <c r="C136" s="268"/>
      <c r="D136" s="268"/>
      <c r="E136" s="268"/>
      <c r="F136" s="268"/>
      <c r="G136" s="268"/>
      <c r="H136" s="268"/>
      <c r="P136" s="791" t="s">
        <v>533</v>
      </c>
      <c r="Q136" s="792"/>
      <c r="R136" s="792"/>
      <c r="S136" s="792"/>
      <c r="T136" s="2632">
        <f>T135-T131</f>
        <v>0</v>
      </c>
      <c r="U136" s="2632"/>
      <c r="V136" s="794"/>
      <c r="Z136" s="1009"/>
      <c r="AA136" s="1009"/>
      <c r="AB136" s="270"/>
      <c r="AC136" s="270"/>
      <c r="AD136" s="270"/>
      <c r="AE136" s="270"/>
      <c r="AF136" s="270"/>
      <c r="AG136" s="380"/>
      <c r="AH136" s="380"/>
      <c r="AI136" s="380"/>
    </row>
    <row r="137" spans="1:69" s="381" customFormat="1" x14ac:dyDescent="0.2">
      <c r="A137" s="268"/>
      <c r="B137" s="1381"/>
      <c r="C137" s="268"/>
      <c r="D137" s="268"/>
      <c r="E137" s="268"/>
      <c r="F137" s="268"/>
      <c r="G137" s="268"/>
      <c r="H137" s="268"/>
      <c r="Z137" s="1009"/>
      <c r="AA137" s="1009"/>
      <c r="AB137" s="270"/>
      <c r="AC137" s="270"/>
      <c r="AD137" s="270"/>
      <c r="AE137" s="270"/>
      <c r="AF137" s="270"/>
      <c r="AG137" s="380"/>
      <c r="AH137" s="380"/>
      <c r="AI137" s="380"/>
    </row>
    <row r="138" spans="1:69" s="381" customFormat="1" ht="10.9" x14ac:dyDescent="0.2">
      <c r="P138" s="789" t="s">
        <v>31</v>
      </c>
      <c r="Q138" s="790"/>
      <c r="R138" s="790"/>
      <c r="S138" s="790"/>
      <c r="T138" s="790"/>
      <c r="U138" s="790"/>
      <c r="V138" s="790"/>
      <c r="Z138" s="1009"/>
      <c r="AA138" s="1009"/>
      <c r="AB138" s="270"/>
      <c r="AC138" s="270"/>
      <c r="AD138" s="270"/>
      <c r="AE138" s="270"/>
      <c r="AF138" s="270"/>
      <c r="AG138" s="380"/>
      <c r="AH138" s="380"/>
      <c r="AI138" s="380"/>
    </row>
    <row r="139" spans="1:69" s="381" customFormat="1" ht="10.9" x14ac:dyDescent="0.2">
      <c r="P139" s="536" t="s">
        <v>527</v>
      </c>
      <c r="T139" s="2640">
        <f>EV_Var4!$S$72</f>
        <v>0</v>
      </c>
      <c r="U139" s="2640"/>
      <c r="V139" s="537" t="e">
        <f>T139/$T$141</f>
        <v>#DIV/0!</v>
      </c>
      <c r="Z139" s="1009"/>
      <c r="AA139" s="1009"/>
      <c r="AB139" s="270"/>
      <c r="AC139" s="270"/>
      <c r="AD139" s="270"/>
      <c r="AE139" s="270"/>
      <c r="AF139" s="270"/>
      <c r="AG139" s="380"/>
      <c r="AH139" s="380"/>
      <c r="AI139" s="380"/>
    </row>
    <row r="140" spans="1:69" s="381" customFormat="1" ht="10.9" x14ac:dyDescent="0.2">
      <c r="A140" s="535"/>
      <c r="B140" s="535"/>
      <c r="M140" s="535"/>
      <c r="N140" s="535"/>
      <c r="O140" s="535"/>
      <c r="P140" s="536" t="s">
        <v>528</v>
      </c>
      <c r="T140" s="2640">
        <f>SUM(EV_Var4!$M$62,EV_Var4!$M$65)</f>
        <v>0</v>
      </c>
      <c r="U140" s="2640"/>
      <c r="V140" s="537" t="e">
        <f>T140/$T$141</f>
        <v>#DIV/0!</v>
      </c>
      <c r="Z140" s="1009"/>
      <c r="AA140" s="1009"/>
      <c r="AB140" s="270"/>
      <c r="AC140" s="270"/>
      <c r="AD140" s="270"/>
      <c r="AE140" s="270"/>
      <c r="AF140" s="270"/>
      <c r="AG140" s="380"/>
      <c r="AH140" s="380"/>
      <c r="AI140" s="380"/>
    </row>
    <row r="141" spans="1:69" s="381" customFormat="1" ht="10.9" x14ac:dyDescent="0.2">
      <c r="A141" s="535"/>
      <c r="B141" s="535"/>
      <c r="M141" s="535"/>
      <c r="N141" s="535"/>
      <c r="O141" s="535"/>
      <c r="P141" s="791" t="s">
        <v>482</v>
      </c>
      <c r="Q141" s="795"/>
      <c r="R141" s="795"/>
      <c r="S141" s="795"/>
      <c r="T141" s="2632">
        <f>SUM(T139:U140)</f>
        <v>0</v>
      </c>
      <c r="U141" s="2632"/>
      <c r="V141" s="794" t="e">
        <f>T141/$T$141</f>
        <v>#DIV/0!</v>
      </c>
      <c r="Z141" s="1009"/>
      <c r="AA141" s="1009"/>
      <c r="AB141" s="270"/>
      <c r="AC141" s="270"/>
      <c r="AD141" s="270"/>
      <c r="AE141" s="270"/>
      <c r="AF141" s="270"/>
      <c r="AG141" s="380"/>
      <c r="AH141" s="380"/>
      <c r="AI141" s="380"/>
    </row>
    <row r="142" spans="1:69" x14ac:dyDescent="0.2">
      <c r="G142" s="83"/>
      <c r="J142" s="86"/>
      <c r="T142" s="270"/>
      <c r="U142" s="278"/>
      <c r="W142" s="83"/>
      <c r="X142" s="83"/>
      <c r="Y142" s="83"/>
      <c r="Z142" s="268"/>
      <c r="AA142" s="268"/>
      <c r="AG142" s="380"/>
      <c r="AJ142" s="381"/>
      <c r="BQ142" s="83"/>
    </row>
    <row r="143" spans="1:69" x14ac:dyDescent="0.2">
      <c r="G143" s="83"/>
      <c r="J143" s="86"/>
      <c r="T143" s="270"/>
      <c r="U143" s="278"/>
      <c r="W143" s="83"/>
      <c r="X143" s="83"/>
      <c r="Y143" s="83"/>
      <c r="Z143" s="268"/>
      <c r="AA143" s="268"/>
      <c r="AG143" s="380"/>
      <c r="AJ143" s="381"/>
      <c r="BQ143" s="83"/>
    </row>
    <row r="144" spans="1:69" x14ac:dyDescent="0.2">
      <c r="G144" s="83"/>
      <c r="J144" s="86"/>
      <c r="P144" s="268"/>
      <c r="Q144" s="268"/>
      <c r="R144" s="268"/>
      <c r="S144" s="268"/>
      <c r="T144" s="268"/>
      <c r="U144" s="268"/>
      <c r="V144" s="268"/>
      <c r="W144" s="268"/>
      <c r="X144" s="83"/>
      <c r="Y144" s="83"/>
      <c r="Z144" s="268"/>
      <c r="AA144" s="268"/>
      <c r="AG144" s="380"/>
      <c r="AJ144" s="381"/>
      <c r="BQ144" s="83"/>
    </row>
    <row r="145" spans="1:69" x14ac:dyDescent="0.2">
      <c r="G145" s="83"/>
      <c r="J145" s="86"/>
      <c r="P145" s="268"/>
      <c r="Q145" s="268"/>
      <c r="R145" s="268"/>
      <c r="S145" s="268"/>
      <c r="T145" s="268"/>
      <c r="U145" s="268"/>
      <c r="V145" s="268"/>
      <c r="W145" s="268"/>
      <c r="X145" s="83"/>
      <c r="Y145" s="83"/>
      <c r="Z145" s="268"/>
      <c r="AA145" s="268"/>
      <c r="AG145" s="380"/>
      <c r="AJ145" s="381"/>
      <c r="BQ145" s="83"/>
    </row>
    <row r="146" spans="1:69" x14ac:dyDescent="0.2">
      <c r="G146" s="83"/>
      <c r="J146" s="86"/>
      <c r="P146" s="268"/>
      <c r="Q146" s="268"/>
      <c r="R146" s="268"/>
      <c r="S146" s="268"/>
      <c r="T146" s="268"/>
      <c r="U146" s="268"/>
      <c r="V146" s="268"/>
      <c r="W146" s="268"/>
      <c r="X146" s="83"/>
      <c r="Y146" s="83"/>
      <c r="Z146" s="268"/>
      <c r="AA146" s="268"/>
      <c r="AG146" s="380"/>
      <c r="AJ146" s="381"/>
      <c r="BQ146" s="83"/>
    </row>
    <row r="147" spans="1:69" x14ac:dyDescent="0.2">
      <c r="G147" s="83"/>
      <c r="J147" s="86"/>
      <c r="P147" s="268"/>
      <c r="Q147" s="268"/>
      <c r="R147" s="268"/>
      <c r="S147" s="268"/>
      <c r="T147" s="268"/>
      <c r="U147" s="268"/>
      <c r="V147" s="268"/>
      <c r="W147" s="268"/>
      <c r="X147" s="83"/>
      <c r="Y147" s="83"/>
      <c r="Z147" s="268"/>
      <c r="AA147" s="268"/>
      <c r="AG147" s="380"/>
      <c r="AJ147" s="381"/>
      <c r="BQ147" s="83"/>
    </row>
    <row r="148" spans="1:69" x14ac:dyDescent="0.2">
      <c r="G148" s="83"/>
      <c r="J148" s="86"/>
      <c r="P148" s="268"/>
      <c r="Q148" s="268"/>
      <c r="R148" s="268"/>
      <c r="S148" s="268"/>
      <c r="T148" s="268"/>
      <c r="U148" s="268"/>
      <c r="V148" s="268"/>
      <c r="W148" s="268"/>
      <c r="X148" s="83"/>
      <c r="Y148" s="83"/>
      <c r="Z148" s="268"/>
      <c r="AA148" s="268"/>
      <c r="AG148" s="380"/>
      <c r="AJ148" s="381"/>
      <c r="BQ148" s="83"/>
    </row>
    <row r="149" spans="1:69" x14ac:dyDescent="0.2">
      <c r="P149" s="268"/>
      <c r="Q149" s="268"/>
      <c r="R149" s="268"/>
      <c r="S149" s="268"/>
      <c r="T149" s="268"/>
      <c r="U149" s="268"/>
      <c r="V149" s="268"/>
      <c r="W149" s="268"/>
      <c r="X149" s="83"/>
      <c r="Y149" s="83"/>
      <c r="Z149" s="268"/>
      <c r="AA149" s="268"/>
      <c r="AB149" s="268"/>
    </row>
    <row r="150" spans="1:69" x14ac:dyDescent="0.2">
      <c r="P150" s="268"/>
      <c r="Q150" s="268"/>
      <c r="R150" s="268"/>
      <c r="S150" s="268"/>
      <c r="T150" s="268"/>
      <c r="U150" s="268"/>
      <c r="V150" s="268"/>
      <c r="W150" s="268"/>
      <c r="X150" s="83"/>
      <c r="Y150" s="83"/>
      <c r="Z150" s="268"/>
      <c r="AA150" s="268"/>
      <c r="AB150" s="268"/>
    </row>
    <row r="151" spans="1:69" x14ac:dyDescent="0.2">
      <c r="P151" s="268"/>
      <c r="Q151" s="268"/>
      <c r="R151" s="268"/>
      <c r="S151" s="268"/>
      <c r="T151" s="268"/>
      <c r="U151" s="268"/>
      <c r="V151" s="268"/>
      <c r="W151" s="268"/>
      <c r="X151" s="83"/>
      <c r="Y151" s="83"/>
      <c r="Z151" s="268"/>
      <c r="AA151" s="268"/>
      <c r="AB151" s="268"/>
    </row>
    <row r="152" spans="1:69" x14ac:dyDescent="0.2">
      <c r="P152" s="268"/>
      <c r="Q152" s="268"/>
      <c r="R152" s="268"/>
      <c r="S152" s="268"/>
      <c r="T152" s="268"/>
      <c r="U152" s="268"/>
      <c r="V152" s="268"/>
      <c r="W152" s="268"/>
      <c r="X152" s="83"/>
      <c r="Y152" s="83"/>
      <c r="Z152" s="268"/>
      <c r="AA152" s="268"/>
      <c r="AB152" s="268"/>
    </row>
    <row r="153" spans="1:69" x14ac:dyDescent="0.2">
      <c r="P153" s="268"/>
      <c r="Q153" s="268"/>
      <c r="R153" s="268"/>
      <c r="S153" s="268"/>
      <c r="T153" s="268"/>
      <c r="U153" s="268"/>
      <c r="V153" s="268"/>
      <c r="W153" s="268"/>
      <c r="X153" s="83"/>
      <c r="Y153" s="83"/>
      <c r="Z153" s="268"/>
      <c r="AA153" s="268"/>
      <c r="AB153" s="268"/>
    </row>
    <row r="154" spans="1:69" x14ac:dyDescent="0.2">
      <c r="P154" s="268"/>
      <c r="Q154" s="268"/>
      <c r="R154" s="268"/>
      <c r="S154" s="268"/>
      <c r="T154" s="268"/>
      <c r="U154" s="268"/>
      <c r="V154" s="268"/>
      <c r="W154" s="268"/>
      <c r="X154" s="83"/>
      <c r="Y154" s="83"/>
      <c r="Z154" s="268"/>
      <c r="AA154" s="268"/>
      <c r="AB154" s="268"/>
    </row>
    <row r="155" spans="1:69" x14ac:dyDescent="0.2">
      <c r="P155" s="268"/>
      <c r="Q155" s="268"/>
      <c r="R155" s="268"/>
      <c r="S155" s="268"/>
      <c r="T155" s="268"/>
      <c r="U155" s="268"/>
      <c r="V155" s="268"/>
      <c r="W155" s="268"/>
      <c r="X155" s="83"/>
      <c r="Y155" s="83"/>
      <c r="Z155" s="268"/>
      <c r="AA155" s="268"/>
      <c r="AB155" s="268"/>
    </row>
    <row r="156" spans="1:69" x14ac:dyDescent="0.2">
      <c r="P156" s="268"/>
      <c r="Q156" s="268"/>
      <c r="R156" s="268"/>
      <c r="S156" s="268"/>
      <c r="T156" s="268"/>
      <c r="U156" s="268"/>
      <c r="V156" s="268"/>
      <c r="W156" s="268"/>
      <c r="X156" s="268"/>
      <c r="Y156" s="268"/>
      <c r="Z156" s="268"/>
      <c r="AA156" s="268"/>
      <c r="AB156" s="268"/>
    </row>
    <row r="157" spans="1:69" x14ac:dyDescent="0.2">
      <c r="P157" s="268"/>
      <c r="Q157" s="268"/>
      <c r="R157" s="268"/>
      <c r="S157" s="268"/>
      <c r="T157" s="268"/>
      <c r="U157" s="268"/>
      <c r="V157" s="268"/>
      <c r="W157" s="268"/>
      <c r="X157" s="268"/>
      <c r="Y157" s="268"/>
      <c r="Z157" s="268"/>
      <c r="AA157" s="268"/>
      <c r="AB157" s="268"/>
    </row>
    <row r="158" spans="1:69" s="270" customFormat="1" x14ac:dyDescent="0.2">
      <c r="A158" s="86"/>
      <c r="B158" s="86"/>
      <c r="C158" s="84"/>
      <c r="D158" s="84"/>
      <c r="E158" s="84"/>
      <c r="F158" s="84"/>
      <c r="G158" s="84"/>
      <c r="H158" s="83"/>
      <c r="I158" s="83"/>
      <c r="J158" s="83"/>
      <c r="K158" s="86"/>
      <c r="L158" s="86"/>
      <c r="M158" s="86"/>
      <c r="N158" s="86"/>
      <c r="O158" s="86"/>
      <c r="P158" s="268"/>
      <c r="Q158" s="268"/>
      <c r="R158" s="268"/>
      <c r="S158" s="268"/>
      <c r="T158" s="268"/>
      <c r="U158" s="268"/>
      <c r="V158" s="268"/>
      <c r="W158" s="268"/>
      <c r="X158" s="268"/>
      <c r="Y158" s="268"/>
      <c r="Z158" s="268"/>
      <c r="AA158" s="268"/>
      <c r="AB158" s="268"/>
      <c r="AH158" s="380"/>
      <c r="AI158" s="380"/>
      <c r="AJ158" s="380"/>
      <c r="AK158" s="381"/>
      <c r="AL158" s="381"/>
      <c r="AM158" s="381"/>
      <c r="AN158" s="381"/>
      <c r="AO158" s="381"/>
      <c r="AP158" s="381"/>
      <c r="AQ158" s="381"/>
      <c r="AR158" s="381"/>
      <c r="AS158" s="381"/>
      <c r="AT158" s="381"/>
      <c r="AU158" s="381"/>
      <c r="AV158" s="381"/>
      <c r="AW158" s="381"/>
      <c r="AX158" s="381"/>
      <c r="AY158" s="381"/>
      <c r="AZ158" s="381"/>
      <c r="BA158" s="381"/>
      <c r="BB158" s="381"/>
      <c r="BC158" s="381"/>
      <c r="BD158" s="381"/>
      <c r="BE158" s="381"/>
      <c r="BF158" s="381"/>
      <c r="BG158" s="381"/>
      <c r="BH158" s="381"/>
      <c r="BI158" s="381"/>
      <c r="BJ158" s="381"/>
      <c r="BK158" s="381"/>
      <c r="BL158" s="381"/>
      <c r="BM158" s="381"/>
      <c r="BN158" s="381"/>
      <c r="BO158" s="381"/>
      <c r="BP158" s="381"/>
      <c r="BQ158" s="381"/>
    </row>
    <row r="159" spans="1:69" s="270" customFormat="1" x14ac:dyDescent="0.2">
      <c r="A159" s="86"/>
      <c r="B159" s="86"/>
      <c r="C159" s="84"/>
      <c r="D159" s="84"/>
      <c r="E159" s="84"/>
      <c r="F159" s="84"/>
      <c r="G159" s="84"/>
      <c r="H159" s="83"/>
      <c r="I159" s="83"/>
      <c r="J159" s="83"/>
      <c r="K159" s="86"/>
      <c r="L159" s="86"/>
      <c r="M159" s="86"/>
      <c r="N159" s="86"/>
      <c r="O159" s="86"/>
      <c r="P159" s="268"/>
      <c r="Q159" s="268"/>
      <c r="R159" s="268"/>
      <c r="S159" s="268"/>
      <c r="T159" s="268"/>
      <c r="U159" s="268"/>
      <c r="V159" s="268"/>
      <c r="W159" s="268"/>
      <c r="X159" s="268"/>
      <c r="Y159" s="268"/>
      <c r="Z159" s="268"/>
      <c r="AA159" s="268"/>
      <c r="AB159" s="268"/>
      <c r="AH159" s="380"/>
      <c r="AI159" s="380"/>
      <c r="AJ159" s="380"/>
      <c r="AK159" s="381"/>
      <c r="AL159" s="381"/>
      <c r="AM159" s="381"/>
      <c r="AN159" s="381"/>
      <c r="AO159" s="381"/>
      <c r="AP159" s="381"/>
      <c r="AQ159" s="381"/>
      <c r="AR159" s="381"/>
      <c r="AS159" s="381"/>
      <c r="AT159" s="381"/>
      <c r="AU159" s="381"/>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row>
    <row r="160" spans="1:69" s="270" customFormat="1" x14ac:dyDescent="0.2">
      <c r="A160" s="86"/>
      <c r="B160" s="86"/>
      <c r="C160" s="84"/>
      <c r="D160" s="84"/>
      <c r="E160" s="84"/>
      <c r="F160" s="84"/>
      <c r="G160" s="84"/>
      <c r="H160" s="83"/>
      <c r="I160" s="83"/>
      <c r="J160" s="83"/>
      <c r="K160" s="86"/>
      <c r="L160" s="86"/>
      <c r="M160" s="86"/>
      <c r="N160" s="86"/>
      <c r="O160" s="86"/>
      <c r="P160" s="268"/>
      <c r="Q160" s="268"/>
      <c r="R160" s="268"/>
      <c r="S160" s="268"/>
      <c r="T160" s="268"/>
      <c r="U160" s="268"/>
      <c r="V160" s="268"/>
      <c r="W160" s="268"/>
      <c r="X160" s="268"/>
      <c r="Y160" s="268"/>
      <c r="Z160" s="268"/>
      <c r="AA160" s="268"/>
      <c r="AB160" s="268"/>
      <c r="AH160" s="380"/>
      <c r="AI160" s="380"/>
      <c r="AJ160" s="380"/>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row>
    <row r="161" spans="1:69" s="270" customFormat="1" x14ac:dyDescent="0.2">
      <c r="A161" s="86"/>
      <c r="B161" s="86"/>
      <c r="C161" s="84"/>
      <c r="D161" s="84"/>
      <c r="E161" s="84"/>
      <c r="F161" s="84"/>
      <c r="G161" s="84"/>
      <c r="H161" s="83"/>
      <c r="I161" s="83"/>
      <c r="J161" s="83"/>
      <c r="K161" s="86"/>
      <c r="L161" s="86"/>
      <c r="M161" s="86"/>
      <c r="N161" s="86"/>
      <c r="O161" s="86"/>
      <c r="P161" s="268"/>
      <c r="Q161" s="268"/>
      <c r="R161" s="268"/>
      <c r="S161" s="268"/>
      <c r="T161" s="268"/>
      <c r="U161" s="268"/>
      <c r="V161" s="268"/>
      <c r="W161" s="268"/>
      <c r="X161" s="268"/>
      <c r="Y161" s="268"/>
      <c r="Z161" s="268"/>
      <c r="AA161" s="268"/>
      <c r="AB161" s="268"/>
      <c r="AH161" s="380"/>
      <c r="AI161" s="380"/>
      <c r="AJ161" s="380"/>
      <c r="AK161" s="381"/>
      <c r="AL161" s="381"/>
      <c r="AM161" s="381"/>
      <c r="AN161" s="381"/>
      <c r="AO161" s="381"/>
      <c r="AP161" s="381"/>
      <c r="AQ161" s="381"/>
      <c r="AR161" s="381"/>
      <c r="AS161" s="381"/>
      <c r="AT161" s="381"/>
      <c r="AU161" s="381"/>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row>
    <row r="162" spans="1:69" s="270" customFormat="1" x14ac:dyDescent="0.2">
      <c r="A162" s="86"/>
      <c r="B162" s="86"/>
      <c r="C162" s="84"/>
      <c r="D162" s="84"/>
      <c r="E162" s="84"/>
      <c r="F162" s="84"/>
      <c r="G162" s="84"/>
      <c r="H162" s="83"/>
      <c r="I162" s="83"/>
      <c r="J162" s="83"/>
      <c r="K162" s="86"/>
      <c r="L162" s="86"/>
      <c r="M162" s="86"/>
      <c r="N162" s="86"/>
      <c r="O162" s="86"/>
      <c r="P162" s="268"/>
      <c r="Q162" s="268"/>
      <c r="R162" s="268"/>
      <c r="S162" s="268"/>
      <c r="T162" s="268"/>
      <c r="U162" s="268"/>
      <c r="V162" s="268"/>
      <c r="W162" s="268"/>
      <c r="X162" s="268"/>
      <c r="Y162" s="268"/>
      <c r="Z162" s="268"/>
      <c r="AA162" s="268"/>
      <c r="AB162" s="268"/>
      <c r="AH162" s="380"/>
      <c r="AI162" s="380"/>
      <c r="AJ162" s="380"/>
      <c r="AK162" s="381"/>
      <c r="AL162" s="381"/>
      <c r="AM162" s="381"/>
      <c r="AN162" s="381"/>
      <c r="AO162" s="381"/>
      <c r="AP162" s="381"/>
      <c r="AQ162" s="381"/>
      <c r="AR162" s="381"/>
      <c r="AS162" s="381"/>
      <c r="AT162" s="381"/>
      <c r="AU162" s="381"/>
      <c r="AV162" s="381"/>
      <c r="AW162" s="381"/>
      <c r="AX162" s="381"/>
      <c r="AY162" s="381"/>
      <c r="AZ162" s="381"/>
      <c r="BA162" s="381"/>
      <c r="BB162" s="381"/>
      <c r="BC162" s="381"/>
      <c r="BD162" s="381"/>
      <c r="BE162" s="381"/>
      <c r="BF162" s="381"/>
      <c r="BG162" s="381"/>
      <c r="BH162" s="381"/>
      <c r="BI162" s="381"/>
      <c r="BJ162" s="381"/>
      <c r="BK162" s="381"/>
      <c r="BL162" s="381"/>
      <c r="BM162" s="381"/>
      <c r="BN162" s="381"/>
      <c r="BO162" s="381"/>
      <c r="BP162" s="381"/>
      <c r="BQ162" s="381"/>
    </row>
    <row r="163" spans="1:69" s="270" customFormat="1" x14ac:dyDescent="0.2">
      <c r="A163" s="86"/>
      <c r="B163" s="86"/>
      <c r="C163" s="84"/>
      <c r="D163" s="84"/>
      <c r="E163" s="84"/>
      <c r="F163" s="84"/>
      <c r="G163" s="84"/>
      <c r="H163" s="83"/>
      <c r="I163" s="83"/>
      <c r="J163" s="83"/>
      <c r="K163" s="86"/>
      <c r="L163" s="86"/>
      <c r="M163" s="86"/>
      <c r="N163" s="86"/>
      <c r="O163" s="86"/>
      <c r="P163" s="268"/>
      <c r="Q163" s="268"/>
      <c r="R163" s="268"/>
      <c r="S163" s="268"/>
      <c r="T163" s="268"/>
      <c r="U163" s="268"/>
      <c r="V163" s="268"/>
      <c r="W163" s="268"/>
      <c r="X163" s="268"/>
      <c r="Y163" s="268"/>
      <c r="Z163" s="268"/>
      <c r="AA163" s="268"/>
      <c r="AB163" s="268"/>
      <c r="AH163" s="380"/>
      <c r="AI163" s="380"/>
      <c r="AJ163" s="380"/>
      <c r="AK163" s="381"/>
      <c r="AL163" s="381"/>
      <c r="AM163" s="381"/>
      <c r="AN163" s="381"/>
      <c r="AO163" s="381"/>
      <c r="AP163" s="381"/>
      <c r="AQ163" s="381"/>
      <c r="AR163" s="381"/>
      <c r="AS163" s="381"/>
      <c r="AT163" s="381"/>
      <c r="AU163" s="381"/>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row>
    <row r="164" spans="1:69" s="270" customFormat="1" x14ac:dyDescent="0.2">
      <c r="A164" s="86"/>
      <c r="B164" s="86"/>
      <c r="C164" s="84"/>
      <c r="D164" s="84"/>
      <c r="E164" s="84"/>
      <c r="F164" s="84"/>
      <c r="G164" s="84"/>
      <c r="H164" s="83"/>
      <c r="I164" s="83"/>
      <c r="J164" s="83"/>
      <c r="K164" s="86"/>
      <c r="L164" s="86"/>
      <c r="M164" s="86"/>
      <c r="N164" s="86"/>
      <c r="O164" s="86"/>
      <c r="P164" s="268"/>
      <c r="Q164" s="268"/>
      <c r="R164" s="268"/>
      <c r="S164" s="268"/>
      <c r="T164" s="268"/>
      <c r="U164" s="268"/>
      <c r="V164" s="268"/>
      <c r="W164" s="268"/>
      <c r="AH164" s="380"/>
      <c r="AI164" s="380"/>
      <c r="AJ164" s="380"/>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row>
    <row r="165" spans="1:69" s="270" customFormat="1" x14ac:dyDescent="0.2">
      <c r="A165" s="86"/>
      <c r="B165" s="86"/>
      <c r="C165" s="84"/>
      <c r="D165" s="84"/>
      <c r="E165" s="84"/>
      <c r="F165" s="84"/>
      <c r="G165" s="84"/>
      <c r="H165" s="83"/>
      <c r="I165" s="83"/>
      <c r="J165" s="83"/>
      <c r="K165" s="86"/>
      <c r="L165" s="86"/>
      <c r="M165" s="86"/>
      <c r="N165" s="86"/>
      <c r="O165" s="86"/>
      <c r="P165" s="268"/>
      <c r="Q165" s="268"/>
      <c r="R165" s="268"/>
      <c r="S165" s="268"/>
      <c r="T165" s="268"/>
      <c r="U165" s="268"/>
      <c r="V165" s="268"/>
      <c r="W165" s="268"/>
      <c r="AH165" s="380"/>
      <c r="AI165" s="380"/>
      <c r="AJ165" s="380"/>
      <c r="AK165" s="381"/>
      <c r="AL165" s="381"/>
      <c r="AM165" s="381"/>
      <c r="AN165" s="381"/>
      <c r="AO165" s="381"/>
      <c r="AP165" s="381"/>
      <c r="AQ165" s="381"/>
      <c r="AR165" s="381"/>
      <c r="AS165" s="381"/>
      <c r="AT165" s="381"/>
      <c r="AU165" s="381"/>
      <c r="AV165" s="381"/>
      <c r="AW165" s="381"/>
      <c r="AX165" s="381"/>
      <c r="AY165" s="381"/>
      <c r="AZ165" s="381"/>
      <c r="BA165" s="381"/>
      <c r="BB165" s="381"/>
      <c r="BC165" s="381"/>
      <c r="BD165" s="381"/>
      <c r="BE165" s="381"/>
      <c r="BF165" s="381"/>
      <c r="BG165" s="381"/>
      <c r="BH165" s="381"/>
      <c r="BI165" s="381"/>
      <c r="BJ165" s="381"/>
      <c r="BK165" s="381"/>
      <c r="BL165" s="381"/>
      <c r="BM165" s="381"/>
      <c r="BN165" s="381"/>
      <c r="BO165" s="381"/>
      <c r="BP165" s="381"/>
      <c r="BQ165" s="381"/>
    </row>
    <row r="166" spans="1:69" s="270" customFormat="1" x14ac:dyDescent="0.2">
      <c r="A166" s="86"/>
      <c r="B166" s="86"/>
      <c r="C166" s="84"/>
      <c r="D166" s="84"/>
      <c r="E166" s="84"/>
      <c r="F166" s="84"/>
      <c r="G166" s="84"/>
      <c r="H166" s="83"/>
      <c r="I166" s="83"/>
      <c r="J166" s="83"/>
      <c r="K166" s="86"/>
      <c r="L166" s="86"/>
      <c r="M166" s="86"/>
      <c r="N166" s="86"/>
      <c r="O166" s="86"/>
      <c r="P166" s="268"/>
      <c r="Q166" s="268"/>
      <c r="R166" s="268"/>
      <c r="S166" s="268"/>
      <c r="T166" s="268"/>
      <c r="U166" s="268"/>
      <c r="V166" s="268"/>
      <c r="W166" s="268"/>
      <c r="AH166" s="380"/>
      <c r="AI166" s="380"/>
      <c r="AJ166" s="380"/>
      <c r="AK166" s="381"/>
      <c r="AL166" s="381"/>
      <c r="AM166" s="381"/>
      <c r="AN166" s="381"/>
      <c r="AO166" s="381"/>
      <c r="AP166" s="381"/>
      <c r="AQ166" s="381"/>
      <c r="AR166" s="381"/>
      <c r="AS166" s="381"/>
      <c r="AT166" s="381"/>
      <c r="AU166" s="381"/>
      <c r="AV166" s="381"/>
      <c r="AW166" s="381"/>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row>
    <row r="167" spans="1:69" s="270" customFormat="1" ht="12.9" customHeight="1" x14ac:dyDescent="0.2">
      <c r="A167" s="86"/>
      <c r="B167" s="86"/>
      <c r="C167" s="84"/>
      <c r="D167" s="84"/>
      <c r="E167" s="84"/>
      <c r="F167" s="84"/>
      <c r="G167" s="84"/>
      <c r="H167" s="83"/>
      <c r="I167" s="83"/>
      <c r="J167" s="83"/>
      <c r="K167" s="86"/>
      <c r="L167" s="86"/>
      <c r="M167" s="86"/>
      <c r="N167" s="86"/>
      <c r="O167" s="86"/>
      <c r="P167" s="268"/>
      <c r="Q167" s="268"/>
      <c r="R167" s="268"/>
      <c r="S167" s="268"/>
      <c r="T167" s="268"/>
      <c r="U167" s="268"/>
      <c r="V167" s="268"/>
      <c r="W167" s="268"/>
      <c r="AH167" s="380"/>
      <c r="AI167" s="380"/>
      <c r="AJ167" s="380"/>
      <c r="AK167" s="381"/>
      <c r="AL167" s="381"/>
      <c r="AM167" s="381"/>
      <c r="AN167" s="381"/>
      <c r="AO167" s="381"/>
      <c r="AP167" s="381"/>
      <c r="AQ167" s="381"/>
      <c r="AR167" s="381"/>
      <c r="AS167" s="381"/>
      <c r="AT167" s="381"/>
      <c r="AU167" s="381"/>
      <c r="AV167" s="381"/>
      <c r="AW167" s="381"/>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row>
  </sheetData>
  <sheetProtection algorithmName="SHA-512" hashValue="+SCEEPOTd8sBGDhRBdKPTlFpofv3/hztej6Fzli/G2x2louXxrr9ncNdlxmyteW2yGV/m7F0pslgS1tQi8VX4Q==" saltValue="Vxj2aJWzZ6Fi58M+RY6bVg==" spinCount="100000" sheet="1" objects="1" scenarios="1" selectLockedCells="1"/>
  <mergeCells count="384">
    <mergeCell ref="P107:Q107"/>
    <mergeCell ref="C78:D78"/>
    <mergeCell ref="E78:F78"/>
    <mergeCell ref="G78:I78"/>
    <mergeCell ref="J78:K78"/>
    <mergeCell ref="L78:N78"/>
    <mergeCell ref="E107:F107"/>
    <mergeCell ref="G107:I107"/>
    <mergeCell ref="J107:K107"/>
    <mergeCell ref="L107:N107"/>
    <mergeCell ref="G97:I97"/>
    <mergeCell ref="J97:K97"/>
    <mergeCell ref="L97:N97"/>
    <mergeCell ref="P97:Q97"/>
    <mergeCell ref="E98:F98"/>
    <mergeCell ref="G98:I98"/>
    <mergeCell ref="J98:K98"/>
    <mergeCell ref="L98:N98"/>
    <mergeCell ref="P98:Q98"/>
    <mergeCell ref="E20:F20"/>
    <mergeCell ref="E15:F15"/>
    <mergeCell ref="E16:F16"/>
    <mergeCell ref="E17:F17"/>
    <mergeCell ref="E18:F18"/>
    <mergeCell ref="E19:F19"/>
    <mergeCell ref="H19:I19"/>
    <mergeCell ref="L19:M19"/>
    <mergeCell ref="H20:I20"/>
    <mergeCell ref="L20:M20"/>
    <mergeCell ref="H15:I15"/>
    <mergeCell ref="L15:M15"/>
    <mergeCell ref="H16:I16"/>
    <mergeCell ref="L16:M16"/>
    <mergeCell ref="H17:I17"/>
    <mergeCell ref="L17:M17"/>
    <mergeCell ref="H18:I18"/>
    <mergeCell ref="L18:M18"/>
    <mergeCell ref="P14:S14"/>
    <mergeCell ref="C1:H1"/>
    <mergeCell ref="P9:S9"/>
    <mergeCell ref="Q11:S13"/>
    <mergeCell ref="E13:F13"/>
    <mergeCell ref="E14:F14"/>
    <mergeCell ref="B11:D11"/>
    <mergeCell ref="E11:F12"/>
    <mergeCell ref="J11:J12"/>
    <mergeCell ref="G11:G12"/>
    <mergeCell ref="H11:I12"/>
    <mergeCell ref="K11:N12"/>
    <mergeCell ref="H13:I13"/>
    <mergeCell ref="L13:M13"/>
    <mergeCell ref="A14:D14"/>
    <mergeCell ref="H14:I14"/>
    <mergeCell ref="L14:M14"/>
    <mergeCell ref="H36:I36"/>
    <mergeCell ref="L36:M36"/>
    <mergeCell ref="H37:I37"/>
    <mergeCell ref="L37:M37"/>
    <mergeCell ref="E21:F21"/>
    <mergeCell ref="E22:F22"/>
    <mergeCell ref="E23:F23"/>
    <mergeCell ref="E30:F30"/>
    <mergeCell ref="E31:F31"/>
    <mergeCell ref="E27:F27"/>
    <mergeCell ref="E28:F28"/>
    <mergeCell ref="E29:F29"/>
    <mergeCell ref="E24:F24"/>
    <mergeCell ref="E25:F25"/>
    <mergeCell ref="E26:F26"/>
    <mergeCell ref="E32:F32"/>
    <mergeCell ref="H21:I21"/>
    <mergeCell ref="L21:M21"/>
    <mergeCell ref="H22:I22"/>
    <mergeCell ref="L22:M22"/>
    <mergeCell ref="H23:I23"/>
    <mergeCell ref="L23:M23"/>
    <mergeCell ref="H24:I24"/>
    <mergeCell ref="L24:M24"/>
    <mergeCell ref="B45:D45"/>
    <mergeCell ref="E45:F45"/>
    <mergeCell ref="B46:D46"/>
    <mergeCell ref="E46:F46"/>
    <mergeCell ref="E47:F47"/>
    <mergeCell ref="E35:F35"/>
    <mergeCell ref="E36:F36"/>
    <mergeCell ref="E37:F37"/>
    <mergeCell ref="E33:F33"/>
    <mergeCell ref="E34:F34"/>
    <mergeCell ref="E39:F39"/>
    <mergeCell ref="B43:D43"/>
    <mergeCell ref="E43:F43"/>
    <mergeCell ref="B44:D44"/>
    <mergeCell ref="E44:F44"/>
    <mergeCell ref="E38:F38"/>
    <mergeCell ref="C61:D61"/>
    <mergeCell ref="E61:F61"/>
    <mergeCell ref="G61:I61"/>
    <mergeCell ref="J61:K61"/>
    <mergeCell ref="L61:N61"/>
    <mergeCell ref="E54:F54"/>
    <mergeCell ref="C55:E55"/>
    <mergeCell ref="F55:G55"/>
    <mergeCell ref="C56:D56"/>
    <mergeCell ref="E58:F59"/>
    <mergeCell ref="G58:I59"/>
    <mergeCell ref="C62:D62"/>
    <mergeCell ref="E62:F62"/>
    <mergeCell ref="G62:I62"/>
    <mergeCell ref="J62:K62"/>
    <mergeCell ref="L62:N62"/>
    <mergeCell ref="C63:D63"/>
    <mergeCell ref="E63:F63"/>
    <mergeCell ref="G63:I63"/>
    <mergeCell ref="J63:K63"/>
    <mergeCell ref="L63:N63"/>
    <mergeCell ref="C65:D65"/>
    <mergeCell ref="E65:F65"/>
    <mergeCell ref="G65:I65"/>
    <mergeCell ref="J65:K65"/>
    <mergeCell ref="L65:N65"/>
    <mergeCell ref="C64:D64"/>
    <mergeCell ref="E64:F64"/>
    <mergeCell ref="G64:I64"/>
    <mergeCell ref="J64:K64"/>
    <mergeCell ref="L64:N64"/>
    <mergeCell ref="E74:F74"/>
    <mergeCell ref="G74:I74"/>
    <mergeCell ref="C66:D66"/>
    <mergeCell ref="E66:F66"/>
    <mergeCell ref="G66:I66"/>
    <mergeCell ref="J66:K66"/>
    <mergeCell ref="L66:N66"/>
    <mergeCell ref="C67:D67"/>
    <mergeCell ref="E67:F67"/>
    <mergeCell ref="G67:I67"/>
    <mergeCell ref="J67:K67"/>
    <mergeCell ref="L67:N67"/>
    <mergeCell ref="C72:D72"/>
    <mergeCell ref="C70:D70"/>
    <mergeCell ref="E70:F70"/>
    <mergeCell ref="G70:I70"/>
    <mergeCell ref="J70:K70"/>
    <mergeCell ref="L70:N70"/>
    <mergeCell ref="C71:D71"/>
    <mergeCell ref="E71:F71"/>
    <mergeCell ref="G71:I71"/>
    <mergeCell ref="J71:K71"/>
    <mergeCell ref="L71:N71"/>
    <mergeCell ref="J74:K74"/>
    <mergeCell ref="E76:F76"/>
    <mergeCell ref="G76:I76"/>
    <mergeCell ref="J76:K76"/>
    <mergeCell ref="L76:N76"/>
    <mergeCell ref="C75:D75"/>
    <mergeCell ref="E75:F75"/>
    <mergeCell ref="G75:I75"/>
    <mergeCell ref="J75:K75"/>
    <mergeCell ref="L75:N75"/>
    <mergeCell ref="C73:D73"/>
    <mergeCell ref="E73:F73"/>
    <mergeCell ref="G73:I73"/>
    <mergeCell ref="J73:K73"/>
    <mergeCell ref="L73:N73"/>
    <mergeCell ref="C74:D74"/>
    <mergeCell ref="P89:Q89"/>
    <mergeCell ref="E90:F90"/>
    <mergeCell ref="G90:I90"/>
    <mergeCell ref="J90:K90"/>
    <mergeCell ref="L90:N90"/>
    <mergeCell ref="P90:Q90"/>
    <mergeCell ref="E86:F86"/>
    <mergeCell ref="G86:I86"/>
    <mergeCell ref="J86:K86"/>
    <mergeCell ref="L86:N86"/>
    <mergeCell ref="P86:Q86"/>
    <mergeCell ref="L74:N74"/>
    <mergeCell ref="C77:D77"/>
    <mergeCell ref="E77:F77"/>
    <mergeCell ref="G77:I77"/>
    <mergeCell ref="J77:K77"/>
    <mergeCell ref="L77:N77"/>
    <mergeCell ref="C76:D76"/>
    <mergeCell ref="C109:D109"/>
    <mergeCell ref="J109:K109"/>
    <mergeCell ref="L109:N109"/>
    <mergeCell ref="E104:F104"/>
    <mergeCell ref="G104:I104"/>
    <mergeCell ref="J104:K104"/>
    <mergeCell ref="E102:F102"/>
    <mergeCell ref="G102:I102"/>
    <mergeCell ref="J102:K102"/>
    <mergeCell ref="L102:N102"/>
    <mergeCell ref="E103:F103"/>
    <mergeCell ref="G103:I103"/>
    <mergeCell ref="J103:K103"/>
    <mergeCell ref="L103:N103"/>
    <mergeCell ref="E106:F106"/>
    <mergeCell ref="E105:F105"/>
    <mergeCell ref="X118:Z118"/>
    <mergeCell ref="C119:F119"/>
    <mergeCell ref="G119:I119"/>
    <mergeCell ref="J119:K119"/>
    <mergeCell ref="L119:N119"/>
    <mergeCell ref="C116:F116"/>
    <mergeCell ref="G116:I116"/>
    <mergeCell ref="J116:K116"/>
    <mergeCell ref="L116:N116"/>
    <mergeCell ref="C117:F117"/>
    <mergeCell ref="G117:I117"/>
    <mergeCell ref="J117:K117"/>
    <mergeCell ref="L117:N117"/>
    <mergeCell ref="C118:F118"/>
    <mergeCell ref="G118:I118"/>
    <mergeCell ref="J118:K118"/>
    <mergeCell ref="L118:N118"/>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L115:N115"/>
    <mergeCell ref="G108:I108"/>
    <mergeCell ref="J108:K108"/>
    <mergeCell ref="L108:N108"/>
    <mergeCell ref="G110:K110"/>
    <mergeCell ref="L110:N110"/>
    <mergeCell ref="L104:N104"/>
    <mergeCell ref="G106:I106"/>
    <mergeCell ref="J106:K106"/>
    <mergeCell ref="L106:N106"/>
    <mergeCell ref="G105:I105"/>
    <mergeCell ref="J105:K105"/>
    <mergeCell ref="L105:N105"/>
    <mergeCell ref="G114:N114"/>
    <mergeCell ref="G115:I115"/>
    <mergeCell ref="J115:K115"/>
    <mergeCell ref="P26:P27"/>
    <mergeCell ref="Q26:S27"/>
    <mergeCell ref="J58:K59"/>
    <mergeCell ref="L58:N59"/>
    <mergeCell ref="P102:Q102"/>
    <mergeCell ref="P101:Q101"/>
    <mergeCell ref="J95:K95"/>
    <mergeCell ref="L95:N95"/>
    <mergeCell ref="P95:Q95"/>
    <mergeCell ref="J91:K91"/>
    <mergeCell ref="L91:N91"/>
    <mergeCell ref="P91:Q91"/>
    <mergeCell ref="J92:K92"/>
    <mergeCell ref="L92:N92"/>
    <mergeCell ref="P92:Q92"/>
    <mergeCell ref="J99:K99"/>
    <mergeCell ref="L99:N99"/>
    <mergeCell ref="P93:Q93"/>
    <mergeCell ref="P88:Q88"/>
    <mergeCell ref="J101:K101"/>
    <mergeCell ref="L101:N101"/>
    <mergeCell ref="J94:K94"/>
    <mergeCell ref="L94:N94"/>
    <mergeCell ref="P94:Q94"/>
    <mergeCell ref="Q64:Q65"/>
    <mergeCell ref="P64:P65"/>
    <mergeCell ref="P106:Q106"/>
    <mergeCell ref="P103:Q103"/>
    <mergeCell ref="P104:Q104"/>
    <mergeCell ref="P105:Q105"/>
    <mergeCell ref="E99:F99"/>
    <mergeCell ref="P99:Q99"/>
    <mergeCell ref="E100:F100"/>
    <mergeCell ref="G100:I100"/>
    <mergeCell ref="J100:K100"/>
    <mergeCell ref="L100:N100"/>
    <mergeCell ref="P100:Q100"/>
    <mergeCell ref="E96:F96"/>
    <mergeCell ref="G96:I96"/>
    <mergeCell ref="J96:K96"/>
    <mergeCell ref="L96:N96"/>
    <mergeCell ref="P96:Q96"/>
    <mergeCell ref="G91:I91"/>
    <mergeCell ref="G92:I92"/>
    <mergeCell ref="G99:I99"/>
    <mergeCell ref="E101:F101"/>
    <mergeCell ref="E97:F97"/>
    <mergeCell ref="G101:I101"/>
    <mergeCell ref="E68:F68"/>
    <mergeCell ref="G68:I68"/>
    <mergeCell ref="J68:K68"/>
    <mergeCell ref="L68:N68"/>
    <mergeCell ref="E69:F69"/>
    <mergeCell ref="G69:I69"/>
    <mergeCell ref="J69:K69"/>
    <mergeCell ref="L69:N69"/>
    <mergeCell ref="E95:F95"/>
    <mergeCell ref="G95:I95"/>
    <mergeCell ref="E91:F91"/>
    <mergeCell ref="E92:F92"/>
    <mergeCell ref="E89:F89"/>
    <mergeCell ref="H79:I79"/>
    <mergeCell ref="J79:K79"/>
    <mergeCell ref="E72:F72"/>
    <mergeCell ref="E94:F94"/>
    <mergeCell ref="G94:I94"/>
    <mergeCell ref="M81:N81"/>
    <mergeCell ref="E83:F83"/>
    <mergeCell ref="M83:N83"/>
    <mergeCell ref="G72:I72"/>
    <mergeCell ref="J72:K72"/>
    <mergeCell ref="L72:N72"/>
    <mergeCell ref="H25:I25"/>
    <mergeCell ref="L25:M25"/>
    <mergeCell ref="H26:I26"/>
    <mergeCell ref="L26:M26"/>
    <mergeCell ref="H27:I27"/>
    <mergeCell ref="L27:M27"/>
    <mergeCell ref="H28:I28"/>
    <mergeCell ref="L28:M28"/>
    <mergeCell ref="H29:I29"/>
    <mergeCell ref="L29:M29"/>
    <mergeCell ref="H30:I30"/>
    <mergeCell ref="L30:M30"/>
    <mergeCell ref="H31:I31"/>
    <mergeCell ref="L31:M31"/>
    <mergeCell ref="H32:I32"/>
    <mergeCell ref="L32:M32"/>
    <mergeCell ref="H33:I33"/>
    <mergeCell ref="L33:M33"/>
    <mergeCell ref="H34:I34"/>
    <mergeCell ref="L34:M34"/>
    <mergeCell ref="H35:I35"/>
    <mergeCell ref="L35:M35"/>
    <mergeCell ref="P87:Q87"/>
    <mergeCell ref="E87:F87"/>
    <mergeCell ref="G87:I87"/>
    <mergeCell ref="J87:K87"/>
    <mergeCell ref="L87:N87"/>
    <mergeCell ref="H38:I38"/>
    <mergeCell ref="L38:M38"/>
    <mergeCell ref="H39:I39"/>
    <mergeCell ref="L39:M39"/>
    <mergeCell ref="G44:N44"/>
    <mergeCell ref="G45:N45"/>
    <mergeCell ref="G46:N46"/>
    <mergeCell ref="G51:G52"/>
    <mergeCell ref="H51:I52"/>
    <mergeCell ref="J51:J52"/>
    <mergeCell ref="K51:N52"/>
    <mergeCell ref="E51:F52"/>
    <mergeCell ref="E53:F53"/>
    <mergeCell ref="E85:F85"/>
    <mergeCell ref="G85:K85"/>
    <mergeCell ref="L85:N85"/>
    <mergeCell ref="D79:F79"/>
    <mergeCell ref="C114:F114"/>
    <mergeCell ref="C115:F115"/>
    <mergeCell ref="H53:I53"/>
    <mergeCell ref="L53:M53"/>
    <mergeCell ref="H54:I54"/>
    <mergeCell ref="L54:M54"/>
    <mergeCell ref="E60:F60"/>
    <mergeCell ref="G60:I60"/>
    <mergeCell ref="J60:K60"/>
    <mergeCell ref="L60:N60"/>
    <mergeCell ref="C68:D68"/>
    <mergeCell ref="C69:D69"/>
    <mergeCell ref="G89:I89"/>
    <mergeCell ref="J89:K89"/>
    <mergeCell ref="L89:N89"/>
    <mergeCell ref="E93:F93"/>
    <mergeCell ref="G93:I93"/>
    <mergeCell ref="J93:K93"/>
    <mergeCell ref="L93:N93"/>
    <mergeCell ref="E88:F88"/>
    <mergeCell ref="G88:I88"/>
    <mergeCell ref="J88:K88"/>
    <mergeCell ref="L88:N88"/>
    <mergeCell ref="L79:N79"/>
  </mergeCells>
  <conditionalFormatting sqref="C118">
    <cfRule type="cellIs" dxfId="276" priority="133" operator="lessThan">
      <formula>0</formula>
    </cfRule>
  </conditionalFormatting>
  <conditionalFormatting sqref="E83:F83">
    <cfRule type="expression" dxfId="275" priority="50">
      <formula>IF(ISBLANK($M$83),FALSE,TRUE)</formula>
    </cfRule>
  </conditionalFormatting>
  <conditionalFormatting sqref="L116:N118">
    <cfRule type="expression" dxfId="274" priority="48">
      <formula>IF(ISBLANK($J116),FALSE,TRUE)</formula>
    </cfRule>
  </conditionalFormatting>
  <conditionalFormatting sqref="J116:K118">
    <cfRule type="expression" dxfId="273" priority="47">
      <formula>IF($C116&lt;&gt;0,TRUE,FALSE)</formula>
    </cfRule>
  </conditionalFormatting>
  <conditionalFormatting sqref="L116:N118">
    <cfRule type="expression" dxfId="272" priority="20">
      <formula>IF(ISBLANK($J116),FALSE,TRUE)</formula>
    </cfRule>
  </conditionalFormatting>
  <conditionalFormatting sqref="J116:K118">
    <cfRule type="expression" dxfId="271" priority="19">
      <formula>IF($C116&lt;&gt;0,TRUE,FALSE)</formula>
    </cfRule>
  </conditionalFormatting>
  <conditionalFormatting sqref="A14:N14">
    <cfRule type="expression" dxfId="270" priority="147">
      <formula>$X$12</formula>
    </cfRule>
  </conditionalFormatting>
  <conditionalFormatting sqref="H21:N38 H15:J20 N15:N20">
    <cfRule type="expression" dxfId="269" priority="149">
      <formula>$X$11</formula>
    </cfRule>
  </conditionalFormatting>
  <conditionalFormatting sqref="K21:K38">
    <cfRule type="expression" dxfId="268" priority="15">
      <formula>L21&lt;&gt;0</formula>
    </cfRule>
  </conditionalFormatting>
  <conditionalFormatting sqref="C118">
    <cfRule type="cellIs" dxfId="267" priority="14" operator="lessThan">
      <formula>0</formula>
    </cfRule>
  </conditionalFormatting>
  <conditionalFormatting sqref="L116:N118">
    <cfRule type="expression" dxfId="266" priority="13">
      <formula>IF(ISBLANK($J116),FALSE,TRUE)</formula>
    </cfRule>
  </conditionalFormatting>
  <conditionalFormatting sqref="J116:K118">
    <cfRule type="expression" dxfId="265" priority="12">
      <formula>IF($C116&lt;&gt;0,TRUE,FALSE)</formula>
    </cfRule>
  </conditionalFormatting>
  <conditionalFormatting sqref="A15:G38">
    <cfRule type="expression" dxfId="264" priority="8">
      <formula>$X$11</formula>
    </cfRule>
  </conditionalFormatting>
  <conditionalFormatting sqref="A15:G17">
    <cfRule type="expression" dxfId="263" priority="7">
      <formula>$X$11</formula>
    </cfRule>
  </conditionalFormatting>
  <conditionalFormatting sqref="A15:G16">
    <cfRule type="expression" dxfId="262" priority="6">
      <formula>$X$11</formula>
    </cfRule>
  </conditionalFormatting>
  <conditionalFormatting sqref="A19:G20">
    <cfRule type="expression" dxfId="261" priority="5">
      <formula>$X$11</formula>
    </cfRule>
  </conditionalFormatting>
  <conditionalFormatting sqref="K15:M20">
    <cfRule type="expression" dxfId="260" priority="4">
      <formula>$X$11</formula>
    </cfRule>
  </conditionalFormatting>
  <conditionalFormatting sqref="K15">
    <cfRule type="expression" dxfId="259" priority="3">
      <formula>L15&lt;&gt;0</formula>
    </cfRule>
  </conditionalFormatting>
  <conditionalFormatting sqref="K16:K20">
    <cfRule type="expression" dxfId="258" priority="2">
      <formula>L16&lt;&gt;0</formula>
    </cfRule>
  </conditionalFormatting>
  <conditionalFormatting sqref="L20:M20">
    <cfRule type="expression" dxfId="257" priority="1">
      <formula>$X$11</formula>
    </cfRule>
  </conditionalFormatting>
  <dataValidations count="5">
    <dataValidation type="list" allowBlank="1" showInputMessage="1" showErrorMessage="1" sqref="B11:D11">
      <formula1>$U$11:$U$12</formula1>
    </dataValidation>
    <dataValidation allowBlank="1" showInputMessage="1" showErrorMessage="1" errorTitle="Fehlerhafte Eingabe" error="Auswahl der Berücksichtigung Förderbeiträge aus Drop-Down selektieren." sqref="D88"/>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formula1>IF(COUNTIF($J$116:$J$118,"")-1&gt;=COUNTIF($C$116:$C$118,0),TRUE,FALSE)</formula1>
    </dataValidation>
    <dataValidation type="custom" allowBlank="1" showInputMessage="1" showErrorMessage="1" errorTitle="Eingabe ausserhalb Bereich" error="Bitte wählen Sie eine Betrachtungsdauer zwischen 1 und 50 Jahren." sqref="M83:N83">
      <formula1>IF(AND(M83&gt;0,M83&lt;=50),TRUE,FALSE)</formula1>
    </dataValidation>
    <dataValidation type="decimal" allowBlank="1" showInputMessage="1" showErrorMessage="1" error="Wert muss zwischen 0 und 100 liegen" sqref="C66 C68 C62 C64">
      <formula1>0</formula1>
      <formula2>1</formula2>
    </dataValidation>
  </dataValidations>
  <hyperlinks>
    <hyperlink ref="G2" location="Neu_in_Version" display="i"/>
  </hyperlinks>
  <pageMargins left="0.70866141732283472" right="0.70866141732283472" top="0.39370078740157483" bottom="0.98425196850393704" header="0.39370078740157483" footer="0.39370078740157483"/>
  <pageSetup paperSize="9" scale="81" firstPageNumber="3" fitToHeight="0" orientation="portrait" r:id="rId1"/>
  <headerFooter scaleWithDoc="0">
    <oddFooter>&amp;L&amp;8Das Amt für Hochbauten ist eine Dienstabteilung des
Hochbaudepartements der Stadt Zürich&amp;CSeite &amp;P/&amp;N&amp;6
                                                          &amp;D/&amp;F&amp;R&amp;G</oddFooter>
  </headerFooter>
  <rowBreaks count="1" manualBreakCount="1">
    <brk id="80" max="12" man="1"/>
  </rowBreaks>
  <drawing r:id="rId2"/>
  <legacyDrawing r:id="rId3"/>
  <legacyDrawingHF r:id="rId4"/>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9" tint="-0.499984740745262"/>
    <outlinePr summaryBelow="0"/>
    <pageSetUpPr fitToPage="1"/>
  </sheetPr>
  <dimension ref="A1:BU422"/>
  <sheetViews>
    <sheetView showGridLines="0" showZeros="0" zoomScaleNormal="100" zoomScaleSheetLayoutView="100" workbookViewId="0">
      <pane ySplit="13" topLeftCell="A14" activePane="bottomLeft" state="frozen"/>
      <selection activeCell="B369" sqref="B369:C370"/>
      <selection pane="bottomLeft" activeCell="B44" sqref="B44:D44"/>
    </sheetView>
  </sheetViews>
  <sheetFormatPr baseColWidth="10" defaultColWidth="11.375" defaultRowHeight="12.9" customHeight="1" x14ac:dyDescent="0.2"/>
  <cols>
    <col min="1" max="1" width="25.375" style="86" customWidth="1"/>
    <col min="2" max="2" width="12.375" style="84" customWidth="1"/>
    <col min="3" max="4" width="5.75" style="84" customWidth="1"/>
    <col min="5" max="5" width="6.875" style="84" customWidth="1"/>
    <col min="6" max="6" width="7.75" style="84" customWidth="1"/>
    <col min="7" max="8" width="4.875" style="83" customWidth="1"/>
    <col min="9" max="9" width="7.75" style="83" customWidth="1"/>
    <col min="10" max="10" width="9.75" style="86" customWidth="1"/>
    <col min="11" max="12" width="3.375" style="86" customWidth="1"/>
    <col min="13" max="13" width="9.75" style="86" customWidth="1"/>
    <col min="14" max="14" width="4.25" style="86" customWidth="1"/>
    <col min="15" max="15" width="15.75" style="86" customWidth="1"/>
    <col min="16" max="16" width="7.375" style="270" customWidth="1"/>
    <col min="17" max="17" width="7.25" style="270" customWidth="1"/>
    <col min="18" max="18" width="8.25" style="270" customWidth="1"/>
    <col min="19" max="19" width="12.125" style="278" customWidth="1"/>
    <col min="20" max="20" width="11.625" style="270" customWidth="1"/>
    <col min="21" max="21" width="10.125" style="270" customWidth="1"/>
    <col min="22" max="22" width="11.625" style="270" customWidth="1"/>
    <col min="23" max="23" width="11" style="270" customWidth="1"/>
    <col min="24" max="24" width="10.125" style="270" customWidth="1"/>
    <col min="25" max="25" width="8.625" style="270" customWidth="1"/>
    <col min="26" max="26" width="10.125" style="270" customWidth="1"/>
    <col min="27" max="32" width="8.625" style="270" customWidth="1"/>
    <col min="33" max="35" width="8.625" style="380" customWidth="1"/>
    <col min="36" max="68" width="8.625" style="381" customWidth="1"/>
    <col min="69" max="69" width="5" style="83" customWidth="1"/>
    <col min="70" max="16384" width="11.375" style="83"/>
  </cols>
  <sheetData>
    <row r="1" spans="1:73" s="1111" customFormat="1" ht="56.25" customHeight="1" x14ac:dyDescent="0.2">
      <c r="A1" s="1131"/>
      <c r="B1" s="2705"/>
      <c r="C1" s="2705"/>
      <c r="D1" s="2705"/>
      <c r="E1" s="2705"/>
      <c r="F1" s="2705"/>
      <c r="G1" s="2705"/>
      <c r="H1" s="313"/>
      <c r="I1" s="313"/>
      <c r="J1" s="313"/>
      <c r="K1" s="313"/>
      <c r="L1" s="313"/>
      <c r="M1" s="313"/>
      <c r="N1" s="1116"/>
      <c r="O1" s="313"/>
      <c r="P1" s="295"/>
      <c r="Q1" s="274"/>
      <c r="R1" s="437"/>
      <c r="S1" s="437"/>
      <c r="T1" s="437"/>
      <c r="U1" s="437"/>
      <c r="V1" s="437"/>
      <c r="W1" s="437"/>
      <c r="X1" s="437"/>
      <c r="Y1" s="437"/>
      <c r="Z1" s="437"/>
      <c r="AA1" s="437"/>
      <c r="AB1" s="437"/>
      <c r="AC1" s="437"/>
      <c r="AD1" s="437"/>
      <c r="AE1" s="296"/>
      <c r="AF1" s="296"/>
      <c r="AG1" s="1009"/>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row>
    <row r="2" spans="1:73" s="1111" customFormat="1" ht="13.6" customHeight="1" x14ac:dyDescent="0.25">
      <c r="A2" s="1132" t="str">
        <f>CONCATENATE("Variantenvergleich Energiesysteme - Version ",Versionsinfo!$B$4)</f>
        <v>Variantenvergleich Energiesysteme - Version 2.2</v>
      </c>
      <c r="B2" s="314"/>
      <c r="C2" s="314"/>
      <c r="D2" s="314"/>
      <c r="E2" s="1535"/>
      <c r="F2" s="1536" t="s">
        <v>684</v>
      </c>
      <c r="G2" s="313"/>
      <c r="H2" s="313"/>
      <c r="I2" s="313"/>
      <c r="J2" s="313"/>
      <c r="K2" s="313"/>
      <c r="L2" s="313"/>
      <c r="M2" s="313"/>
      <c r="N2" s="1116"/>
      <c r="O2" s="199"/>
      <c r="P2" s="199"/>
      <c r="Q2" s="199"/>
      <c r="R2" s="199"/>
      <c r="S2" s="199"/>
      <c r="T2" s="439"/>
      <c r="U2" s="440"/>
      <c r="V2" s="437"/>
      <c r="W2" s="437"/>
      <c r="X2" s="437"/>
      <c r="Y2" s="437"/>
      <c r="Z2" s="437"/>
      <c r="AA2" s="437"/>
      <c r="AB2" s="437"/>
      <c r="AC2" s="437"/>
      <c r="AD2" s="437"/>
      <c r="AE2" s="296"/>
      <c r="AF2" s="296"/>
      <c r="AG2" s="1009"/>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99"/>
      <c r="BR2" s="199"/>
      <c r="BS2" s="199"/>
      <c r="BT2" s="199"/>
      <c r="BU2" s="199"/>
    </row>
    <row r="3" spans="1:73" s="1111" customFormat="1" ht="12.75" customHeight="1" x14ac:dyDescent="0.2">
      <c r="A3" s="1133" t="s">
        <v>178</v>
      </c>
      <c r="B3" s="314"/>
      <c r="C3" s="314"/>
      <c r="D3" s="314"/>
      <c r="E3" s="314"/>
      <c r="F3" s="314"/>
      <c r="G3" s="314"/>
      <c r="H3" s="314"/>
      <c r="I3" s="314"/>
      <c r="J3" s="314"/>
      <c r="K3" s="314"/>
      <c r="L3" s="314"/>
      <c r="M3" s="314"/>
      <c r="O3" s="199"/>
      <c r="P3" s="199"/>
      <c r="Q3" s="199"/>
      <c r="R3" s="199"/>
      <c r="S3" s="199"/>
      <c r="T3" s="296"/>
      <c r="U3" s="296"/>
      <c r="V3" s="296"/>
      <c r="W3" s="296"/>
      <c r="X3" s="296"/>
      <c r="Y3" s="296"/>
      <c r="Z3" s="296"/>
      <c r="AA3" s="296"/>
      <c r="AB3" s="296"/>
      <c r="AC3" s="296"/>
      <c r="AD3" s="296"/>
      <c r="AE3" s="296"/>
      <c r="AF3" s="296"/>
      <c r="AG3" s="1009"/>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99"/>
      <c r="BR3" s="199"/>
      <c r="BS3" s="199"/>
      <c r="BT3" s="199"/>
      <c r="BU3" s="199"/>
    </row>
    <row r="4" spans="1:73" s="1111" customFormat="1" ht="23.95" customHeight="1" x14ac:dyDescent="0.2">
      <c r="A4" s="314"/>
      <c r="B4" s="314"/>
      <c r="C4" s="314"/>
      <c r="D4" s="314"/>
      <c r="E4" s="314"/>
      <c r="F4" s="314"/>
      <c r="G4" s="314"/>
      <c r="H4" s="314"/>
      <c r="I4" s="314"/>
      <c r="J4" s="314"/>
      <c r="K4" s="314"/>
      <c r="L4" s="314"/>
      <c r="M4" s="314"/>
      <c r="O4" s="314"/>
      <c r="P4" s="296"/>
      <c r="Q4" s="275"/>
      <c r="R4" s="551"/>
      <c r="S4" s="296"/>
      <c r="T4" s="296"/>
      <c r="U4" s="296"/>
      <c r="V4" s="296"/>
      <c r="W4" s="296"/>
      <c r="X4" s="296"/>
      <c r="Y4" s="296"/>
      <c r="Z4" s="296"/>
      <c r="AA4" s="296"/>
      <c r="AB4" s="296"/>
      <c r="AC4" s="296"/>
      <c r="AD4" s="296"/>
      <c r="AE4" s="296"/>
      <c r="AF4" s="296"/>
      <c r="AG4" s="1009"/>
      <c r="AH4" s="1009"/>
      <c r="AI4" s="1009"/>
      <c r="AJ4" s="1009"/>
      <c r="AK4" s="1009"/>
      <c r="AL4" s="1009"/>
      <c r="AM4" s="1009"/>
      <c r="AN4" s="1009"/>
      <c r="AO4" s="1009"/>
      <c r="AP4" s="1009"/>
      <c r="AQ4" s="1009"/>
      <c r="AR4" s="1009"/>
      <c r="AS4" s="1009"/>
      <c r="AT4" s="1009"/>
      <c r="AU4" s="1009"/>
      <c r="AV4" s="1009"/>
      <c r="AW4" s="1009"/>
      <c r="AX4" s="1009"/>
      <c r="AY4" s="1009"/>
      <c r="AZ4" s="1009"/>
      <c r="BA4" s="1009"/>
      <c r="BB4" s="1009"/>
      <c r="BC4" s="1009"/>
      <c r="BD4" s="1009"/>
      <c r="BE4" s="1009"/>
      <c r="BF4" s="1009"/>
      <c r="BG4" s="1009"/>
      <c r="BH4" s="1009"/>
      <c r="BI4" s="1009"/>
      <c r="BJ4" s="1009"/>
      <c r="BK4" s="1009"/>
      <c r="BL4" s="1009"/>
      <c r="BM4" s="1009"/>
      <c r="BN4" s="1009"/>
      <c r="BO4" s="1009"/>
      <c r="BP4" s="1009"/>
    </row>
    <row r="5" spans="1:73" s="108" customFormat="1" ht="12.9" customHeight="1" x14ac:dyDescent="0.2">
      <c r="A5" s="1308">
        <f>Projektdaten!C8</f>
        <v>0</v>
      </c>
      <c r="K5" s="164"/>
      <c r="L5" s="164"/>
      <c r="M5" s="164">
        <f>Projektdaten!I8</f>
        <v>0</v>
      </c>
      <c r="O5" s="164"/>
      <c r="P5" s="270"/>
      <c r="Q5" s="276"/>
      <c r="R5" s="1111"/>
      <c r="S5" s="278"/>
      <c r="T5" s="270"/>
      <c r="U5" s="270"/>
      <c r="V5" s="270"/>
      <c r="W5" s="270"/>
      <c r="X5" s="270"/>
      <c r="Y5" s="270"/>
      <c r="Z5" s="270"/>
      <c r="AA5" s="270"/>
      <c r="AB5" s="270"/>
      <c r="AC5" s="270"/>
      <c r="AD5" s="270"/>
      <c r="AE5" s="270"/>
      <c r="AF5" s="270"/>
      <c r="AG5" s="380"/>
      <c r="AH5" s="380"/>
      <c r="AI5" s="380"/>
      <c r="AJ5" s="381"/>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row>
    <row r="6" spans="1:73" ht="5.3" customHeight="1" x14ac:dyDescent="0.2"/>
    <row r="7" spans="1:73" s="106" customFormat="1" ht="14.95" customHeight="1" x14ac:dyDescent="0.3">
      <c r="A7" s="521" t="s">
        <v>558</v>
      </c>
      <c r="B7" s="1774">
        <f>EV_Var4!$E$6</f>
        <v>0</v>
      </c>
      <c r="C7" s="343"/>
      <c r="D7" s="343"/>
      <c r="E7" s="165"/>
      <c r="F7" s="165"/>
      <c r="G7" s="1134"/>
      <c r="H7" s="1134"/>
      <c r="I7" s="1135"/>
      <c r="J7" s="1135"/>
      <c r="K7" s="1135"/>
      <c r="L7" s="1135"/>
      <c r="M7" s="1135"/>
      <c r="O7" s="315"/>
      <c r="P7" s="297"/>
      <c r="Q7" s="279"/>
      <c r="R7" s="441"/>
      <c r="S7" s="272"/>
      <c r="T7" s="442"/>
      <c r="U7" s="400"/>
      <c r="V7" s="442"/>
      <c r="W7" s="442"/>
      <c r="X7" s="442"/>
      <c r="Y7" s="442"/>
      <c r="Z7" s="442"/>
      <c r="AA7" s="443"/>
      <c r="AB7" s="443"/>
      <c r="AC7" s="443"/>
      <c r="AD7" s="443"/>
      <c r="AE7" s="443"/>
      <c r="AF7" s="443"/>
      <c r="AG7" s="444"/>
      <c r="AH7" s="444"/>
      <c r="AI7" s="444"/>
      <c r="AJ7" s="445"/>
      <c r="AK7" s="445"/>
      <c r="AL7" s="446"/>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row>
    <row r="8" spans="1:73" s="104" customFormat="1" ht="5.95" customHeight="1" x14ac:dyDescent="0.3">
      <c r="A8" s="105"/>
      <c r="G8" s="31" t="s">
        <v>12</v>
      </c>
      <c r="H8" s="31"/>
      <c r="I8" s="84"/>
      <c r="J8" s="84"/>
      <c r="K8" s="84"/>
      <c r="L8" s="84"/>
      <c r="M8" s="84"/>
      <c r="N8" s="84"/>
      <c r="O8" s="84"/>
      <c r="P8" s="270"/>
      <c r="Q8" s="280"/>
      <c r="R8" s="281"/>
      <c r="S8" s="272"/>
      <c r="T8" s="271"/>
      <c r="U8" s="271"/>
      <c r="V8" s="271"/>
      <c r="W8" s="271"/>
      <c r="X8" s="271"/>
      <c r="Y8" s="271"/>
      <c r="Z8" s="271"/>
      <c r="AA8" s="270"/>
      <c r="AB8" s="270"/>
      <c r="AC8" s="270"/>
      <c r="AD8" s="270"/>
      <c r="AE8" s="270"/>
      <c r="AF8" s="270"/>
      <c r="AG8" s="380"/>
      <c r="AH8" s="380"/>
      <c r="AI8" s="380"/>
      <c r="AJ8" s="381"/>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row>
    <row r="9" spans="1:73" ht="17.350000000000001" customHeight="1" x14ac:dyDescent="0.25">
      <c r="A9" s="1108" t="s">
        <v>729</v>
      </c>
      <c r="H9" s="317" t="s">
        <v>757</v>
      </c>
      <c r="I9" s="318">
        <f>IF(ISBLANK(Grunddaten!$V$5),Grunddaten!$U$5,Grunddaten!$V$5)</f>
        <v>2.5000000000000001E-2</v>
      </c>
      <c r="J9" s="1124" t="s">
        <v>568</v>
      </c>
      <c r="K9" s="103"/>
      <c r="L9" s="103"/>
      <c r="M9" s="103"/>
      <c r="N9" s="103"/>
      <c r="O9" s="103"/>
      <c r="P9" s="282"/>
      <c r="Q9" s="271"/>
      <c r="R9" s="283"/>
      <c r="S9" s="272"/>
      <c r="T9" s="271"/>
      <c r="U9" s="271"/>
      <c r="V9" s="271"/>
      <c r="W9" s="271"/>
      <c r="X9" s="271"/>
      <c r="Y9" s="271"/>
      <c r="Z9" s="271"/>
    </row>
    <row r="10" spans="1:73" ht="2.25" customHeight="1" thickBot="1" x14ac:dyDescent="0.25">
      <c r="N10" s="1369"/>
      <c r="O10" s="1366"/>
      <c r="P10" s="1366"/>
      <c r="Q10" s="271"/>
      <c r="R10" s="271"/>
      <c r="S10" s="272"/>
      <c r="T10" s="271"/>
      <c r="U10" s="271"/>
      <c r="V10" s="271"/>
      <c r="W10" s="271"/>
      <c r="X10" s="271"/>
      <c r="Y10" s="271"/>
      <c r="Z10" s="271"/>
    </row>
    <row r="11" spans="1:73" s="382" customFormat="1" ht="11.25" customHeight="1" x14ac:dyDescent="0.2">
      <c r="A11" s="388" t="s">
        <v>318</v>
      </c>
      <c r="B11" s="1367" t="s">
        <v>319</v>
      </c>
      <c r="C11" s="1368"/>
      <c r="D11" s="1368"/>
      <c r="E11" s="2482" t="s">
        <v>651</v>
      </c>
      <c r="F11" s="2483"/>
      <c r="G11" s="2482" t="s">
        <v>653</v>
      </c>
      <c r="H11" s="2483"/>
      <c r="I11" s="2714" t="s">
        <v>654</v>
      </c>
      <c r="J11" s="2714" t="s">
        <v>730</v>
      </c>
      <c r="K11" s="2756" t="s">
        <v>743</v>
      </c>
      <c r="L11" s="2757"/>
      <c r="M11" s="2758"/>
      <c r="N11" s="1369"/>
      <c r="O11" s="1366"/>
      <c r="P11" s="1366"/>
      <c r="Q11" s="285"/>
      <c r="R11" s="285"/>
      <c r="S11" s="280"/>
      <c r="T11" s="271"/>
      <c r="U11" s="271"/>
      <c r="V11" s="271"/>
      <c r="W11" s="271"/>
      <c r="X11" s="271"/>
      <c r="Y11" s="271"/>
      <c r="Z11" s="270"/>
      <c r="AA11" s="270"/>
      <c r="AB11" s="270"/>
      <c r="AC11" s="270"/>
      <c r="AD11" s="270"/>
      <c r="AE11" s="270"/>
      <c r="AF11" s="380"/>
      <c r="AG11" s="380"/>
      <c r="AH11" s="380"/>
      <c r="AI11" s="381"/>
      <c r="AJ11" s="381"/>
    </row>
    <row r="12" spans="1:73" s="382" customFormat="1" ht="11.25" customHeight="1" x14ac:dyDescent="0.2">
      <c r="A12" s="389"/>
      <c r="B12" s="691"/>
      <c r="C12" s="555"/>
      <c r="D12" s="555"/>
      <c r="E12" s="2484"/>
      <c r="F12" s="2485"/>
      <c r="G12" s="2484"/>
      <c r="H12" s="2485"/>
      <c r="I12" s="2715"/>
      <c r="J12" s="2715"/>
      <c r="K12" s="2759"/>
      <c r="L12" s="2760"/>
      <c r="M12" s="2761"/>
      <c r="N12" s="1369"/>
      <c r="O12" s="1366"/>
      <c r="P12" s="1366"/>
      <c r="Q12" s="285"/>
      <c r="R12" s="285"/>
      <c r="S12" s="280"/>
      <c r="T12" s="271"/>
      <c r="U12" s="271"/>
      <c r="V12" s="271"/>
      <c r="W12" s="271"/>
      <c r="X12" s="271"/>
      <c r="Y12" s="271"/>
      <c r="Z12" s="270"/>
      <c r="AA12" s="270"/>
      <c r="AB12" s="270"/>
      <c r="AC12" s="270"/>
      <c r="AD12" s="270"/>
      <c r="AE12" s="270"/>
      <c r="AF12" s="380"/>
      <c r="AG12" s="380"/>
      <c r="AH12" s="380"/>
      <c r="AI12" s="381"/>
      <c r="AJ12" s="381"/>
    </row>
    <row r="13" spans="1:73" s="382" customFormat="1" ht="11.25" customHeight="1" thickBot="1" x14ac:dyDescent="0.25">
      <c r="A13" s="1370"/>
      <c r="B13" s="1371"/>
      <c r="C13" s="1372"/>
      <c r="D13" s="1372"/>
      <c r="E13" s="2609" t="s">
        <v>652</v>
      </c>
      <c r="F13" s="2613"/>
      <c r="G13" s="2528" t="s">
        <v>29</v>
      </c>
      <c r="H13" s="2711"/>
      <c r="I13" s="2780"/>
      <c r="J13" s="693" t="s">
        <v>655</v>
      </c>
      <c r="K13" s="2609" t="s">
        <v>677</v>
      </c>
      <c r="L13" s="2613"/>
      <c r="M13" s="392" t="s">
        <v>655</v>
      </c>
      <c r="N13" s="1369"/>
      <c r="O13" s="1366"/>
      <c r="P13" s="1366"/>
      <c r="Q13" s="285"/>
      <c r="R13" s="285"/>
      <c r="S13" s="280"/>
      <c r="T13" s="271"/>
      <c r="U13" s="271"/>
      <c r="V13" s="271"/>
      <c r="W13" s="271"/>
      <c r="X13" s="271"/>
      <c r="Y13" s="271"/>
      <c r="Z13" s="270"/>
      <c r="AA13" s="270"/>
      <c r="AB13" s="270"/>
      <c r="AC13" s="270"/>
      <c r="AD13" s="270"/>
      <c r="AE13" s="270"/>
      <c r="AF13" s="380"/>
      <c r="AG13" s="380"/>
      <c r="AH13" s="380"/>
      <c r="AI13" s="381"/>
      <c r="AJ13" s="381"/>
    </row>
    <row r="14" spans="1:73" s="382" customFormat="1" ht="13.6" customHeight="1" x14ac:dyDescent="0.2">
      <c r="A14" s="2777" t="s">
        <v>640</v>
      </c>
      <c r="B14" s="2778"/>
      <c r="C14" s="2778"/>
      <c r="D14" s="2778"/>
      <c r="E14" s="2778"/>
      <c r="F14" s="2778"/>
      <c r="G14" s="2778"/>
      <c r="H14" s="2778"/>
      <c r="I14" s="2778"/>
      <c r="J14" s="2778"/>
      <c r="K14" s="2778"/>
      <c r="L14" s="2778"/>
      <c r="M14" s="2779"/>
      <c r="N14" s="1369"/>
      <c r="O14" s="1366"/>
      <c r="P14" s="1366"/>
      <c r="Q14" s="285"/>
      <c r="R14" s="285"/>
      <c r="S14" s="280"/>
      <c r="T14" s="271"/>
      <c r="U14" s="271"/>
      <c r="V14" s="271"/>
      <c r="W14" s="271"/>
      <c r="X14" s="271"/>
      <c r="Y14" s="271"/>
      <c r="Z14" s="270"/>
      <c r="AA14" s="270"/>
      <c r="AB14" s="270"/>
      <c r="AC14" s="270"/>
      <c r="AD14" s="270"/>
      <c r="AE14" s="270"/>
      <c r="AF14" s="380"/>
      <c r="AG14" s="380"/>
      <c r="AH14" s="380"/>
      <c r="AI14" s="381"/>
      <c r="AJ14" s="381"/>
    </row>
    <row r="15" spans="1:73" s="88" customFormat="1" ht="12.1" customHeight="1" x14ac:dyDescent="0.2">
      <c r="A15" s="1013" t="str">
        <f>A44</f>
        <v>1. Wärmequelle Baumeister</v>
      </c>
      <c r="B15" s="2847">
        <f>B44</f>
        <v>0</v>
      </c>
      <c r="C15" s="2848">
        <f>C44</f>
        <v>0</v>
      </c>
      <c r="D15" s="2849">
        <f>D44</f>
        <v>0</v>
      </c>
      <c r="E15" s="2816">
        <f>E44</f>
        <v>0</v>
      </c>
      <c r="F15" s="2817"/>
      <c r="G15" s="2774"/>
      <c r="H15" s="2775"/>
      <c r="I15" s="2776"/>
      <c r="J15" s="1405">
        <f>J44</f>
        <v>0</v>
      </c>
      <c r="K15" s="2799" t="str">
        <f t="shared" ref="K15:K37" si="0">IF(E15=0,"",M15/E15*100)</f>
        <v/>
      </c>
      <c r="L15" s="2800"/>
      <c r="M15" s="1451">
        <f>M44</f>
        <v>0</v>
      </c>
      <c r="N15" s="1300"/>
      <c r="O15" s="1299"/>
      <c r="P15" s="1299"/>
      <c r="Q15" s="1299"/>
      <c r="R15" s="287"/>
      <c r="S15" s="280"/>
      <c r="T15" s="280"/>
      <c r="U15" s="280"/>
      <c r="V15" s="280"/>
      <c r="W15" s="280"/>
      <c r="X15" s="280"/>
      <c r="Y15" s="280"/>
      <c r="Z15" s="284"/>
      <c r="AA15" s="284"/>
      <c r="AB15" s="284"/>
      <c r="AC15" s="284"/>
      <c r="AD15" s="284"/>
      <c r="AE15" s="284"/>
      <c r="AF15" s="447"/>
      <c r="AG15" s="447"/>
      <c r="AH15" s="447"/>
      <c r="AI15" s="382"/>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row>
    <row r="16" spans="1:73" s="88" customFormat="1" ht="12.1" customHeight="1" x14ac:dyDescent="0.2">
      <c r="A16" s="1013" t="str">
        <f>A59</f>
        <v>2. Wärmequelle Technisch</v>
      </c>
      <c r="B16" s="2801">
        <f>B59</f>
        <v>0</v>
      </c>
      <c r="C16" s="2802"/>
      <c r="D16" s="2803"/>
      <c r="E16" s="2751">
        <f>E59</f>
        <v>0</v>
      </c>
      <c r="F16" s="2752"/>
      <c r="G16" s="2753"/>
      <c r="H16" s="2754"/>
      <c r="I16" s="2755"/>
      <c r="J16" s="1414">
        <f>J59</f>
        <v>0</v>
      </c>
      <c r="K16" s="2762" t="str">
        <f t="shared" si="0"/>
        <v/>
      </c>
      <c r="L16" s="2763"/>
      <c r="M16" s="1452">
        <f>M59</f>
        <v>0</v>
      </c>
      <c r="N16" s="1300"/>
      <c r="O16" s="1299"/>
      <c r="P16" s="1299"/>
      <c r="Q16" s="1299"/>
      <c r="R16" s="287"/>
      <c r="S16" s="280"/>
      <c r="T16" s="280"/>
      <c r="U16" s="280"/>
      <c r="V16" s="280"/>
      <c r="W16" s="280"/>
      <c r="X16" s="280"/>
      <c r="Y16" s="280"/>
      <c r="Z16" s="284"/>
      <c r="AA16" s="284"/>
      <c r="AB16" s="284"/>
      <c r="AC16" s="284"/>
      <c r="AD16" s="284"/>
      <c r="AE16" s="284"/>
      <c r="AF16" s="447"/>
      <c r="AG16" s="447"/>
      <c r="AH16" s="447"/>
      <c r="AI16" s="382"/>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row>
    <row r="17" spans="1:67" s="88" customFormat="1" ht="12.1" customHeight="1" x14ac:dyDescent="0.2">
      <c r="A17" s="1013" t="str">
        <f>A74</f>
        <v>3. Energiezulieferung</v>
      </c>
      <c r="B17" s="2801">
        <f>B74</f>
        <v>0</v>
      </c>
      <c r="C17" s="2802"/>
      <c r="D17" s="2803"/>
      <c r="E17" s="2751">
        <f>E74</f>
        <v>0</v>
      </c>
      <c r="F17" s="2752"/>
      <c r="G17" s="2753"/>
      <c r="H17" s="2754"/>
      <c r="I17" s="2755"/>
      <c r="J17" s="1414">
        <f>J74</f>
        <v>0</v>
      </c>
      <c r="K17" s="2762" t="str">
        <f t="shared" si="0"/>
        <v/>
      </c>
      <c r="L17" s="2763"/>
      <c r="M17" s="1452">
        <f>M74</f>
        <v>0</v>
      </c>
      <c r="N17" s="1300"/>
      <c r="O17" s="1299"/>
      <c r="P17" s="1299"/>
      <c r="Q17" s="1299"/>
      <c r="R17" s="287"/>
      <c r="S17" s="280"/>
      <c r="T17" s="280"/>
      <c r="U17" s="280"/>
      <c r="V17" s="280"/>
      <c r="W17" s="280"/>
      <c r="X17" s="280"/>
      <c r="Y17" s="280"/>
      <c r="Z17" s="284"/>
      <c r="AA17" s="284"/>
      <c r="AB17" s="284"/>
      <c r="AC17" s="284"/>
      <c r="AD17" s="284"/>
      <c r="AE17" s="284"/>
      <c r="AF17" s="447"/>
      <c r="AG17" s="447"/>
      <c r="AH17" s="447"/>
      <c r="AI17" s="382"/>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row>
    <row r="18" spans="1:67" s="88" customFormat="1" ht="12.1" customHeight="1" x14ac:dyDescent="0.2">
      <c r="A18" s="1013" t="str">
        <f>A89</f>
        <v>4. Wärme- / Kälteerzeugung</v>
      </c>
      <c r="B18" s="2801">
        <f>B89</f>
        <v>0</v>
      </c>
      <c r="C18" s="2802"/>
      <c r="D18" s="2803"/>
      <c r="E18" s="2751">
        <f>E89</f>
        <v>0</v>
      </c>
      <c r="F18" s="2752"/>
      <c r="G18" s="2753"/>
      <c r="H18" s="2754"/>
      <c r="I18" s="2755"/>
      <c r="J18" s="1414">
        <f>J89</f>
        <v>0</v>
      </c>
      <c r="K18" s="2762" t="str">
        <f t="shared" si="0"/>
        <v/>
      </c>
      <c r="L18" s="2763"/>
      <c r="M18" s="1452">
        <f>M89</f>
        <v>0</v>
      </c>
      <c r="N18" s="1300"/>
      <c r="O18" s="1299"/>
      <c r="P18" s="1299"/>
      <c r="Q18" s="1299"/>
      <c r="R18" s="287"/>
      <c r="S18" s="280"/>
      <c r="T18" s="280"/>
      <c r="U18" s="280"/>
      <c r="V18" s="280"/>
      <c r="W18" s="280"/>
      <c r="X18" s="280"/>
      <c r="Y18" s="280"/>
      <c r="Z18" s="284"/>
      <c r="AA18" s="284"/>
      <c r="AB18" s="284"/>
      <c r="AC18" s="284"/>
      <c r="AD18" s="284"/>
      <c r="AE18" s="284"/>
      <c r="AF18" s="447"/>
      <c r="AG18" s="447"/>
      <c r="AH18" s="447"/>
      <c r="AI18" s="382"/>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row>
    <row r="19" spans="1:67" s="88" customFormat="1" ht="12.1" customHeight="1" x14ac:dyDescent="0.2">
      <c r="A19" s="1013" t="str">
        <f>A106</f>
        <v>5. Kaminanlage</v>
      </c>
      <c r="B19" s="2801">
        <f>B106</f>
        <v>0</v>
      </c>
      <c r="C19" s="2802"/>
      <c r="D19" s="2803"/>
      <c r="E19" s="2751">
        <f>E106</f>
        <v>0</v>
      </c>
      <c r="F19" s="2752"/>
      <c r="G19" s="2753"/>
      <c r="H19" s="2754"/>
      <c r="I19" s="2755"/>
      <c r="J19" s="1414">
        <f>J106</f>
        <v>0</v>
      </c>
      <c r="K19" s="2762" t="str">
        <f t="shared" si="0"/>
        <v/>
      </c>
      <c r="L19" s="2763"/>
      <c r="M19" s="1452">
        <f>M106</f>
        <v>0</v>
      </c>
      <c r="N19" s="1300"/>
      <c r="O19" s="1299"/>
      <c r="P19" s="1299"/>
      <c r="Q19" s="1299"/>
      <c r="R19" s="287"/>
      <c r="S19" s="280"/>
      <c r="T19" s="280"/>
      <c r="U19" s="280"/>
      <c r="V19" s="280"/>
      <c r="W19" s="280"/>
      <c r="X19" s="280"/>
      <c r="Y19" s="280"/>
      <c r="Z19" s="284"/>
      <c r="AA19" s="284"/>
      <c r="AB19" s="284"/>
      <c r="AC19" s="284"/>
      <c r="AD19" s="284"/>
      <c r="AE19" s="284"/>
      <c r="AF19" s="447"/>
      <c r="AG19" s="447"/>
      <c r="AH19" s="447"/>
      <c r="AI19" s="382"/>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row>
    <row r="20" spans="1:67" s="88" customFormat="1" ht="12.1" customHeight="1" x14ac:dyDescent="0.2">
      <c r="A20" s="1013" t="str">
        <f>A121</f>
        <v>6. Wärmeverteilung</v>
      </c>
      <c r="B20" s="2801">
        <f>B121</f>
        <v>0</v>
      </c>
      <c r="C20" s="2802"/>
      <c r="D20" s="2803"/>
      <c r="E20" s="2751">
        <f>E121</f>
        <v>0</v>
      </c>
      <c r="F20" s="2752"/>
      <c r="G20" s="2753"/>
      <c r="H20" s="2754"/>
      <c r="I20" s="2755"/>
      <c r="J20" s="1414">
        <f>J121</f>
        <v>0</v>
      </c>
      <c r="K20" s="2762" t="str">
        <f t="shared" si="0"/>
        <v/>
      </c>
      <c r="L20" s="2763"/>
      <c r="M20" s="1452">
        <f>M121</f>
        <v>0</v>
      </c>
      <c r="N20" s="1300"/>
      <c r="O20" s="1299"/>
      <c r="P20" s="1299"/>
      <c r="Q20" s="1299"/>
      <c r="R20" s="287"/>
      <c r="S20" s="280"/>
      <c r="T20" s="280"/>
      <c r="U20" s="280"/>
      <c r="V20" s="280"/>
      <c r="W20" s="280"/>
      <c r="X20" s="280"/>
      <c r="Y20" s="280"/>
      <c r="Z20" s="284"/>
      <c r="AA20" s="284"/>
      <c r="AB20" s="284"/>
      <c r="AC20" s="284"/>
      <c r="AD20" s="284"/>
      <c r="AE20" s="284"/>
      <c r="AF20" s="447"/>
      <c r="AG20" s="447"/>
      <c r="AH20" s="447"/>
      <c r="AI20" s="382"/>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row>
    <row r="21" spans="1:67" s="88" customFormat="1" ht="12.1" customHeight="1" x14ac:dyDescent="0.2">
      <c r="A21" s="1013" t="str">
        <f>A136</f>
        <v>7. Wärme- / Kälteabgabe</v>
      </c>
      <c r="B21" s="2801">
        <f>B136</f>
        <v>0</v>
      </c>
      <c r="C21" s="2802"/>
      <c r="D21" s="2803"/>
      <c r="E21" s="2751">
        <f>E136</f>
        <v>0</v>
      </c>
      <c r="F21" s="2752"/>
      <c r="G21" s="2753"/>
      <c r="H21" s="2754"/>
      <c r="I21" s="2755"/>
      <c r="J21" s="1414">
        <f>J136</f>
        <v>0</v>
      </c>
      <c r="K21" s="2762" t="str">
        <f t="shared" si="0"/>
        <v/>
      </c>
      <c r="L21" s="2763"/>
      <c r="M21" s="1452">
        <f>M136</f>
        <v>0</v>
      </c>
      <c r="N21" s="1300"/>
      <c r="O21" s="1299"/>
      <c r="P21" s="1299"/>
      <c r="Q21" s="1299"/>
      <c r="R21" s="287"/>
      <c r="S21" s="280"/>
      <c r="T21" s="280"/>
      <c r="U21" s="280"/>
      <c r="V21" s="280"/>
      <c r="W21" s="280"/>
      <c r="X21" s="280"/>
      <c r="Y21" s="280"/>
      <c r="Z21" s="284"/>
      <c r="AA21" s="284"/>
      <c r="AB21" s="284"/>
      <c r="AC21" s="284"/>
      <c r="AD21" s="284"/>
      <c r="AE21" s="284"/>
      <c r="AF21" s="447"/>
      <c r="AG21" s="447"/>
      <c r="AH21" s="447"/>
      <c r="AI21" s="382"/>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row>
    <row r="22" spans="1:67" s="88" customFormat="1" ht="12.1" customHeight="1" x14ac:dyDescent="0.2">
      <c r="A22" s="1013" t="str">
        <f>A151</f>
        <v>8. Sicherheit</v>
      </c>
      <c r="B22" s="2801">
        <f>B151</f>
        <v>0</v>
      </c>
      <c r="C22" s="2802"/>
      <c r="D22" s="2803"/>
      <c r="E22" s="2751">
        <f>E151</f>
        <v>0</v>
      </c>
      <c r="F22" s="2752"/>
      <c r="G22" s="2753"/>
      <c r="H22" s="2754"/>
      <c r="I22" s="2755"/>
      <c r="J22" s="1414">
        <f>J151</f>
        <v>0</v>
      </c>
      <c r="K22" s="2762" t="str">
        <f t="shared" si="0"/>
        <v/>
      </c>
      <c r="L22" s="2763"/>
      <c r="M22" s="1452">
        <f>M151</f>
        <v>0</v>
      </c>
      <c r="N22" s="1300"/>
      <c r="O22" s="1299"/>
      <c r="P22" s="1299"/>
      <c r="Q22" s="1299"/>
      <c r="R22" s="287"/>
      <c r="S22" s="280"/>
      <c r="T22" s="280"/>
      <c r="U22" s="280"/>
      <c r="V22" s="280"/>
      <c r="W22" s="280"/>
      <c r="X22" s="280"/>
      <c r="Y22" s="280"/>
      <c r="Z22" s="284"/>
      <c r="AA22" s="284"/>
      <c r="AB22" s="284"/>
      <c r="AC22" s="284"/>
      <c r="AD22" s="284"/>
      <c r="AE22" s="284"/>
      <c r="AF22" s="447"/>
      <c r="AG22" s="447"/>
      <c r="AH22" s="447"/>
      <c r="AI22" s="382"/>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row>
    <row r="23" spans="1:67" s="88" customFormat="1" ht="12.1" customHeight="1" x14ac:dyDescent="0.2">
      <c r="A23" s="1013" t="str">
        <f>A166</f>
        <v>9. Sanitär</v>
      </c>
      <c r="B23" s="2801">
        <f>B166</f>
        <v>0</v>
      </c>
      <c r="C23" s="2802"/>
      <c r="D23" s="2803"/>
      <c r="E23" s="2751">
        <f>E166</f>
        <v>0</v>
      </c>
      <c r="F23" s="2752"/>
      <c r="G23" s="2753"/>
      <c r="H23" s="2754"/>
      <c r="I23" s="2755"/>
      <c r="J23" s="1414">
        <f>J166</f>
        <v>0</v>
      </c>
      <c r="K23" s="2762" t="str">
        <f t="shared" si="0"/>
        <v/>
      </c>
      <c r="L23" s="2763"/>
      <c r="M23" s="1452">
        <f>M166</f>
        <v>0</v>
      </c>
      <c r="N23" s="1300"/>
      <c r="O23" s="1299"/>
      <c r="P23" s="1299"/>
      <c r="Q23" s="1299"/>
      <c r="R23" s="287"/>
      <c r="S23" s="280"/>
      <c r="T23" s="280"/>
      <c r="U23" s="280"/>
      <c r="V23" s="280"/>
      <c r="W23" s="280"/>
      <c r="X23" s="280"/>
      <c r="Y23" s="280"/>
      <c r="Z23" s="284"/>
      <c r="AA23" s="284"/>
      <c r="AB23" s="284"/>
      <c r="AC23" s="284"/>
      <c r="AD23" s="284"/>
      <c r="AE23" s="284"/>
      <c r="AF23" s="447"/>
      <c r="AG23" s="447"/>
      <c r="AH23" s="447"/>
      <c r="AI23" s="382"/>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row>
    <row r="24" spans="1:67" s="88" customFormat="1" ht="12.1" customHeight="1" x14ac:dyDescent="0.2">
      <c r="A24" s="1013" t="str">
        <f>A181</f>
        <v>10. Lüftung</v>
      </c>
      <c r="B24" s="2801">
        <f>B181</f>
        <v>0</v>
      </c>
      <c r="C24" s="2802"/>
      <c r="D24" s="2803"/>
      <c r="E24" s="2751">
        <f>E181</f>
        <v>0</v>
      </c>
      <c r="F24" s="2752"/>
      <c r="G24" s="2753"/>
      <c r="H24" s="2754"/>
      <c r="I24" s="2755"/>
      <c r="J24" s="1414">
        <f>J181</f>
        <v>0</v>
      </c>
      <c r="K24" s="2762" t="str">
        <f t="shared" si="0"/>
        <v/>
      </c>
      <c r="L24" s="2763"/>
      <c r="M24" s="1452">
        <f>M181</f>
        <v>0</v>
      </c>
      <c r="N24" s="1300"/>
      <c r="O24" s="1299"/>
      <c r="P24" s="1299"/>
      <c r="Q24" s="1299"/>
      <c r="R24" s="287"/>
      <c r="S24" s="280"/>
      <c r="T24" s="280"/>
      <c r="U24" s="280"/>
      <c r="V24" s="280"/>
      <c r="W24" s="280"/>
      <c r="X24" s="280"/>
      <c r="Y24" s="280"/>
      <c r="Z24" s="284"/>
      <c r="AA24" s="284"/>
      <c r="AB24" s="284"/>
      <c r="AC24" s="284"/>
      <c r="AD24" s="284"/>
      <c r="AE24" s="284"/>
      <c r="AF24" s="447"/>
      <c r="AG24" s="447"/>
      <c r="AH24" s="447"/>
      <c r="AI24" s="382"/>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row>
    <row r="25" spans="1:67" s="88" customFormat="1" ht="12.1" customHeight="1" x14ac:dyDescent="0.2">
      <c r="A25" s="1013" t="str">
        <f>A196</f>
        <v>11. Metallbauarbeiten</v>
      </c>
      <c r="B25" s="2801">
        <f>B196</f>
        <v>0</v>
      </c>
      <c r="C25" s="2802"/>
      <c r="D25" s="2803"/>
      <c r="E25" s="2751">
        <f>E196</f>
        <v>0</v>
      </c>
      <c r="F25" s="2752"/>
      <c r="G25" s="2753"/>
      <c r="H25" s="2754"/>
      <c r="I25" s="2755"/>
      <c r="J25" s="1414">
        <f>J196</f>
        <v>0</v>
      </c>
      <c r="K25" s="2762" t="str">
        <f t="shared" si="0"/>
        <v/>
      </c>
      <c r="L25" s="2763"/>
      <c r="M25" s="1452">
        <f>M196</f>
        <v>0</v>
      </c>
      <c r="N25" s="1300"/>
      <c r="O25" s="1299"/>
      <c r="P25" s="1299"/>
      <c r="Q25" s="1299"/>
      <c r="R25" s="287"/>
      <c r="S25" s="280"/>
      <c r="T25" s="280"/>
      <c r="U25" s="280"/>
      <c r="V25" s="280"/>
      <c r="W25" s="280"/>
      <c r="X25" s="280"/>
      <c r="Y25" s="280"/>
      <c r="Z25" s="284"/>
      <c r="AA25" s="284"/>
      <c r="AB25" s="284"/>
      <c r="AC25" s="284"/>
      <c r="AD25" s="284"/>
      <c r="AE25" s="284"/>
      <c r="AF25" s="447"/>
      <c r="AG25" s="447"/>
      <c r="AH25" s="447"/>
      <c r="AI25" s="382"/>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row>
    <row r="26" spans="1:67" s="88" customFormat="1" ht="12.1" customHeight="1" x14ac:dyDescent="0.2">
      <c r="A26" s="1013" t="str">
        <f>A211</f>
        <v>12. Bauliches Zentrale</v>
      </c>
      <c r="B26" s="2801">
        <f>B211</f>
        <v>0</v>
      </c>
      <c r="C26" s="2802"/>
      <c r="D26" s="2803"/>
      <c r="E26" s="2751">
        <f>E211</f>
        <v>0</v>
      </c>
      <c r="F26" s="2752"/>
      <c r="G26" s="2753"/>
      <c r="H26" s="2754"/>
      <c r="I26" s="2755"/>
      <c r="J26" s="1414">
        <f>J211</f>
        <v>0</v>
      </c>
      <c r="K26" s="2762" t="str">
        <f t="shared" si="0"/>
        <v/>
      </c>
      <c r="L26" s="2763"/>
      <c r="M26" s="1452">
        <f>M211</f>
        <v>0</v>
      </c>
      <c r="N26" s="1300"/>
      <c r="O26" s="1299"/>
      <c r="P26" s="1299"/>
      <c r="Q26" s="1299"/>
      <c r="R26" s="287"/>
      <c r="S26" s="280"/>
      <c r="T26" s="280"/>
      <c r="U26" s="280"/>
      <c r="V26" s="280"/>
      <c r="W26" s="280"/>
      <c r="X26" s="280"/>
      <c r="Y26" s="280"/>
      <c r="Z26" s="284"/>
      <c r="AA26" s="284"/>
      <c r="AB26" s="284"/>
      <c r="AC26" s="284"/>
      <c r="AD26" s="284"/>
      <c r="AE26" s="284"/>
      <c r="AF26" s="447"/>
      <c r="AG26" s="447"/>
      <c r="AH26" s="447"/>
      <c r="AI26" s="382"/>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row>
    <row r="27" spans="1:67" s="88" customFormat="1" ht="12.1" customHeight="1" x14ac:dyDescent="0.2">
      <c r="A27" s="1013" t="str">
        <f>A226</f>
        <v>13. Wärmeverbund Baumeister</v>
      </c>
      <c r="B27" s="2801">
        <f>B226</f>
        <v>0</v>
      </c>
      <c r="C27" s="2802"/>
      <c r="D27" s="2803"/>
      <c r="E27" s="2751">
        <f>E226</f>
        <v>0</v>
      </c>
      <c r="F27" s="2752"/>
      <c r="G27" s="2753"/>
      <c r="H27" s="2754"/>
      <c r="I27" s="2755"/>
      <c r="J27" s="1414">
        <f>J226</f>
        <v>0</v>
      </c>
      <c r="K27" s="2762" t="str">
        <f t="shared" si="0"/>
        <v/>
      </c>
      <c r="L27" s="2763"/>
      <c r="M27" s="1452">
        <f>M226</f>
        <v>0</v>
      </c>
      <c r="N27" s="1300"/>
      <c r="O27" s="1299"/>
      <c r="P27" s="1299"/>
      <c r="Q27" s="1299"/>
      <c r="R27" s="287"/>
      <c r="S27" s="280"/>
      <c r="T27" s="280"/>
      <c r="U27" s="280"/>
      <c r="V27" s="280"/>
      <c r="W27" s="280"/>
      <c r="X27" s="280"/>
      <c r="Y27" s="280"/>
      <c r="Z27" s="284"/>
      <c r="AA27" s="284"/>
      <c r="AB27" s="284"/>
      <c r="AC27" s="284"/>
      <c r="AD27" s="284"/>
      <c r="AE27" s="284"/>
      <c r="AF27" s="447"/>
      <c r="AG27" s="447"/>
      <c r="AH27" s="447"/>
      <c r="AI27" s="382"/>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row>
    <row r="28" spans="1:67" s="88" customFormat="1" ht="12.1" customHeight="1" x14ac:dyDescent="0.2">
      <c r="A28" s="1013" t="str">
        <f>A241</f>
        <v>14. Wärmeverbund Leitungen</v>
      </c>
      <c r="B28" s="2801">
        <f>B241</f>
        <v>0</v>
      </c>
      <c r="C28" s="2802"/>
      <c r="D28" s="2803"/>
      <c r="E28" s="2751">
        <f>E241</f>
        <v>0</v>
      </c>
      <c r="F28" s="2752"/>
      <c r="G28" s="2753"/>
      <c r="H28" s="2754"/>
      <c r="I28" s="2755"/>
      <c r="J28" s="1414">
        <f>J241</f>
        <v>0</v>
      </c>
      <c r="K28" s="2762" t="str">
        <f t="shared" si="0"/>
        <v/>
      </c>
      <c r="L28" s="2763"/>
      <c r="M28" s="1452">
        <f>M241</f>
        <v>0</v>
      </c>
      <c r="N28" s="1300"/>
      <c r="O28" s="1299"/>
      <c r="P28" s="1299"/>
      <c r="Q28" s="1299"/>
      <c r="R28" s="287"/>
      <c r="S28" s="280"/>
      <c r="T28" s="280"/>
      <c r="U28" s="280"/>
      <c r="V28" s="280"/>
      <c r="W28" s="280"/>
      <c r="X28" s="280"/>
      <c r="Y28" s="280"/>
      <c r="Z28" s="284"/>
      <c r="AA28" s="284"/>
      <c r="AB28" s="284"/>
      <c r="AC28" s="284"/>
      <c r="AD28" s="284"/>
      <c r="AE28" s="284"/>
      <c r="AF28" s="447"/>
      <c r="AG28" s="447"/>
      <c r="AH28" s="447"/>
      <c r="AI28" s="382"/>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row>
    <row r="29" spans="1:67" s="88" customFormat="1" ht="12.1" customHeight="1" x14ac:dyDescent="0.2">
      <c r="A29" s="1013" t="str">
        <f>A256</f>
        <v>15. MSRL</v>
      </c>
      <c r="B29" s="2801">
        <f>B256</f>
        <v>0</v>
      </c>
      <c r="C29" s="2802"/>
      <c r="D29" s="2803"/>
      <c r="E29" s="2751">
        <f>E256</f>
        <v>0</v>
      </c>
      <c r="F29" s="2752"/>
      <c r="G29" s="2753"/>
      <c r="H29" s="2754"/>
      <c r="I29" s="2755"/>
      <c r="J29" s="1414">
        <f>J256</f>
        <v>0</v>
      </c>
      <c r="K29" s="2762" t="str">
        <f t="shared" si="0"/>
        <v/>
      </c>
      <c r="L29" s="2763"/>
      <c r="M29" s="1452">
        <f>M256</f>
        <v>0</v>
      </c>
      <c r="N29" s="1300"/>
      <c r="O29" s="1299"/>
      <c r="P29" s="1299"/>
      <c r="Q29" s="1299"/>
      <c r="R29" s="287"/>
      <c r="S29" s="280"/>
      <c r="T29" s="280"/>
      <c r="U29" s="280"/>
      <c r="V29" s="280"/>
      <c r="W29" s="280"/>
      <c r="X29" s="280"/>
      <c r="Y29" s="280"/>
      <c r="Z29" s="284"/>
      <c r="AA29" s="284"/>
      <c r="AB29" s="284"/>
      <c r="AC29" s="284"/>
      <c r="AD29" s="284"/>
      <c r="AE29" s="284"/>
      <c r="AF29" s="447"/>
      <c r="AG29" s="447"/>
      <c r="AH29" s="447"/>
      <c r="AI29" s="382"/>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row>
    <row r="30" spans="1:67" s="88" customFormat="1" ht="12.1" customHeight="1" x14ac:dyDescent="0.2">
      <c r="A30" s="1013" t="str">
        <f>A271</f>
        <v>16. Elektro</v>
      </c>
      <c r="B30" s="2801">
        <f>B271</f>
        <v>0</v>
      </c>
      <c r="C30" s="2802"/>
      <c r="D30" s="2803"/>
      <c r="E30" s="2751">
        <f>E271</f>
        <v>0</v>
      </c>
      <c r="F30" s="2752"/>
      <c r="G30" s="2753"/>
      <c r="H30" s="2754"/>
      <c r="I30" s="2755"/>
      <c r="J30" s="1414">
        <f>J271</f>
        <v>0</v>
      </c>
      <c r="K30" s="2762" t="str">
        <f t="shared" si="0"/>
        <v/>
      </c>
      <c r="L30" s="2763"/>
      <c r="M30" s="1452">
        <f>M271</f>
        <v>0</v>
      </c>
      <c r="N30" s="1300"/>
      <c r="O30" s="1299"/>
      <c r="P30" s="1299"/>
      <c r="Q30" s="1299"/>
      <c r="R30" s="287"/>
      <c r="S30" s="280"/>
      <c r="T30" s="280"/>
      <c r="U30" s="280"/>
      <c r="V30" s="280"/>
      <c r="W30" s="280"/>
      <c r="X30" s="280"/>
      <c r="Y30" s="280"/>
      <c r="Z30" s="284"/>
      <c r="AA30" s="284"/>
      <c r="AB30" s="284"/>
      <c r="AC30" s="284"/>
      <c r="AD30" s="284"/>
      <c r="AE30" s="284"/>
      <c r="AF30" s="447"/>
      <c r="AG30" s="447"/>
      <c r="AH30" s="447"/>
      <c r="AI30" s="382"/>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row>
    <row r="31" spans="1:67" s="88" customFormat="1" ht="12.1" customHeight="1" x14ac:dyDescent="0.2">
      <c r="A31" s="1013" t="str">
        <f>+A286</f>
        <v>17. Baumeister</v>
      </c>
      <c r="B31" s="2801">
        <f>+B286</f>
        <v>0</v>
      </c>
      <c r="C31" s="2802"/>
      <c r="D31" s="2803"/>
      <c r="E31" s="2751">
        <f>+E286</f>
        <v>0</v>
      </c>
      <c r="F31" s="2752"/>
      <c r="G31" s="2753"/>
      <c r="H31" s="2754"/>
      <c r="I31" s="2755"/>
      <c r="J31" s="1414">
        <f>+J286</f>
        <v>0</v>
      </c>
      <c r="K31" s="2762" t="str">
        <f t="shared" si="0"/>
        <v/>
      </c>
      <c r="L31" s="2763"/>
      <c r="M31" s="1452">
        <f>+M286</f>
        <v>0</v>
      </c>
      <c r="N31" s="1300"/>
      <c r="O31" s="1299"/>
      <c r="P31" s="1299"/>
      <c r="Q31" s="1299"/>
      <c r="R31" s="287"/>
      <c r="S31" s="280"/>
      <c r="T31" s="280"/>
      <c r="U31" s="280"/>
      <c r="V31" s="280"/>
      <c r="W31" s="280"/>
      <c r="X31" s="280"/>
      <c r="Y31" s="280"/>
      <c r="Z31" s="284"/>
      <c r="AA31" s="284"/>
      <c r="AB31" s="284"/>
      <c r="AC31" s="284"/>
      <c r="AD31" s="284"/>
      <c r="AE31" s="284"/>
      <c r="AF31" s="447"/>
      <c r="AG31" s="447"/>
      <c r="AH31" s="447"/>
      <c r="AI31" s="382"/>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row>
    <row r="32" spans="1:67" s="88" customFormat="1" ht="12.1" customHeight="1" x14ac:dyDescent="0.2">
      <c r="A32" s="1013" t="str">
        <f>A301</f>
        <v>18. Weiteres (ohne Baumeister)</v>
      </c>
      <c r="B32" s="2801">
        <f>B301</f>
        <v>0</v>
      </c>
      <c r="C32" s="2802"/>
      <c r="D32" s="2803"/>
      <c r="E32" s="2751">
        <f>E301</f>
        <v>0</v>
      </c>
      <c r="F32" s="2752"/>
      <c r="G32" s="2753"/>
      <c r="H32" s="2754"/>
      <c r="I32" s="2755"/>
      <c r="J32" s="1414">
        <f>J301</f>
        <v>0</v>
      </c>
      <c r="K32" s="2762" t="str">
        <f t="shared" si="0"/>
        <v/>
      </c>
      <c r="L32" s="2763"/>
      <c r="M32" s="1452">
        <f>M301</f>
        <v>0</v>
      </c>
      <c r="N32" s="1300"/>
      <c r="O32" s="1299"/>
      <c r="P32" s="1299"/>
      <c r="Q32" s="1299"/>
      <c r="R32" s="287"/>
      <c r="S32" s="280"/>
      <c r="T32" s="280"/>
      <c r="U32" s="280"/>
      <c r="V32" s="280"/>
      <c r="W32" s="280"/>
      <c r="X32" s="280"/>
      <c r="Y32" s="280"/>
      <c r="Z32" s="284"/>
      <c r="AA32" s="284"/>
      <c r="AB32" s="284"/>
      <c r="AC32" s="284"/>
      <c r="AD32" s="284"/>
      <c r="AE32" s="284"/>
      <c r="AF32" s="447"/>
      <c r="AG32" s="447"/>
      <c r="AH32" s="447"/>
      <c r="AI32" s="382"/>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row>
    <row r="33" spans="1:68" s="88" customFormat="1" ht="12.1" customHeight="1" x14ac:dyDescent="0.2">
      <c r="A33" s="1013" t="str">
        <f>A316</f>
        <v>19. Baunebenkosten</v>
      </c>
      <c r="B33" s="2801">
        <f>B316</f>
        <v>0</v>
      </c>
      <c r="C33" s="2802"/>
      <c r="D33" s="2803"/>
      <c r="E33" s="2751">
        <f>E316</f>
        <v>0</v>
      </c>
      <c r="F33" s="2752"/>
      <c r="G33" s="2753"/>
      <c r="H33" s="2754"/>
      <c r="I33" s="2755"/>
      <c r="J33" s="1414">
        <f>J316</f>
        <v>0</v>
      </c>
      <c r="K33" s="2762" t="str">
        <f t="shared" si="0"/>
        <v/>
      </c>
      <c r="L33" s="2763"/>
      <c r="M33" s="1452">
        <f>M316</f>
        <v>0</v>
      </c>
      <c r="N33" s="1300"/>
      <c r="O33" s="1299"/>
      <c r="P33" s="1299"/>
      <c r="Q33" s="1299"/>
      <c r="R33" s="287"/>
      <c r="S33" s="280"/>
      <c r="T33" s="280"/>
      <c r="U33" s="280"/>
      <c r="V33" s="280"/>
      <c r="W33" s="280"/>
      <c r="X33" s="280"/>
      <c r="Y33" s="280"/>
      <c r="Z33" s="284"/>
      <c r="AA33" s="284"/>
      <c r="AB33" s="284"/>
      <c r="AC33" s="284"/>
      <c r="AD33" s="284"/>
      <c r="AE33" s="284"/>
      <c r="AF33" s="447"/>
      <c r="AG33" s="447"/>
      <c r="AH33" s="447"/>
      <c r="AI33" s="382"/>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row>
    <row r="34" spans="1:68" s="88" customFormat="1" ht="12.1" customHeight="1" x14ac:dyDescent="0.2">
      <c r="A34" s="1013" t="str">
        <f>A331</f>
        <v>20. Unvorhergesehenes</v>
      </c>
      <c r="B34" s="2801">
        <f>B331</f>
        <v>0</v>
      </c>
      <c r="C34" s="2802"/>
      <c r="D34" s="2803"/>
      <c r="E34" s="2751">
        <f>E331</f>
        <v>0</v>
      </c>
      <c r="F34" s="2752"/>
      <c r="G34" s="2753"/>
      <c r="H34" s="2754"/>
      <c r="I34" s="2755"/>
      <c r="J34" s="1414">
        <f>J331</f>
        <v>0</v>
      </c>
      <c r="K34" s="2762" t="str">
        <f t="shared" si="0"/>
        <v/>
      </c>
      <c r="L34" s="2763"/>
      <c r="M34" s="1452">
        <f>M331</f>
        <v>0</v>
      </c>
      <c r="N34" s="1300"/>
      <c r="O34" s="1299"/>
      <c r="P34" s="1299"/>
      <c r="Q34" s="1299"/>
      <c r="R34" s="287"/>
      <c r="S34" s="280"/>
      <c r="T34" s="280"/>
      <c r="U34" s="280"/>
      <c r="V34" s="280"/>
      <c r="W34" s="280"/>
      <c r="X34" s="280"/>
      <c r="Y34" s="280"/>
      <c r="Z34" s="284"/>
      <c r="AA34" s="284"/>
      <c r="AB34" s="284"/>
      <c r="AC34" s="284"/>
      <c r="AD34" s="284"/>
      <c r="AE34" s="284"/>
      <c r="AF34" s="447"/>
      <c r="AG34" s="447"/>
      <c r="AH34" s="447"/>
      <c r="AI34" s="382"/>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row>
    <row r="35" spans="1:68" s="88" customFormat="1" ht="12.1" customHeight="1" x14ac:dyDescent="0.2">
      <c r="A35" s="1013" t="str">
        <f>A347</f>
        <v>21. Honorare / Nebenkosten</v>
      </c>
      <c r="B35" s="2801">
        <f>B347</f>
        <v>0</v>
      </c>
      <c r="C35" s="2802"/>
      <c r="D35" s="2803"/>
      <c r="E35" s="2751">
        <f>E347</f>
        <v>0</v>
      </c>
      <c r="F35" s="2752"/>
      <c r="G35" s="2753"/>
      <c r="H35" s="2754"/>
      <c r="I35" s="2755"/>
      <c r="J35" s="1414">
        <f>J347</f>
        <v>0</v>
      </c>
      <c r="K35" s="2762" t="str">
        <f t="shared" si="0"/>
        <v/>
      </c>
      <c r="L35" s="2763"/>
      <c r="M35" s="1452">
        <f>M347</f>
        <v>0</v>
      </c>
      <c r="N35" s="1300"/>
      <c r="O35" s="1299"/>
      <c r="P35" s="1299"/>
      <c r="Q35" s="1299"/>
      <c r="R35" s="287"/>
      <c r="S35" s="280"/>
      <c r="T35" s="280"/>
      <c r="U35" s="280"/>
      <c r="V35" s="280"/>
      <c r="W35" s="280"/>
      <c r="X35" s="280"/>
      <c r="Y35" s="280"/>
      <c r="Z35" s="284"/>
      <c r="AA35" s="284"/>
      <c r="AB35" s="284"/>
      <c r="AC35" s="284"/>
      <c r="AD35" s="284"/>
      <c r="AE35" s="284"/>
      <c r="AF35" s="447"/>
      <c r="AG35" s="447"/>
      <c r="AH35" s="447"/>
      <c r="AI35" s="382"/>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row>
    <row r="36" spans="1:68" s="88" customFormat="1" ht="12.1" customHeight="1" x14ac:dyDescent="0.2">
      <c r="A36" s="1085" t="str">
        <f>A408</f>
        <v>22. Betriebsführung</v>
      </c>
      <c r="B36" s="2804">
        <f>B408</f>
        <v>0</v>
      </c>
      <c r="C36" s="2805"/>
      <c r="D36" s="2806"/>
      <c r="E36" s="2793">
        <f>E408</f>
        <v>0</v>
      </c>
      <c r="F36" s="2794"/>
      <c r="G36" s="2771"/>
      <c r="H36" s="2772"/>
      <c r="I36" s="2773"/>
      <c r="J36" s="1415">
        <f>J408</f>
        <v>0</v>
      </c>
      <c r="K36" s="2797" t="str">
        <f t="shared" si="0"/>
        <v/>
      </c>
      <c r="L36" s="2798"/>
      <c r="M36" s="1453">
        <f>M408</f>
        <v>0</v>
      </c>
      <c r="N36" s="1300"/>
      <c r="O36" s="1299"/>
      <c r="P36" s="1299"/>
      <c r="Q36" s="1299"/>
      <c r="R36" s="287"/>
      <c r="S36" s="280"/>
      <c r="T36" s="280"/>
      <c r="U36" s="280"/>
      <c r="V36" s="280"/>
      <c r="W36" s="280"/>
      <c r="X36" s="280"/>
      <c r="Y36" s="280"/>
      <c r="Z36" s="284"/>
      <c r="AA36" s="284"/>
      <c r="AB36" s="284"/>
      <c r="AC36" s="284"/>
      <c r="AD36" s="284"/>
      <c r="AE36" s="284"/>
      <c r="AF36" s="447"/>
      <c r="AG36" s="447"/>
      <c r="AH36" s="447"/>
      <c r="AI36" s="382"/>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row>
    <row r="37" spans="1:68" s="93" customFormat="1" ht="14.1" customHeight="1" thickBot="1" x14ac:dyDescent="0.3">
      <c r="A37" s="1305" t="s">
        <v>599</v>
      </c>
      <c r="B37" s="1319"/>
      <c r="C37" s="1320"/>
      <c r="D37" s="1321"/>
      <c r="E37" s="2795">
        <f>E414</f>
        <v>0</v>
      </c>
      <c r="F37" s="2796"/>
      <c r="G37" s="2766"/>
      <c r="H37" s="2767"/>
      <c r="I37" s="2768"/>
      <c r="J37" s="1416">
        <f>J414</f>
        <v>0</v>
      </c>
      <c r="K37" s="2769" t="str">
        <f t="shared" si="0"/>
        <v/>
      </c>
      <c r="L37" s="2770"/>
      <c r="M37" s="1454">
        <f>M414</f>
        <v>0</v>
      </c>
      <c r="N37" s="868"/>
      <c r="O37" s="152"/>
      <c r="P37" s="152"/>
      <c r="Q37" s="152"/>
      <c r="R37" s="1316"/>
      <c r="S37" s="281"/>
      <c r="T37" s="281"/>
      <c r="U37" s="281"/>
      <c r="V37" s="281"/>
      <c r="W37" s="281"/>
      <c r="X37" s="281"/>
      <c r="Y37" s="281"/>
      <c r="Z37" s="1317"/>
      <c r="AA37" s="1317"/>
      <c r="AB37" s="1317"/>
      <c r="AC37" s="1317"/>
      <c r="AD37" s="1317"/>
      <c r="AE37" s="1317"/>
      <c r="AF37" s="1318"/>
      <c r="AG37" s="1318"/>
      <c r="AH37" s="1318"/>
    </row>
    <row r="38" spans="1:68" s="104" customFormat="1" ht="10.55" customHeight="1" x14ac:dyDescent="0.3">
      <c r="A38" s="105"/>
      <c r="G38" s="31" t="s">
        <v>12</v>
      </c>
      <c r="H38" s="31"/>
      <c r="I38" s="84"/>
      <c r="J38" s="84"/>
      <c r="K38" s="84"/>
      <c r="L38" s="84"/>
      <c r="M38" s="84"/>
      <c r="N38" s="84"/>
      <c r="O38" s="1299"/>
      <c r="P38" s="1299"/>
      <c r="Q38" s="1299"/>
      <c r="R38" s="281"/>
      <c r="S38" s="272"/>
      <c r="T38" s="271"/>
      <c r="U38" s="271"/>
      <c r="V38" s="271"/>
      <c r="W38" s="271"/>
      <c r="X38" s="271"/>
      <c r="Y38" s="271"/>
      <c r="Z38" s="271"/>
      <c r="AA38" s="270"/>
      <c r="AB38" s="270"/>
      <c r="AC38" s="270"/>
      <c r="AD38" s="270"/>
      <c r="AE38" s="270"/>
      <c r="AF38" s="270"/>
      <c r="AG38" s="380"/>
      <c r="AH38" s="380"/>
      <c r="AI38" s="380"/>
      <c r="AJ38" s="381"/>
      <c r="AK38" s="381"/>
      <c r="AL38" s="381"/>
      <c r="AM38" s="381"/>
      <c r="AN38" s="381"/>
      <c r="AO38" s="381"/>
      <c r="AP38" s="381"/>
      <c r="AQ38" s="381"/>
      <c r="AR38" s="381"/>
      <c r="AS38" s="381"/>
      <c r="AT38" s="381"/>
      <c r="AU38" s="381"/>
      <c r="AV38" s="381"/>
      <c r="AW38" s="381"/>
      <c r="AX38" s="381"/>
      <c r="AY38" s="381"/>
      <c r="AZ38" s="381"/>
      <c r="BA38" s="381"/>
      <c r="BB38" s="381"/>
      <c r="BC38" s="381"/>
      <c r="BD38" s="381"/>
      <c r="BE38" s="381"/>
      <c r="BF38" s="381"/>
      <c r="BG38" s="381"/>
      <c r="BH38" s="381"/>
      <c r="BI38" s="381"/>
      <c r="BJ38" s="381"/>
      <c r="BK38" s="381"/>
      <c r="BL38" s="381"/>
      <c r="BM38" s="381"/>
      <c r="BN38" s="381"/>
      <c r="BO38" s="381"/>
      <c r="BP38" s="381"/>
    </row>
    <row r="39" spans="1:68" ht="17.350000000000001" customHeight="1" x14ac:dyDescent="0.25">
      <c r="A39" s="1108" t="s">
        <v>736</v>
      </c>
      <c r="H39" s="317"/>
      <c r="I39" s="318"/>
      <c r="J39" s="1124"/>
      <c r="K39" s="103"/>
      <c r="L39" s="103"/>
      <c r="M39" s="103"/>
      <c r="N39" s="103"/>
      <c r="O39" s="103"/>
      <c r="P39" s="282"/>
      <c r="Q39" s="271"/>
      <c r="R39" s="283"/>
      <c r="S39" s="272"/>
      <c r="T39" s="271"/>
      <c r="U39" s="271"/>
      <c r="V39" s="271"/>
      <c r="W39" s="271"/>
      <c r="X39" s="271"/>
      <c r="Y39" s="271"/>
      <c r="Z39" s="271"/>
    </row>
    <row r="40" spans="1:68" ht="2.25" customHeight="1" thickBot="1" x14ac:dyDescent="0.25">
      <c r="N40" s="1111"/>
      <c r="Q40" s="271"/>
      <c r="R40" s="271"/>
      <c r="S40" s="272"/>
      <c r="T40" s="271"/>
      <c r="U40" s="271"/>
      <c r="V40" s="271"/>
      <c r="W40" s="271"/>
      <c r="X40" s="271"/>
      <c r="Y40" s="271"/>
      <c r="Z40" s="271"/>
    </row>
    <row r="41" spans="1:68" s="382" customFormat="1" ht="11.25" customHeight="1" x14ac:dyDescent="0.2">
      <c r="A41" s="388" t="s">
        <v>318</v>
      </c>
      <c r="B41" s="1113" t="s">
        <v>319</v>
      </c>
      <c r="C41" s="1114"/>
      <c r="D41" s="1114"/>
      <c r="E41" s="2482" t="s">
        <v>651</v>
      </c>
      <c r="F41" s="2483"/>
      <c r="G41" s="2482" t="s">
        <v>653</v>
      </c>
      <c r="H41" s="2483"/>
      <c r="I41" s="2714" t="s">
        <v>654</v>
      </c>
      <c r="J41" s="2714" t="s">
        <v>730</v>
      </c>
      <c r="K41" s="2756" t="s">
        <v>743</v>
      </c>
      <c r="L41" s="2757"/>
      <c r="M41" s="2758"/>
      <c r="N41" s="1111"/>
      <c r="O41" s="383" t="s">
        <v>451</v>
      </c>
      <c r="P41" s="681"/>
      <c r="Q41" s="285"/>
      <c r="R41" s="285"/>
      <c r="S41" s="280"/>
      <c r="T41" s="271"/>
      <c r="U41" s="271"/>
      <c r="V41" s="271"/>
      <c r="W41" s="271"/>
      <c r="X41" s="271"/>
      <c r="Y41" s="271"/>
      <c r="Z41" s="270"/>
      <c r="AA41" s="270"/>
      <c r="AB41" s="270"/>
      <c r="AC41" s="270"/>
      <c r="AD41" s="270"/>
      <c r="AE41" s="270"/>
      <c r="AF41" s="380"/>
      <c r="AG41" s="380"/>
      <c r="AH41" s="380"/>
      <c r="AI41" s="381"/>
      <c r="AJ41" s="381"/>
    </row>
    <row r="42" spans="1:68" s="382" customFormat="1" ht="11.25" customHeight="1" x14ac:dyDescent="0.2">
      <c r="A42" s="389"/>
      <c r="B42" s="691"/>
      <c r="C42" s="555"/>
      <c r="D42" s="555"/>
      <c r="E42" s="2484"/>
      <c r="F42" s="2485"/>
      <c r="G42" s="2484"/>
      <c r="H42" s="2485"/>
      <c r="I42" s="2715"/>
      <c r="J42" s="2715"/>
      <c r="K42" s="2759"/>
      <c r="L42" s="2760"/>
      <c r="M42" s="2761"/>
      <c r="N42" s="1111"/>
      <c r="O42" s="384" t="s">
        <v>755</v>
      </c>
      <c r="P42" s="681"/>
      <c r="Q42" s="285"/>
      <c r="R42" s="285"/>
      <c r="S42" s="280"/>
      <c r="T42" s="271"/>
      <c r="U42" s="271"/>
      <c r="V42" s="271"/>
      <c r="W42" s="271"/>
      <c r="X42" s="271"/>
      <c r="Y42" s="271"/>
      <c r="Z42" s="270"/>
      <c r="AA42" s="270"/>
      <c r="AB42" s="270"/>
      <c r="AC42" s="270"/>
      <c r="AD42" s="270"/>
      <c r="AE42" s="270"/>
      <c r="AF42" s="380"/>
      <c r="AG42" s="380"/>
      <c r="AH42" s="380"/>
      <c r="AI42" s="381"/>
      <c r="AJ42" s="381"/>
    </row>
    <row r="43" spans="1:68" s="382" customFormat="1" ht="11.25" customHeight="1" x14ac:dyDescent="0.2">
      <c r="A43" s="389"/>
      <c r="B43" s="692"/>
      <c r="C43" s="92"/>
      <c r="D43" s="92"/>
      <c r="E43" s="2609" t="s">
        <v>652</v>
      </c>
      <c r="F43" s="2613"/>
      <c r="G43" s="2528" t="s">
        <v>29</v>
      </c>
      <c r="H43" s="2711"/>
      <c r="I43" s="2780"/>
      <c r="J43" s="693" t="s">
        <v>655</v>
      </c>
      <c r="K43" s="2609" t="s">
        <v>677</v>
      </c>
      <c r="L43" s="2613"/>
      <c r="M43" s="392" t="s">
        <v>655</v>
      </c>
      <c r="N43" s="1111"/>
      <c r="O43" s="385" t="s">
        <v>29</v>
      </c>
      <c r="P43" s="681"/>
      <c r="Q43" s="285"/>
      <c r="R43" s="285"/>
      <c r="S43" s="280"/>
      <c r="T43" s="271"/>
      <c r="U43" s="271"/>
      <c r="V43" s="271"/>
      <c r="W43" s="271"/>
      <c r="X43" s="271"/>
      <c r="Y43" s="271"/>
      <c r="Z43" s="270"/>
      <c r="AA43" s="270"/>
      <c r="AB43" s="270"/>
      <c r="AC43" s="270"/>
      <c r="AD43" s="270"/>
      <c r="AE43" s="270"/>
      <c r="AF43" s="380"/>
      <c r="AG43" s="380"/>
      <c r="AH43" s="380"/>
      <c r="AI43" s="381"/>
      <c r="AJ43" s="381"/>
    </row>
    <row r="44" spans="1:68" s="88" customFormat="1" ht="10.55" customHeight="1" x14ac:dyDescent="0.2">
      <c r="A44" s="1122" t="s">
        <v>320</v>
      </c>
      <c r="B44" s="2783"/>
      <c r="C44" s="2784"/>
      <c r="D44" s="2785"/>
      <c r="E44" s="2786">
        <f>SUM(E45:E57)</f>
        <v>0</v>
      </c>
      <c r="F44" s="2787"/>
      <c r="G44" s="2788"/>
      <c r="H44" s="2789"/>
      <c r="I44" s="1435">
        <f>IF(E44=0,0,J44/E44)</f>
        <v>0</v>
      </c>
      <c r="J44" s="1411">
        <f>SUM(J45:J57)</f>
        <v>0</v>
      </c>
      <c r="K44" s="2749">
        <f>IF(E44=0,0,M44/E44*100)</f>
        <v>0</v>
      </c>
      <c r="L44" s="2750"/>
      <c r="M44" s="1412">
        <f>SUM(M45:M57)</f>
        <v>0</v>
      </c>
      <c r="N44" s="1111"/>
      <c r="O44" s="386">
        <f t="shared" ref="O44:O58" si="1">IF(ISBLANK(H44),G44,H44)</f>
        <v>0</v>
      </c>
      <c r="P44" s="682"/>
      <c r="Q44" s="286"/>
      <c r="R44" s="287"/>
      <c r="S44" s="280"/>
      <c r="T44" s="280"/>
      <c r="U44" s="280"/>
      <c r="V44" s="280"/>
      <c r="W44" s="280"/>
      <c r="X44" s="280"/>
      <c r="Y44" s="280"/>
      <c r="Z44" s="284"/>
      <c r="AA44" s="284"/>
      <c r="AB44" s="284"/>
      <c r="AC44" s="284"/>
      <c r="AD44" s="284"/>
      <c r="AE44" s="284"/>
      <c r="AF44" s="447"/>
      <c r="AG44" s="447"/>
      <c r="AH44" s="447"/>
      <c r="AI44" s="382"/>
      <c r="AJ44" s="382"/>
      <c r="AK44" s="382"/>
      <c r="AL44" s="382"/>
      <c r="AM44" s="382"/>
      <c r="AN44" s="382"/>
      <c r="AO44" s="382"/>
      <c r="AP44" s="382"/>
      <c r="AQ44" s="382"/>
      <c r="AR44" s="382"/>
      <c r="AS44" s="382"/>
      <c r="AT44" s="382"/>
      <c r="AU44" s="382"/>
      <c r="AV44" s="382"/>
      <c r="AW44" s="382"/>
      <c r="AX44" s="382"/>
      <c r="AY44" s="382"/>
      <c r="AZ44" s="382"/>
      <c r="BA44" s="382"/>
      <c r="BB44" s="382"/>
      <c r="BC44" s="382"/>
      <c r="BD44" s="382"/>
      <c r="BE44" s="382"/>
      <c r="BF44" s="382"/>
      <c r="BG44" s="382"/>
      <c r="BH44" s="382"/>
      <c r="BI44" s="382"/>
      <c r="BJ44" s="382"/>
      <c r="BK44" s="382"/>
      <c r="BL44" s="382"/>
      <c r="BM44" s="382"/>
      <c r="BN44" s="382"/>
      <c r="BO44" s="382"/>
    </row>
    <row r="45" spans="1:68" s="88" customFormat="1" ht="10.55" customHeight="1" x14ac:dyDescent="0.2">
      <c r="A45" s="1013" t="s">
        <v>321</v>
      </c>
      <c r="B45" s="2790"/>
      <c r="C45" s="2791"/>
      <c r="D45" s="2792"/>
      <c r="E45" s="2734"/>
      <c r="F45" s="2735"/>
      <c r="G45" s="1785">
        <v>30</v>
      </c>
      <c r="H45" s="524"/>
      <c r="I45" s="1409">
        <f t="shared" ref="I45:I58" si="2">IF($O45&gt;0,-PMT(($I$9),$O45,1),0)</f>
        <v>4.7777640736176463E-2</v>
      </c>
      <c r="J45" s="1421">
        <f t="shared" ref="J45:J57" si="3">ROUND(E45*I45,0)</f>
        <v>0</v>
      </c>
      <c r="K45" s="678">
        <v>1.5</v>
      </c>
      <c r="L45" s="1002"/>
      <c r="M45" s="1428">
        <f t="shared" ref="M45:M58" si="4">ROUND(E45/100*IF(ISBLANK(L45),K45,L45),0)</f>
        <v>0</v>
      </c>
      <c r="N45" s="1111"/>
      <c r="O45" s="674">
        <f t="shared" si="1"/>
        <v>30</v>
      </c>
      <c r="P45" s="682"/>
      <c r="Q45" s="286"/>
      <c r="R45" s="287"/>
      <c r="S45" s="280"/>
      <c r="T45" s="280"/>
      <c r="U45" s="280"/>
      <c r="V45" s="280"/>
      <c r="W45" s="280"/>
      <c r="X45" s="280"/>
      <c r="Y45" s="280"/>
      <c r="Z45" s="284"/>
      <c r="AA45" s="284"/>
      <c r="AB45" s="284"/>
      <c r="AC45" s="284"/>
      <c r="AD45" s="284"/>
      <c r="AE45" s="284"/>
      <c r="AF45" s="447"/>
      <c r="AG45" s="447"/>
      <c r="AH45" s="447"/>
      <c r="AI45" s="382"/>
      <c r="AJ45" s="382"/>
      <c r="AK45" s="382"/>
      <c r="AL45" s="382"/>
      <c r="AM45" s="382"/>
      <c r="AN45" s="382"/>
      <c r="AO45" s="382"/>
      <c r="AP45" s="382"/>
      <c r="AQ45" s="382"/>
      <c r="AR45" s="382"/>
      <c r="AS45" s="382"/>
      <c r="AT45" s="382"/>
      <c r="AU45" s="382"/>
      <c r="AV45" s="382"/>
      <c r="AW45" s="382"/>
      <c r="AX45" s="382"/>
      <c r="AY45" s="382"/>
      <c r="AZ45" s="382"/>
      <c r="BA45" s="382"/>
      <c r="BB45" s="382"/>
      <c r="BC45" s="382"/>
      <c r="BD45" s="382"/>
      <c r="BE45" s="382"/>
      <c r="BF45" s="382"/>
      <c r="BG45" s="382"/>
      <c r="BH45" s="382"/>
      <c r="BI45" s="382"/>
      <c r="BJ45" s="382"/>
      <c r="BK45" s="382"/>
      <c r="BL45" s="382"/>
      <c r="BM45" s="382"/>
      <c r="BN45" s="382"/>
      <c r="BO45" s="382"/>
    </row>
    <row r="46" spans="1:68" s="88" customFormat="1" ht="10.55" customHeight="1" x14ac:dyDescent="0.2">
      <c r="A46" s="1013" t="s">
        <v>322</v>
      </c>
      <c r="B46" s="2807"/>
      <c r="C46" s="2808"/>
      <c r="D46" s="2809"/>
      <c r="E46" s="2561"/>
      <c r="F46" s="2562"/>
      <c r="G46" s="1785">
        <v>30</v>
      </c>
      <c r="H46" s="524"/>
      <c r="I46" s="1409">
        <f t="shared" si="2"/>
        <v>4.7777640736176463E-2</v>
      </c>
      <c r="J46" s="1421">
        <f t="shared" si="3"/>
        <v>0</v>
      </c>
      <c r="K46" s="678">
        <v>2</v>
      </c>
      <c r="L46" s="1002"/>
      <c r="M46" s="1428">
        <f t="shared" si="4"/>
        <v>0</v>
      </c>
      <c r="N46" s="1111"/>
      <c r="O46" s="674">
        <f t="shared" si="1"/>
        <v>30</v>
      </c>
      <c r="P46" s="682"/>
      <c r="Q46" s="286"/>
      <c r="R46" s="287"/>
      <c r="S46" s="280"/>
      <c r="T46" s="280"/>
      <c r="U46" s="280"/>
      <c r="V46" s="280"/>
      <c r="W46" s="280"/>
      <c r="X46" s="280"/>
      <c r="Y46" s="280"/>
      <c r="Z46" s="284"/>
      <c r="AA46" s="284"/>
      <c r="AB46" s="284"/>
      <c r="AC46" s="284"/>
      <c r="AD46" s="284"/>
      <c r="AE46" s="284"/>
      <c r="AF46" s="447"/>
      <c r="AG46" s="447"/>
      <c r="AH46" s="447"/>
      <c r="AI46" s="382"/>
      <c r="AJ46" s="382"/>
      <c r="AK46" s="382"/>
      <c r="AL46" s="382"/>
      <c r="AM46" s="382"/>
      <c r="AN46" s="382"/>
      <c r="AO46" s="382"/>
      <c r="AP46" s="382"/>
      <c r="AQ46" s="382"/>
      <c r="AR46" s="382"/>
      <c r="AS46" s="382"/>
      <c r="AT46" s="382"/>
      <c r="AU46" s="382"/>
      <c r="AV46" s="382"/>
      <c r="AW46" s="382"/>
      <c r="AX46" s="382"/>
      <c r="AY46" s="382"/>
      <c r="AZ46" s="382"/>
      <c r="BA46" s="382"/>
      <c r="BB46" s="382"/>
      <c r="BC46" s="382"/>
      <c r="BD46" s="382"/>
      <c r="BE46" s="382"/>
      <c r="BF46" s="382"/>
      <c r="BG46" s="382"/>
      <c r="BH46" s="382"/>
      <c r="BI46" s="382"/>
      <c r="BJ46" s="382"/>
      <c r="BK46" s="382"/>
      <c r="BL46" s="382"/>
      <c r="BM46" s="382"/>
      <c r="BN46" s="382"/>
      <c r="BO46" s="382"/>
    </row>
    <row r="47" spans="1:68" s="88" customFormat="1" ht="10.55" customHeight="1" x14ac:dyDescent="0.2">
      <c r="A47" s="1013" t="s">
        <v>455</v>
      </c>
      <c r="B47" s="2807"/>
      <c r="C47" s="2808"/>
      <c r="D47" s="2809"/>
      <c r="E47" s="2561"/>
      <c r="F47" s="2562"/>
      <c r="G47" s="1785">
        <v>30</v>
      </c>
      <c r="H47" s="524"/>
      <c r="I47" s="1409">
        <f t="shared" si="2"/>
        <v>4.7777640736176463E-2</v>
      </c>
      <c r="J47" s="1421">
        <f t="shared" si="3"/>
        <v>0</v>
      </c>
      <c r="K47" s="678">
        <v>2</v>
      </c>
      <c r="L47" s="1002"/>
      <c r="M47" s="1428">
        <f t="shared" si="4"/>
        <v>0</v>
      </c>
      <c r="N47" s="1111"/>
      <c r="O47" s="674">
        <f t="shared" si="1"/>
        <v>30</v>
      </c>
      <c r="P47" s="682"/>
      <c r="Q47" s="286"/>
      <c r="R47" s="287"/>
      <c r="S47" s="280"/>
      <c r="T47" s="280"/>
      <c r="U47" s="280"/>
      <c r="V47" s="280"/>
      <c r="W47" s="280"/>
      <c r="X47" s="280"/>
      <c r="Y47" s="280"/>
      <c r="Z47" s="284"/>
      <c r="AA47" s="284"/>
      <c r="AB47" s="284"/>
      <c r="AC47" s="284"/>
      <c r="AD47" s="284"/>
      <c r="AE47" s="284"/>
      <c r="AF47" s="447"/>
      <c r="AG47" s="447"/>
      <c r="AH47" s="447"/>
      <c r="AI47" s="382"/>
      <c r="AJ47" s="382"/>
      <c r="AK47" s="382"/>
      <c r="AL47" s="382"/>
      <c r="AM47" s="382"/>
      <c r="AN47" s="382"/>
      <c r="AO47" s="382"/>
      <c r="AP47" s="382"/>
      <c r="AQ47" s="382"/>
      <c r="AR47" s="382"/>
      <c r="AS47" s="382"/>
      <c r="AT47" s="382"/>
      <c r="AU47" s="382"/>
      <c r="AV47" s="382"/>
      <c r="AW47" s="382"/>
      <c r="AX47" s="382"/>
      <c r="AY47" s="382"/>
      <c r="AZ47" s="382"/>
      <c r="BA47" s="382"/>
      <c r="BB47" s="382"/>
      <c r="BC47" s="382"/>
      <c r="BD47" s="382"/>
      <c r="BE47" s="382"/>
      <c r="BF47" s="382"/>
      <c r="BG47" s="382"/>
      <c r="BH47" s="382"/>
      <c r="BI47" s="382"/>
      <c r="BJ47" s="382"/>
      <c r="BK47" s="382"/>
      <c r="BL47" s="382"/>
      <c r="BM47" s="382"/>
      <c r="BN47" s="382"/>
      <c r="BO47" s="382"/>
    </row>
    <row r="48" spans="1:68" s="88" customFormat="1" ht="10.55" customHeight="1" x14ac:dyDescent="0.2">
      <c r="A48" s="1013" t="s">
        <v>825</v>
      </c>
      <c r="B48" s="2807"/>
      <c r="C48" s="2808"/>
      <c r="D48" s="2809"/>
      <c r="E48" s="2561"/>
      <c r="F48" s="2562"/>
      <c r="G48" s="1785">
        <v>30</v>
      </c>
      <c r="H48" s="524"/>
      <c r="I48" s="1409">
        <f t="shared" si="2"/>
        <v>4.7777640736176463E-2</v>
      </c>
      <c r="J48" s="1421">
        <f t="shared" si="3"/>
        <v>0</v>
      </c>
      <c r="K48" s="678">
        <v>0.5</v>
      </c>
      <c r="L48" s="1002"/>
      <c r="M48" s="1428">
        <f t="shared" si="4"/>
        <v>0</v>
      </c>
      <c r="N48" s="1111"/>
      <c r="O48" s="674">
        <f t="shared" si="1"/>
        <v>30</v>
      </c>
      <c r="P48" s="682"/>
      <c r="Q48" s="286"/>
      <c r="R48" s="287"/>
      <c r="S48" s="280"/>
      <c r="T48" s="280"/>
      <c r="U48" s="280"/>
      <c r="V48" s="280"/>
      <c r="W48" s="280"/>
      <c r="X48" s="280"/>
      <c r="Y48" s="280"/>
      <c r="Z48" s="284"/>
      <c r="AA48" s="284"/>
      <c r="AB48" s="284"/>
      <c r="AC48" s="284"/>
      <c r="AD48" s="284"/>
      <c r="AE48" s="284"/>
      <c r="AF48" s="447"/>
      <c r="AG48" s="447"/>
      <c r="AH48" s="447"/>
      <c r="AI48" s="382"/>
      <c r="AJ48" s="382"/>
      <c r="AK48" s="382"/>
      <c r="AL48" s="382"/>
      <c r="AM48" s="382"/>
      <c r="AN48" s="382"/>
      <c r="AO48" s="382"/>
      <c r="AP48" s="382"/>
      <c r="AQ48" s="382"/>
      <c r="AR48" s="382"/>
      <c r="AS48" s="382"/>
      <c r="AT48" s="382"/>
      <c r="AU48" s="382"/>
      <c r="AV48" s="382"/>
      <c r="AW48" s="382"/>
      <c r="AX48" s="382"/>
      <c r="AY48" s="382"/>
      <c r="AZ48" s="382"/>
      <c r="BA48" s="382"/>
      <c r="BB48" s="382"/>
      <c r="BC48" s="382"/>
      <c r="BD48" s="382"/>
      <c r="BE48" s="382"/>
      <c r="BF48" s="382"/>
      <c r="BG48" s="382"/>
      <c r="BH48" s="382"/>
      <c r="BI48" s="382"/>
      <c r="BJ48" s="382"/>
      <c r="BK48" s="382"/>
      <c r="BL48" s="382"/>
      <c r="BM48" s="382"/>
      <c r="BN48" s="382"/>
      <c r="BO48" s="382"/>
    </row>
    <row r="49" spans="1:67" s="88" customFormat="1" ht="10.55" customHeight="1" x14ac:dyDescent="0.2">
      <c r="A49" s="1013" t="s">
        <v>456</v>
      </c>
      <c r="B49" s="2807"/>
      <c r="C49" s="2808"/>
      <c r="D49" s="2809"/>
      <c r="E49" s="2561"/>
      <c r="F49" s="2562"/>
      <c r="G49" s="1785">
        <v>30</v>
      </c>
      <c r="H49" s="524"/>
      <c r="I49" s="1409">
        <f t="shared" si="2"/>
        <v>4.7777640736176463E-2</v>
      </c>
      <c r="J49" s="1421">
        <f t="shared" si="3"/>
        <v>0</v>
      </c>
      <c r="K49" s="678">
        <v>0</v>
      </c>
      <c r="L49" s="1002"/>
      <c r="M49" s="1428">
        <f t="shared" si="4"/>
        <v>0</v>
      </c>
      <c r="N49" s="1111"/>
      <c r="O49" s="674">
        <f t="shared" si="1"/>
        <v>30</v>
      </c>
      <c r="P49" s="682"/>
      <c r="Q49" s="286"/>
      <c r="R49" s="287"/>
      <c r="S49" s="280"/>
      <c r="T49" s="280"/>
      <c r="U49" s="280"/>
      <c r="V49" s="280"/>
      <c r="W49" s="280"/>
      <c r="X49" s="280"/>
      <c r="Y49" s="280"/>
      <c r="Z49" s="284"/>
      <c r="AA49" s="284"/>
      <c r="AB49" s="284"/>
      <c r="AC49" s="284"/>
      <c r="AD49" s="284"/>
      <c r="AE49" s="284"/>
      <c r="AF49" s="447"/>
      <c r="AG49" s="447"/>
      <c r="AH49" s="447"/>
      <c r="AI49" s="382"/>
      <c r="AJ49" s="382"/>
      <c r="AK49" s="382"/>
      <c r="AL49" s="382"/>
      <c r="AM49" s="382"/>
      <c r="AN49" s="382"/>
      <c r="AO49" s="382"/>
      <c r="AP49" s="382"/>
      <c r="AQ49" s="382"/>
      <c r="AR49" s="382"/>
      <c r="AS49" s="382"/>
      <c r="AT49" s="382"/>
      <c r="AU49" s="382"/>
      <c r="AV49" s="382"/>
      <c r="AW49" s="382"/>
      <c r="AX49" s="382"/>
      <c r="AY49" s="382"/>
      <c r="AZ49" s="382"/>
      <c r="BA49" s="382"/>
      <c r="BB49" s="382"/>
      <c r="BC49" s="382"/>
      <c r="BD49" s="382"/>
      <c r="BE49" s="382"/>
      <c r="BF49" s="382"/>
      <c r="BG49" s="382"/>
      <c r="BH49" s="382"/>
      <c r="BI49" s="382"/>
      <c r="BJ49" s="382"/>
      <c r="BK49" s="382"/>
      <c r="BL49" s="382"/>
      <c r="BM49" s="382"/>
      <c r="BN49" s="382"/>
      <c r="BO49" s="382"/>
    </row>
    <row r="50" spans="1:67" s="88" customFormat="1" ht="10.55" customHeight="1" x14ac:dyDescent="0.2">
      <c r="A50" s="1013" t="s">
        <v>323</v>
      </c>
      <c r="B50" s="2807"/>
      <c r="C50" s="2808"/>
      <c r="D50" s="2809"/>
      <c r="E50" s="2561"/>
      <c r="F50" s="2562"/>
      <c r="G50" s="1785">
        <v>30</v>
      </c>
      <c r="H50" s="524"/>
      <c r="I50" s="1409">
        <f t="shared" si="2"/>
        <v>4.7777640736176463E-2</v>
      </c>
      <c r="J50" s="1421">
        <f t="shared" si="3"/>
        <v>0</v>
      </c>
      <c r="K50" s="678">
        <v>1.5</v>
      </c>
      <c r="L50" s="1002"/>
      <c r="M50" s="1428">
        <f t="shared" si="4"/>
        <v>0</v>
      </c>
      <c r="N50" s="1111"/>
      <c r="O50" s="674">
        <f t="shared" si="1"/>
        <v>30</v>
      </c>
      <c r="P50" s="682"/>
      <c r="Q50" s="286"/>
      <c r="R50" s="287"/>
      <c r="S50" s="280"/>
      <c r="T50" s="280"/>
      <c r="U50" s="280"/>
      <c r="V50" s="280"/>
      <c r="W50" s="280"/>
      <c r="X50" s="280"/>
      <c r="Y50" s="280"/>
      <c r="Z50" s="284"/>
      <c r="AA50" s="284"/>
      <c r="AB50" s="284"/>
      <c r="AC50" s="284"/>
      <c r="AD50" s="284"/>
      <c r="AE50" s="284"/>
      <c r="AF50" s="447"/>
      <c r="AG50" s="447"/>
      <c r="AH50" s="447"/>
      <c r="AI50" s="382"/>
      <c r="AJ50" s="382"/>
      <c r="AK50" s="382"/>
      <c r="AL50" s="382"/>
      <c r="AM50" s="382"/>
      <c r="AN50" s="382"/>
      <c r="AO50" s="382"/>
      <c r="AP50" s="382"/>
      <c r="AQ50" s="382"/>
      <c r="AR50" s="382"/>
      <c r="AS50" s="382"/>
      <c r="AT50" s="382"/>
      <c r="AU50" s="382"/>
      <c r="AV50" s="382"/>
      <c r="AW50" s="382"/>
      <c r="AX50" s="382"/>
      <c r="AY50" s="382"/>
      <c r="AZ50" s="382"/>
      <c r="BA50" s="382"/>
      <c r="BB50" s="382"/>
      <c r="BC50" s="382"/>
      <c r="BD50" s="382"/>
      <c r="BE50" s="382"/>
      <c r="BF50" s="382"/>
      <c r="BG50" s="382"/>
      <c r="BH50" s="382"/>
      <c r="BI50" s="382"/>
      <c r="BJ50" s="382"/>
      <c r="BK50" s="382"/>
      <c r="BL50" s="382"/>
      <c r="BM50" s="382"/>
      <c r="BN50" s="382"/>
      <c r="BO50" s="382"/>
    </row>
    <row r="51" spans="1:67" s="88" customFormat="1" ht="10.55" customHeight="1" x14ac:dyDescent="0.2">
      <c r="A51" s="1013" t="s">
        <v>826</v>
      </c>
      <c r="B51" s="2807"/>
      <c r="C51" s="2808"/>
      <c r="D51" s="2809"/>
      <c r="E51" s="2561"/>
      <c r="F51" s="2562"/>
      <c r="G51" s="1785">
        <v>30</v>
      </c>
      <c r="H51" s="524"/>
      <c r="I51" s="1409">
        <f t="shared" si="2"/>
        <v>4.7777640736176463E-2</v>
      </c>
      <c r="J51" s="1421">
        <f t="shared" si="3"/>
        <v>0</v>
      </c>
      <c r="K51" s="678">
        <v>2.5</v>
      </c>
      <c r="L51" s="1002"/>
      <c r="M51" s="1428">
        <f t="shared" si="4"/>
        <v>0</v>
      </c>
      <c r="N51" s="1111"/>
      <c r="O51" s="674">
        <f t="shared" si="1"/>
        <v>30</v>
      </c>
      <c r="P51" s="682"/>
      <c r="Q51" s="286"/>
      <c r="R51" s="287"/>
      <c r="S51" s="280"/>
      <c r="T51" s="280"/>
      <c r="U51" s="280"/>
      <c r="V51" s="280"/>
      <c r="W51" s="280"/>
      <c r="X51" s="280"/>
      <c r="Y51" s="280"/>
      <c r="Z51" s="284"/>
      <c r="AA51" s="284"/>
      <c r="AB51" s="284"/>
      <c r="AC51" s="284"/>
      <c r="AD51" s="284"/>
      <c r="AE51" s="284"/>
      <c r="AF51" s="447"/>
      <c r="AG51" s="447"/>
      <c r="AH51" s="447"/>
      <c r="AI51" s="382"/>
      <c r="AJ51" s="382"/>
      <c r="AK51" s="382"/>
      <c r="AL51" s="382"/>
      <c r="AM51" s="382"/>
      <c r="AN51" s="382"/>
      <c r="AO51" s="382"/>
      <c r="AP51" s="382"/>
      <c r="AQ51" s="382"/>
      <c r="AR51" s="382"/>
      <c r="AS51" s="382"/>
      <c r="AT51" s="382"/>
      <c r="AU51" s="382"/>
      <c r="AV51" s="382"/>
      <c r="AW51" s="382"/>
      <c r="AX51" s="382"/>
      <c r="AY51" s="382"/>
      <c r="AZ51" s="382"/>
      <c r="BA51" s="382"/>
      <c r="BB51" s="382"/>
      <c r="BC51" s="382"/>
      <c r="BD51" s="382"/>
      <c r="BE51" s="382"/>
      <c r="BF51" s="382"/>
      <c r="BG51" s="382"/>
      <c r="BH51" s="382"/>
      <c r="BI51" s="382"/>
      <c r="BJ51" s="382"/>
      <c r="BK51" s="382"/>
      <c r="BL51" s="382"/>
      <c r="BM51" s="382"/>
      <c r="BN51" s="382"/>
      <c r="BO51" s="382"/>
    </row>
    <row r="52" spans="1:67" s="88" customFormat="1" ht="10.55" customHeight="1" x14ac:dyDescent="0.2">
      <c r="A52" s="675"/>
      <c r="B52" s="2807"/>
      <c r="C52" s="2808"/>
      <c r="D52" s="2809"/>
      <c r="E52" s="2561"/>
      <c r="F52" s="2562"/>
      <c r="G52" s="1015"/>
      <c r="H52" s="524"/>
      <c r="I52" s="1409">
        <f t="shared" si="2"/>
        <v>0</v>
      </c>
      <c r="J52" s="1421">
        <f t="shared" si="3"/>
        <v>0</v>
      </c>
      <c r="K52" s="679"/>
      <c r="L52" s="1002"/>
      <c r="M52" s="1428">
        <f t="shared" si="4"/>
        <v>0</v>
      </c>
      <c r="N52" s="1111"/>
      <c r="O52" s="674">
        <f t="shared" si="1"/>
        <v>0</v>
      </c>
      <c r="P52" s="682"/>
      <c r="Q52" s="286"/>
      <c r="R52" s="287"/>
      <c r="S52" s="280"/>
      <c r="T52" s="280"/>
      <c r="U52" s="280"/>
      <c r="V52" s="280"/>
      <c r="W52" s="280"/>
      <c r="X52" s="280"/>
      <c r="Y52" s="280"/>
      <c r="Z52" s="284"/>
      <c r="AA52" s="284"/>
      <c r="AB52" s="284"/>
      <c r="AC52" s="284"/>
      <c r="AD52" s="284"/>
      <c r="AE52" s="284"/>
      <c r="AF52" s="447"/>
      <c r="AG52" s="447"/>
      <c r="AH52" s="447"/>
      <c r="AI52" s="382"/>
      <c r="AJ52" s="382"/>
      <c r="AK52" s="382"/>
      <c r="AL52" s="382"/>
      <c r="AM52" s="382"/>
      <c r="AN52" s="382"/>
      <c r="AO52" s="382"/>
      <c r="AP52" s="382"/>
      <c r="AQ52" s="382"/>
      <c r="AR52" s="382"/>
      <c r="AS52" s="382"/>
      <c r="AT52" s="382"/>
      <c r="AU52" s="382"/>
      <c r="AV52" s="382"/>
      <c r="AW52" s="382"/>
      <c r="AX52" s="382"/>
      <c r="AY52" s="382"/>
      <c r="AZ52" s="382"/>
      <c r="BA52" s="382"/>
      <c r="BB52" s="382"/>
      <c r="BC52" s="382"/>
      <c r="BD52" s="382"/>
      <c r="BE52" s="382"/>
      <c r="BF52" s="382"/>
      <c r="BG52" s="382"/>
      <c r="BH52" s="382"/>
      <c r="BI52" s="382"/>
      <c r="BJ52" s="382"/>
      <c r="BK52" s="382"/>
      <c r="BL52" s="382"/>
      <c r="BM52" s="382"/>
      <c r="BN52" s="382"/>
      <c r="BO52" s="382"/>
    </row>
    <row r="53" spans="1:67" s="88" customFormat="1" ht="10.55" customHeight="1" x14ac:dyDescent="0.2">
      <c r="A53" s="675"/>
      <c r="B53" s="2807"/>
      <c r="C53" s="2808"/>
      <c r="D53" s="2809"/>
      <c r="E53" s="2561"/>
      <c r="F53" s="2562"/>
      <c r="G53" s="1015"/>
      <c r="H53" s="524"/>
      <c r="I53" s="1409">
        <f t="shared" si="2"/>
        <v>0</v>
      </c>
      <c r="J53" s="1421">
        <f t="shared" si="3"/>
        <v>0</v>
      </c>
      <c r="K53" s="679"/>
      <c r="L53" s="1002"/>
      <c r="M53" s="1428">
        <f t="shared" si="4"/>
        <v>0</v>
      </c>
      <c r="N53" s="1111"/>
      <c r="O53" s="674">
        <f t="shared" si="1"/>
        <v>0</v>
      </c>
      <c r="P53" s="682"/>
      <c r="Q53" s="286"/>
      <c r="R53" s="287"/>
      <c r="S53" s="280"/>
      <c r="T53" s="280"/>
      <c r="U53" s="280"/>
      <c r="V53" s="280"/>
      <c r="W53" s="280"/>
      <c r="X53" s="280"/>
      <c r="Y53" s="280"/>
      <c r="Z53" s="284"/>
      <c r="AA53" s="284"/>
      <c r="AB53" s="284"/>
      <c r="AC53" s="284"/>
      <c r="AD53" s="284"/>
      <c r="AE53" s="284"/>
      <c r="AF53" s="447"/>
      <c r="AG53" s="447"/>
      <c r="AH53" s="447"/>
      <c r="AI53" s="382"/>
      <c r="AJ53" s="382"/>
      <c r="AK53" s="382"/>
      <c r="AL53" s="382"/>
      <c r="AM53" s="382"/>
      <c r="AN53" s="382"/>
      <c r="AO53" s="382"/>
      <c r="AP53" s="382"/>
      <c r="AQ53" s="382"/>
      <c r="AR53" s="382"/>
      <c r="AS53" s="382"/>
      <c r="AT53" s="382"/>
      <c r="AU53" s="382"/>
      <c r="AV53" s="382"/>
      <c r="AW53" s="382"/>
      <c r="AX53" s="382"/>
      <c r="AY53" s="382"/>
      <c r="AZ53" s="382"/>
      <c r="BA53" s="382"/>
      <c r="BB53" s="382"/>
      <c r="BC53" s="382"/>
      <c r="BD53" s="382"/>
      <c r="BE53" s="382"/>
      <c r="BF53" s="382"/>
      <c r="BG53" s="382"/>
      <c r="BH53" s="382"/>
      <c r="BI53" s="382"/>
      <c r="BJ53" s="382"/>
      <c r="BK53" s="382"/>
      <c r="BL53" s="382"/>
      <c r="BM53" s="382"/>
      <c r="BN53" s="382"/>
      <c r="BO53" s="382"/>
    </row>
    <row r="54" spans="1:67" s="88" customFormat="1" ht="10.55" customHeight="1" x14ac:dyDescent="0.2">
      <c r="A54" s="675"/>
      <c r="B54" s="2807"/>
      <c r="C54" s="2808"/>
      <c r="D54" s="2809"/>
      <c r="E54" s="2561"/>
      <c r="F54" s="2562"/>
      <c r="G54" s="1015"/>
      <c r="H54" s="524"/>
      <c r="I54" s="1409">
        <f t="shared" si="2"/>
        <v>0</v>
      </c>
      <c r="J54" s="1421">
        <f t="shared" si="3"/>
        <v>0</v>
      </c>
      <c r="K54" s="679"/>
      <c r="L54" s="1002"/>
      <c r="M54" s="1428">
        <f t="shared" si="4"/>
        <v>0</v>
      </c>
      <c r="N54" s="1111"/>
      <c r="O54" s="674">
        <f t="shared" si="1"/>
        <v>0</v>
      </c>
      <c r="P54" s="682"/>
      <c r="Q54" s="286"/>
      <c r="R54" s="287"/>
      <c r="S54" s="280"/>
      <c r="T54" s="280"/>
      <c r="U54" s="280"/>
      <c r="V54" s="280"/>
      <c r="W54" s="280"/>
      <c r="X54" s="280"/>
      <c r="Y54" s="280"/>
      <c r="Z54" s="284"/>
      <c r="AA54" s="284"/>
      <c r="AB54" s="284"/>
      <c r="AC54" s="284"/>
      <c r="AD54" s="284"/>
      <c r="AE54" s="284"/>
      <c r="AF54" s="447"/>
      <c r="AG54" s="447"/>
      <c r="AH54" s="447"/>
      <c r="AI54" s="382"/>
      <c r="AJ54" s="382"/>
      <c r="AK54" s="382"/>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row>
    <row r="55" spans="1:67" s="88" customFormat="1" ht="10.55" customHeight="1" x14ac:dyDescent="0.2">
      <c r="A55" s="675"/>
      <c r="B55" s="2807"/>
      <c r="C55" s="2808"/>
      <c r="D55" s="2809"/>
      <c r="E55" s="2561"/>
      <c r="F55" s="2562"/>
      <c r="G55" s="1015"/>
      <c r="H55" s="524"/>
      <c r="I55" s="1409">
        <f t="shared" si="2"/>
        <v>0</v>
      </c>
      <c r="J55" s="1421">
        <f t="shared" si="3"/>
        <v>0</v>
      </c>
      <c r="K55" s="679"/>
      <c r="L55" s="1002"/>
      <c r="M55" s="1428">
        <f t="shared" si="4"/>
        <v>0</v>
      </c>
      <c r="N55" s="1111"/>
      <c r="O55" s="674">
        <f t="shared" si="1"/>
        <v>0</v>
      </c>
      <c r="P55" s="682"/>
      <c r="Q55" s="286"/>
      <c r="R55" s="287"/>
      <c r="S55" s="280"/>
      <c r="T55" s="280"/>
      <c r="U55" s="280"/>
      <c r="V55" s="280"/>
      <c r="W55" s="280"/>
      <c r="X55" s="280"/>
      <c r="Y55" s="280"/>
      <c r="Z55" s="284"/>
      <c r="AA55" s="284"/>
      <c r="AB55" s="284"/>
      <c r="AC55" s="284"/>
      <c r="AD55" s="284"/>
      <c r="AE55" s="284"/>
      <c r="AF55" s="447"/>
      <c r="AG55" s="447"/>
      <c r="AH55" s="447"/>
      <c r="AI55" s="382"/>
      <c r="AJ55" s="382"/>
      <c r="AK55" s="382"/>
      <c r="AL55" s="382"/>
      <c r="AM55" s="382"/>
      <c r="AN55" s="382"/>
      <c r="AO55" s="382"/>
      <c r="AP55" s="382"/>
      <c r="AQ55" s="382"/>
      <c r="AR55" s="382"/>
      <c r="AS55" s="382"/>
      <c r="AT55" s="382"/>
      <c r="AU55" s="382"/>
      <c r="AV55" s="382"/>
      <c r="AW55" s="382"/>
      <c r="AX55" s="382"/>
      <c r="AY55" s="382"/>
      <c r="AZ55" s="382"/>
      <c r="BA55" s="382"/>
      <c r="BB55" s="382"/>
      <c r="BC55" s="382"/>
      <c r="BD55" s="382"/>
      <c r="BE55" s="382"/>
      <c r="BF55" s="382"/>
      <c r="BG55" s="382"/>
      <c r="BH55" s="382"/>
      <c r="BI55" s="382"/>
      <c r="BJ55" s="382"/>
      <c r="BK55" s="382"/>
      <c r="BL55" s="382"/>
      <c r="BM55" s="382"/>
      <c r="BN55" s="382"/>
      <c r="BO55" s="382"/>
    </row>
    <row r="56" spans="1:67" s="88" customFormat="1" ht="10.55" customHeight="1" x14ac:dyDescent="0.2">
      <c r="A56" s="675"/>
      <c r="B56" s="2807"/>
      <c r="C56" s="2808"/>
      <c r="D56" s="2809"/>
      <c r="E56" s="2561"/>
      <c r="F56" s="2562"/>
      <c r="G56" s="1015"/>
      <c r="H56" s="524"/>
      <c r="I56" s="1409">
        <f t="shared" si="2"/>
        <v>0</v>
      </c>
      <c r="J56" s="1421">
        <f t="shared" si="3"/>
        <v>0</v>
      </c>
      <c r="K56" s="679"/>
      <c r="L56" s="1002"/>
      <c r="M56" s="1428">
        <f t="shared" si="4"/>
        <v>0</v>
      </c>
      <c r="N56" s="1111"/>
      <c r="O56" s="674">
        <f t="shared" si="1"/>
        <v>0</v>
      </c>
      <c r="P56" s="682"/>
      <c r="Q56" s="286"/>
      <c r="R56" s="287"/>
      <c r="S56" s="280"/>
      <c r="T56" s="280"/>
      <c r="U56" s="280"/>
      <c r="V56" s="280"/>
      <c r="W56" s="280"/>
      <c r="X56" s="280"/>
      <c r="Y56" s="280"/>
      <c r="Z56" s="284"/>
      <c r="AA56" s="284"/>
      <c r="AB56" s="284"/>
      <c r="AC56" s="284"/>
      <c r="AD56" s="284"/>
      <c r="AE56" s="284"/>
      <c r="AF56" s="447"/>
      <c r="AG56" s="447"/>
      <c r="AH56" s="447"/>
      <c r="AI56" s="382"/>
      <c r="AJ56" s="382"/>
      <c r="AK56" s="382"/>
      <c r="AL56" s="382"/>
      <c r="AM56" s="382"/>
      <c r="AN56" s="382"/>
      <c r="AO56" s="382"/>
      <c r="AP56" s="382"/>
      <c r="AQ56" s="382"/>
      <c r="AR56" s="382"/>
      <c r="AS56" s="382"/>
      <c r="AT56" s="382"/>
      <c r="AU56" s="382"/>
      <c r="AV56" s="382"/>
      <c r="AW56" s="382"/>
      <c r="AX56" s="382"/>
      <c r="AY56" s="382"/>
      <c r="AZ56" s="382"/>
      <c r="BA56" s="382"/>
      <c r="BB56" s="382"/>
      <c r="BC56" s="382"/>
      <c r="BD56" s="382"/>
      <c r="BE56" s="382"/>
      <c r="BF56" s="382"/>
      <c r="BG56" s="382"/>
      <c r="BH56" s="382"/>
      <c r="BI56" s="382"/>
      <c r="BJ56" s="382"/>
      <c r="BK56" s="382"/>
      <c r="BL56" s="382"/>
      <c r="BM56" s="382"/>
      <c r="BN56" s="382"/>
      <c r="BO56" s="382"/>
    </row>
    <row r="57" spans="1:67" s="88" customFormat="1" ht="10.55" customHeight="1" x14ac:dyDescent="0.2">
      <c r="A57" s="675"/>
      <c r="B57" s="2807"/>
      <c r="C57" s="2808"/>
      <c r="D57" s="2809"/>
      <c r="E57" s="2561"/>
      <c r="F57" s="2562"/>
      <c r="G57" s="1016"/>
      <c r="H57" s="525"/>
      <c r="I57" s="1409">
        <f t="shared" si="2"/>
        <v>0</v>
      </c>
      <c r="J57" s="1421">
        <f t="shared" si="3"/>
        <v>0</v>
      </c>
      <c r="K57" s="679"/>
      <c r="L57" s="1002"/>
      <c r="M57" s="1428">
        <f t="shared" si="4"/>
        <v>0</v>
      </c>
      <c r="N57" s="1111"/>
      <c r="O57" s="674">
        <f t="shared" si="1"/>
        <v>0</v>
      </c>
      <c r="P57" s="682"/>
      <c r="Q57" s="286"/>
      <c r="R57" s="287"/>
      <c r="S57" s="280"/>
      <c r="T57" s="280"/>
      <c r="U57" s="280"/>
      <c r="V57" s="280"/>
      <c r="W57" s="280"/>
      <c r="X57" s="280"/>
      <c r="Y57" s="280"/>
      <c r="Z57" s="284"/>
      <c r="AA57" s="284"/>
      <c r="AB57" s="284"/>
      <c r="AC57" s="284"/>
      <c r="AD57" s="284"/>
      <c r="AE57" s="284"/>
      <c r="AF57" s="447"/>
      <c r="AG57" s="447"/>
      <c r="AH57" s="447"/>
      <c r="AI57" s="382"/>
      <c r="AJ57" s="382"/>
      <c r="AK57" s="382"/>
      <c r="AL57" s="382"/>
      <c r="AM57" s="382"/>
      <c r="AN57" s="382"/>
      <c r="AO57" s="382"/>
      <c r="AP57" s="382"/>
      <c r="AQ57" s="382"/>
      <c r="AR57" s="382"/>
      <c r="AS57" s="382"/>
      <c r="AT57" s="382"/>
      <c r="AU57" s="382"/>
      <c r="AV57" s="382"/>
      <c r="AW57" s="382"/>
      <c r="AX57" s="382"/>
      <c r="AY57" s="382"/>
      <c r="AZ57" s="382"/>
      <c r="BA57" s="382"/>
      <c r="BB57" s="382"/>
      <c r="BC57" s="382"/>
      <c r="BD57" s="382"/>
      <c r="BE57" s="382"/>
      <c r="BF57" s="382"/>
      <c r="BG57" s="382"/>
      <c r="BH57" s="382"/>
      <c r="BI57" s="382"/>
      <c r="BJ57" s="382"/>
      <c r="BK57" s="382"/>
      <c r="BL57" s="382"/>
      <c r="BM57" s="382"/>
      <c r="BN57" s="382"/>
      <c r="BO57" s="382"/>
    </row>
    <row r="58" spans="1:67" s="88" customFormat="1" ht="10.55" customHeight="1" x14ac:dyDescent="0.2">
      <c r="A58" s="1017"/>
      <c r="B58" s="2804"/>
      <c r="C58" s="2805"/>
      <c r="D58" s="2806"/>
      <c r="E58" s="2793"/>
      <c r="F58" s="2794"/>
      <c r="G58" s="1018"/>
      <c r="H58" s="1019"/>
      <c r="I58" s="1436">
        <f t="shared" si="2"/>
        <v>0</v>
      </c>
      <c r="J58" s="1422"/>
      <c r="K58" s="680"/>
      <c r="L58" s="1020"/>
      <c r="M58" s="1429">
        <f t="shared" si="4"/>
        <v>0</v>
      </c>
      <c r="N58" s="1111"/>
      <c r="O58" s="674">
        <f t="shared" si="1"/>
        <v>0</v>
      </c>
      <c r="P58" s="682"/>
      <c r="Q58" s="286"/>
      <c r="R58" s="287"/>
      <c r="S58" s="280"/>
      <c r="T58" s="280"/>
      <c r="U58" s="280"/>
      <c r="V58" s="280"/>
      <c r="W58" s="280"/>
      <c r="X58" s="280"/>
      <c r="Y58" s="280"/>
      <c r="Z58" s="284"/>
      <c r="AA58" s="284"/>
      <c r="AB58" s="284"/>
      <c r="AC58" s="284"/>
      <c r="AD58" s="284"/>
      <c r="AE58" s="284"/>
      <c r="AF58" s="447"/>
      <c r="AG58" s="447"/>
      <c r="AH58" s="447"/>
      <c r="AI58" s="382"/>
      <c r="AJ58" s="382"/>
      <c r="AK58" s="382"/>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row>
    <row r="59" spans="1:67" s="88" customFormat="1" ht="10.55" customHeight="1" x14ac:dyDescent="0.2">
      <c r="A59" s="1122" t="s">
        <v>324</v>
      </c>
      <c r="B59" s="2783"/>
      <c r="C59" s="2784"/>
      <c r="D59" s="2785"/>
      <c r="E59" s="2810">
        <f>SUM(E60:E72)</f>
        <v>0</v>
      </c>
      <c r="F59" s="2811"/>
      <c r="G59" s="2747"/>
      <c r="H59" s="2748"/>
      <c r="I59" s="1435">
        <f>IF(E59=0,0,J59/E59)</f>
        <v>0</v>
      </c>
      <c r="J59" s="1423">
        <f>SUM(J60:J72)</f>
        <v>0</v>
      </c>
      <c r="K59" s="2749">
        <f>IF(E59=0,0,M59/E59*100)</f>
        <v>0</v>
      </c>
      <c r="L59" s="2750"/>
      <c r="M59" s="1430">
        <f>SUM(M60:M72)</f>
        <v>0</v>
      </c>
      <c r="N59" s="1111"/>
      <c r="O59" s="387">
        <f>IF(H59="",G59,H59)</f>
        <v>0</v>
      </c>
      <c r="P59" s="682"/>
      <c r="Q59" s="286"/>
      <c r="R59" s="287"/>
      <c r="S59" s="280"/>
      <c r="T59" s="280"/>
      <c r="U59" s="280"/>
      <c r="V59" s="280"/>
      <c r="W59" s="280"/>
      <c r="X59" s="280"/>
      <c r="Y59" s="280"/>
      <c r="Z59" s="284"/>
      <c r="AA59" s="284"/>
      <c r="AB59" s="284"/>
      <c r="AC59" s="284"/>
      <c r="AD59" s="284"/>
      <c r="AE59" s="284"/>
      <c r="AF59" s="447"/>
      <c r="AG59" s="447"/>
      <c r="AH59" s="447"/>
      <c r="AI59" s="382"/>
      <c r="AJ59" s="382"/>
      <c r="AK59" s="382"/>
      <c r="AL59" s="382"/>
      <c r="AM59" s="382"/>
      <c r="AN59" s="382"/>
      <c r="AO59" s="382"/>
      <c r="AP59" s="382"/>
      <c r="AQ59" s="382"/>
      <c r="AR59" s="382"/>
      <c r="AS59" s="382"/>
      <c r="AT59" s="382"/>
      <c r="AU59" s="382"/>
      <c r="AV59" s="382"/>
      <c r="AW59" s="382"/>
      <c r="AX59" s="382"/>
      <c r="AY59" s="382"/>
      <c r="AZ59" s="382"/>
      <c r="BA59" s="382"/>
      <c r="BB59" s="382"/>
      <c r="BC59" s="382"/>
      <c r="BD59" s="382"/>
      <c r="BE59" s="382"/>
      <c r="BF59" s="382"/>
      <c r="BG59" s="382"/>
      <c r="BH59" s="382"/>
      <c r="BI59" s="382"/>
      <c r="BJ59" s="382"/>
      <c r="BK59" s="382"/>
      <c r="BL59" s="382"/>
      <c r="BM59" s="382"/>
      <c r="BN59" s="382"/>
      <c r="BO59" s="382"/>
    </row>
    <row r="60" spans="1:67" s="88" customFormat="1" ht="10.55" customHeight="1" x14ac:dyDescent="0.2">
      <c r="A60" s="1013" t="s">
        <v>325</v>
      </c>
      <c r="B60" s="2790"/>
      <c r="C60" s="2791"/>
      <c r="D60" s="2792"/>
      <c r="E60" s="2734"/>
      <c r="F60" s="2735"/>
      <c r="G60" s="1785">
        <v>50</v>
      </c>
      <c r="H60" s="524"/>
      <c r="I60" s="1409">
        <f t="shared" ref="I60:I73" si="5">IF($O60&gt;0,-PMT(($I$9),$O60,1),0)</f>
        <v>3.525805693356223E-2</v>
      </c>
      <c r="J60" s="1421">
        <f t="shared" ref="J60:J72" si="6">ROUND(E60*I60,0)</f>
        <v>0</v>
      </c>
      <c r="K60" s="1784">
        <v>0</v>
      </c>
      <c r="L60" s="1002"/>
      <c r="M60" s="1428">
        <f t="shared" ref="M60:M73" si="7">ROUND(E60/100*IF(ISBLANK(L60),K60,L60),0)</f>
        <v>0</v>
      </c>
      <c r="N60" s="1111"/>
      <c r="O60" s="674">
        <f t="shared" ref="O60:O73" si="8">IF(ISBLANK(H60),G60,H60)</f>
        <v>50</v>
      </c>
      <c r="P60" s="682"/>
      <c r="Q60" s="286"/>
      <c r="R60" s="287"/>
      <c r="S60" s="280"/>
      <c r="T60" s="280"/>
      <c r="U60" s="280"/>
      <c r="V60" s="280"/>
      <c r="W60" s="280"/>
      <c r="X60" s="280"/>
      <c r="Y60" s="280"/>
      <c r="Z60" s="284"/>
      <c r="AA60" s="284"/>
      <c r="AB60" s="284"/>
      <c r="AC60" s="284"/>
      <c r="AD60" s="284"/>
      <c r="AE60" s="284"/>
      <c r="AF60" s="447"/>
      <c r="AG60" s="447"/>
      <c r="AH60" s="447"/>
      <c r="AI60" s="382"/>
      <c r="AJ60" s="382"/>
      <c r="AK60" s="382"/>
      <c r="AL60" s="382"/>
      <c r="AM60" s="382"/>
      <c r="AN60" s="382"/>
      <c r="AO60" s="382"/>
      <c r="AP60" s="382"/>
      <c r="AQ60" s="382"/>
      <c r="AR60" s="382"/>
      <c r="AS60" s="382"/>
      <c r="AT60" s="382"/>
      <c r="AU60" s="382"/>
      <c r="AV60" s="382"/>
      <c r="AW60" s="382"/>
      <c r="AX60" s="382"/>
      <c r="AY60" s="382"/>
      <c r="AZ60" s="382"/>
      <c r="BA60" s="382"/>
      <c r="BB60" s="382"/>
      <c r="BC60" s="382"/>
      <c r="BD60" s="382"/>
      <c r="BE60" s="382"/>
      <c r="BF60" s="382"/>
      <c r="BG60" s="382"/>
      <c r="BH60" s="382"/>
      <c r="BI60" s="382"/>
      <c r="BJ60" s="382"/>
      <c r="BK60" s="382"/>
      <c r="BL60" s="382"/>
      <c r="BM60" s="382"/>
      <c r="BN60" s="382"/>
      <c r="BO60" s="382"/>
    </row>
    <row r="61" spans="1:67" s="88" customFormat="1" ht="10.55" customHeight="1" x14ac:dyDescent="0.2">
      <c r="A61" s="1013" t="s">
        <v>326</v>
      </c>
      <c r="B61" s="2807"/>
      <c r="C61" s="2808"/>
      <c r="D61" s="2809"/>
      <c r="E61" s="2561"/>
      <c r="F61" s="2562"/>
      <c r="G61" s="1785">
        <v>30</v>
      </c>
      <c r="H61" s="524"/>
      <c r="I61" s="1409">
        <f t="shared" si="5"/>
        <v>4.7777640736176463E-2</v>
      </c>
      <c r="J61" s="1421">
        <f t="shared" si="6"/>
        <v>0</v>
      </c>
      <c r="K61" s="678"/>
      <c r="L61" s="1002"/>
      <c r="M61" s="1428">
        <f t="shared" si="7"/>
        <v>0</v>
      </c>
      <c r="N61" s="1111"/>
      <c r="O61" s="674">
        <f t="shared" si="8"/>
        <v>30</v>
      </c>
      <c r="P61" s="682"/>
      <c r="Q61" s="286"/>
      <c r="R61" s="287"/>
      <c r="S61" s="280"/>
      <c r="T61" s="280"/>
      <c r="U61" s="280"/>
      <c r="V61" s="280"/>
      <c r="W61" s="280"/>
      <c r="X61" s="280"/>
      <c r="Y61" s="280"/>
      <c r="Z61" s="284"/>
      <c r="AA61" s="284"/>
      <c r="AB61" s="284"/>
      <c r="AC61" s="284"/>
      <c r="AD61" s="284"/>
      <c r="AE61" s="284"/>
      <c r="AF61" s="447"/>
      <c r="AG61" s="447"/>
      <c r="AH61" s="447"/>
      <c r="AI61" s="382"/>
      <c r="AJ61" s="382"/>
      <c r="AK61" s="382"/>
      <c r="AL61" s="382"/>
      <c r="AM61" s="382"/>
      <c r="AN61" s="382"/>
      <c r="AO61" s="382"/>
      <c r="AP61" s="382"/>
      <c r="AQ61" s="382"/>
      <c r="AR61" s="382"/>
      <c r="AS61" s="382"/>
      <c r="AT61" s="382"/>
      <c r="AU61" s="382"/>
      <c r="AV61" s="382"/>
      <c r="AW61" s="382"/>
      <c r="AX61" s="382"/>
      <c r="AY61" s="382"/>
      <c r="AZ61" s="382"/>
      <c r="BA61" s="382"/>
      <c r="BB61" s="382"/>
      <c r="BC61" s="382"/>
      <c r="BD61" s="382"/>
      <c r="BE61" s="382"/>
      <c r="BF61" s="382"/>
      <c r="BG61" s="382"/>
      <c r="BH61" s="382"/>
      <c r="BI61" s="382"/>
      <c r="BJ61" s="382"/>
      <c r="BK61" s="382"/>
      <c r="BL61" s="382"/>
      <c r="BM61" s="382"/>
      <c r="BN61" s="382"/>
      <c r="BO61" s="382"/>
    </row>
    <row r="62" spans="1:67" s="88" customFormat="1" ht="10.55" customHeight="1" x14ac:dyDescent="0.2">
      <c r="A62" s="1013" t="s">
        <v>457</v>
      </c>
      <c r="B62" s="2807"/>
      <c r="C62" s="2808"/>
      <c r="D62" s="2809"/>
      <c r="E62" s="2561"/>
      <c r="F62" s="2562"/>
      <c r="G62" s="1785">
        <v>20</v>
      </c>
      <c r="H62" s="524"/>
      <c r="I62" s="1409">
        <f t="shared" si="5"/>
        <v>6.4147128734474465E-2</v>
      </c>
      <c r="J62" s="1421">
        <f t="shared" si="6"/>
        <v>0</v>
      </c>
      <c r="K62" s="678">
        <v>2.5</v>
      </c>
      <c r="L62" s="1002"/>
      <c r="M62" s="1428">
        <f t="shared" si="7"/>
        <v>0</v>
      </c>
      <c r="N62" s="1111"/>
      <c r="O62" s="674">
        <f t="shared" si="8"/>
        <v>20</v>
      </c>
      <c r="P62" s="682"/>
      <c r="Q62" s="286"/>
      <c r="R62" s="287"/>
      <c r="S62" s="280"/>
      <c r="T62" s="280"/>
      <c r="U62" s="280"/>
      <c r="V62" s="280"/>
      <c r="W62" s="280"/>
      <c r="X62" s="280"/>
      <c r="Y62" s="280"/>
      <c r="Z62" s="284"/>
      <c r="AA62" s="284"/>
      <c r="AB62" s="284"/>
      <c r="AC62" s="284"/>
      <c r="AD62" s="284"/>
      <c r="AE62" s="284"/>
      <c r="AF62" s="447"/>
      <c r="AG62" s="447"/>
      <c r="AH62" s="447"/>
      <c r="AI62" s="382"/>
      <c r="AJ62" s="382"/>
      <c r="AK62" s="382"/>
      <c r="AL62" s="382"/>
      <c r="AM62" s="382"/>
      <c r="AN62" s="382"/>
      <c r="AO62" s="382"/>
      <c r="AP62" s="382"/>
      <c r="AQ62" s="382"/>
      <c r="AR62" s="382"/>
      <c r="AS62" s="382"/>
      <c r="AT62" s="382"/>
      <c r="AU62" s="382"/>
      <c r="AV62" s="382"/>
      <c r="AW62" s="382"/>
      <c r="AX62" s="382"/>
      <c r="AY62" s="382"/>
      <c r="AZ62" s="382"/>
      <c r="BA62" s="382"/>
      <c r="BB62" s="382"/>
      <c r="BC62" s="382"/>
      <c r="BD62" s="382"/>
      <c r="BE62" s="382"/>
      <c r="BF62" s="382"/>
      <c r="BG62" s="382"/>
      <c r="BH62" s="382"/>
      <c r="BI62" s="382"/>
      <c r="BJ62" s="382"/>
      <c r="BK62" s="382"/>
      <c r="BL62" s="382"/>
      <c r="BM62" s="382"/>
      <c r="BN62" s="382"/>
      <c r="BO62" s="382"/>
    </row>
    <row r="63" spans="1:67" s="88" customFormat="1" ht="10.55" customHeight="1" x14ac:dyDescent="0.2">
      <c r="A63" s="1013" t="s">
        <v>327</v>
      </c>
      <c r="B63" s="2807"/>
      <c r="C63" s="2808"/>
      <c r="D63" s="2809"/>
      <c r="E63" s="2561"/>
      <c r="F63" s="2562"/>
      <c r="G63" s="1785">
        <v>20</v>
      </c>
      <c r="H63" s="524"/>
      <c r="I63" s="1409">
        <f t="shared" si="5"/>
        <v>6.4147128734474465E-2</v>
      </c>
      <c r="J63" s="1421">
        <f t="shared" si="6"/>
        <v>0</v>
      </c>
      <c r="K63" s="678">
        <v>3.5</v>
      </c>
      <c r="L63" s="1002"/>
      <c r="M63" s="1428">
        <f t="shared" si="7"/>
        <v>0</v>
      </c>
      <c r="N63" s="1111"/>
      <c r="O63" s="674">
        <f t="shared" si="8"/>
        <v>20</v>
      </c>
      <c r="P63" s="682"/>
      <c r="Q63" s="286"/>
      <c r="R63" s="287"/>
      <c r="S63" s="280"/>
      <c r="T63" s="280"/>
      <c r="U63" s="280"/>
      <c r="V63" s="280"/>
      <c r="W63" s="280"/>
      <c r="X63" s="280"/>
      <c r="Y63" s="280"/>
      <c r="Z63" s="284"/>
      <c r="AA63" s="284"/>
      <c r="AB63" s="284"/>
      <c r="AC63" s="284"/>
      <c r="AD63" s="284"/>
      <c r="AE63" s="284"/>
      <c r="AF63" s="447"/>
      <c r="AG63" s="447"/>
      <c r="AH63" s="447"/>
      <c r="AI63" s="382"/>
      <c r="AJ63" s="382"/>
      <c r="AK63" s="382"/>
      <c r="AL63" s="382"/>
      <c r="AM63" s="382"/>
      <c r="AN63" s="382"/>
      <c r="AO63" s="382"/>
      <c r="AP63" s="382"/>
      <c r="AQ63" s="382"/>
      <c r="AR63" s="382"/>
      <c r="AS63" s="382"/>
      <c r="AT63" s="382"/>
      <c r="AU63" s="382"/>
      <c r="AV63" s="382"/>
      <c r="AW63" s="382"/>
      <c r="AX63" s="382"/>
      <c r="AY63" s="382"/>
      <c r="AZ63" s="382"/>
      <c r="BA63" s="382"/>
      <c r="BB63" s="382"/>
      <c r="BC63" s="382"/>
      <c r="BD63" s="382"/>
      <c r="BE63" s="382"/>
      <c r="BF63" s="382"/>
      <c r="BG63" s="382"/>
      <c r="BH63" s="382"/>
      <c r="BI63" s="382"/>
      <c r="BJ63" s="382"/>
      <c r="BK63" s="382"/>
      <c r="BL63" s="382"/>
      <c r="BM63" s="382"/>
      <c r="BN63" s="382"/>
      <c r="BO63" s="382"/>
    </row>
    <row r="64" spans="1:67" s="88" customFormat="1" ht="10.55" customHeight="1" x14ac:dyDescent="0.2">
      <c r="A64" s="1013" t="s">
        <v>328</v>
      </c>
      <c r="B64" s="2807"/>
      <c r="C64" s="2808"/>
      <c r="D64" s="2809"/>
      <c r="E64" s="2561"/>
      <c r="F64" s="2562"/>
      <c r="G64" s="1785">
        <v>20</v>
      </c>
      <c r="H64" s="524"/>
      <c r="I64" s="1409">
        <f t="shared" si="5"/>
        <v>6.4147128734474465E-2</v>
      </c>
      <c r="J64" s="1421">
        <f t="shared" si="6"/>
        <v>0</v>
      </c>
      <c r="K64" s="678">
        <v>3</v>
      </c>
      <c r="L64" s="1002"/>
      <c r="M64" s="1428">
        <f t="shared" si="7"/>
        <v>0</v>
      </c>
      <c r="N64" s="1111"/>
      <c r="O64" s="674">
        <f t="shared" si="8"/>
        <v>20</v>
      </c>
      <c r="P64" s="682"/>
      <c r="Q64" s="286"/>
      <c r="R64" s="287"/>
      <c r="S64" s="280"/>
      <c r="T64" s="280"/>
      <c r="U64" s="280"/>
      <c r="V64" s="280"/>
      <c r="W64" s="280"/>
      <c r="X64" s="280"/>
      <c r="Y64" s="280"/>
      <c r="Z64" s="284"/>
      <c r="AA64" s="284"/>
      <c r="AB64" s="284"/>
      <c r="AC64" s="284"/>
      <c r="AD64" s="284"/>
      <c r="AE64" s="284"/>
      <c r="AF64" s="447"/>
      <c r="AG64" s="447"/>
      <c r="AH64" s="447"/>
      <c r="AI64" s="382"/>
      <c r="AJ64" s="382"/>
      <c r="AK64" s="382"/>
      <c r="AL64" s="382"/>
      <c r="AM64" s="382"/>
      <c r="AN64" s="382"/>
      <c r="AO64" s="382"/>
      <c r="AP64" s="382"/>
      <c r="AQ64" s="382"/>
      <c r="AR64" s="382"/>
      <c r="AS64" s="382"/>
      <c r="AT64" s="382"/>
      <c r="AU64" s="382"/>
      <c r="AV64" s="382"/>
      <c r="AW64" s="382"/>
      <c r="AX64" s="382"/>
      <c r="AY64" s="382"/>
      <c r="AZ64" s="382"/>
      <c r="BA64" s="382"/>
      <c r="BB64" s="382"/>
      <c r="BC64" s="382"/>
      <c r="BD64" s="382"/>
      <c r="BE64" s="382"/>
      <c r="BF64" s="382"/>
      <c r="BG64" s="382"/>
      <c r="BH64" s="382"/>
      <c r="BI64" s="382"/>
      <c r="BJ64" s="382"/>
      <c r="BK64" s="382"/>
      <c r="BL64" s="382"/>
      <c r="BM64" s="382"/>
      <c r="BN64" s="382"/>
      <c r="BO64" s="382"/>
    </row>
    <row r="65" spans="1:67" s="88" customFormat="1" ht="10.55" customHeight="1" x14ac:dyDescent="0.2">
      <c r="A65" s="1013" t="s">
        <v>329</v>
      </c>
      <c r="B65" s="2807"/>
      <c r="C65" s="2808"/>
      <c r="D65" s="2809"/>
      <c r="E65" s="2561"/>
      <c r="F65" s="2562"/>
      <c r="G65" s="1785">
        <v>20</v>
      </c>
      <c r="H65" s="524"/>
      <c r="I65" s="1409">
        <f t="shared" si="5"/>
        <v>6.4147128734474465E-2</v>
      </c>
      <c r="J65" s="1421">
        <f t="shared" si="6"/>
        <v>0</v>
      </c>
      <c r="K65" s="678">
        <v>2</v>
      </c>
      <c r="L65" s="1002"/>
      <c r="M65" s="1428">
        <f t="shared" si="7"/>
        <v>0</v>
      </c>
      <c r="N65" s="1111"/>
      <c r="O65" s="674">
        <f t="shared" si="8"/>
        <v>20</v>
      </c>
      <c r="P65" s="682"/>
      <c r="Q65" s="286"/>
      <c r="R65" s="287"/>
      <c r="S65" s="280"/>
      <c r="T65" s="280"/>
      <c r="U65" s="280"/>
      <c r="V65" s="280"/>
      <c r="W65" s="280"/>
      <c r="X65" s="280"/>
      <c r="Y65" s="280"/>
      <c r="Z65" s="284"/>
      <c r="AA65" s="284"/>
      <c r="AB65" s="284"/>
      <c r="AC65" s="284"/>
      <c r="AD65" s="284"/>
      <c r="AE65" s="284"/>
      <c r="AF65" s="447"/>
      <c r="AG65" s="447"/>
      <c r="AH65" s="447"/>
      <c r="AI65" s="382"/>
      <c r="AJ65" s="382"/>
      <c r="AK65" s="382"/>
      <c r="AL65" s="382"/>
      <c r="AM65" s="382"/>
      <c r="AN65" s="382"/>
      <c r="AO65" s="382"/>
      <c r="AP65" s="382"/>
      <c r="AQ65" s="382"/>
      <c r="AR65" s="382"/>
      <c r="AS65" s="382"/>
      <c r="AT65" s="382"/>
      <c r="AU65" s="382"/>
      <c r="AV65" s="382"/>
      <c r="AW65" s="382"/>
      <c r="AX65" s="382"/>
      <c r="AY65" s="382"/>
      <c r="AZ65" s="382"/>
      <c r="BA65" s="382"/>
      <c r="BB65" s="382"/>
      <c r="BC65" s="382"/>
      <c r="BD65" s="382"/>
      <c r="BE65" s="382"/>
      <c r="BF65" s="382"/>
      <c r="BG65" s="382"/>
      <c r="BH65" s="382"/>
      <c r="BI65" s="382"/>
      <c r="BJ65" s="382"/>
      <c r="BK65" s="382"/>
      <c r="BL65" s="382"/>
      <c r="BM65" s="382"/>
      <c r="BN65" s="382"/>
      <c r="BO65" s="382"/>
    </row>
    <row r="66" spans="1:67" s="88" customFormat="1" ht="10.55" customHeight="1" x14ac:dyDescent="0.2">
      <c r="A66" s="1013" t="s">
        <v>330</v>
      </c>
      <c r="B66" s="2807"/>
      <c r="C66" s="2808"/>
      <c r="D66" s="2809"/>
      <c r="E66" s="2561"/>
      <c r="F66" s="2562"/>
      <c r="G66" s="1785">
        <v>20</v>
      </c>
      <c r="H66" s="524"/>
      <c r="I66" s="1409">
        <f t="shared" si="5"/>
        <v>6.4147128734474465E-2</v>
      </c>
      <c r="J66" s="1421">
        <f t="shared" si="6"/>
        <v>0</v>
      </c>
      <c r="K66" s="678">
        <v>3</v>
      </c>
      <c r="L66" s="1002"/>
      <c r="M66" s="1428">
        <f t="shared" si="7"/>
        <v>0</v>
      </c>
      <c r="N66" s="1111"/>
      <c r="O66" s="674">
        <f t="shared" si="8"/>
        <v>20</v>
      </c>
      <c r="P66" s="682"/>
      <c r="Q66" s="286"/>
      <c r="R66" s="287"/>
      <c r="S66" s="280"/>
      <c r="T66" s="280"/>
      <c r="U66" s="280"/>
      <c r="V66" s="280"/>
      <c r="W66" s="280"/>
      <c r="X66" s="280"/>
      <c r="Y66" s="280"/>
      <c r="Z66" s="284"/>
      <c r="AA66" s="284"/>
      <c r="AB66" s="284"/>
      <c r="AC66" s="284"/>
      <c r="AD66" s="284"/>
      <c r="AE66" s="284"/>
      <c r="AF66" s="447"/>
      <c r="AG66" s="447"/>
      <c r="AH66" s="447"/>
      <c r="AI66" s="382"/>
      <c r="AJ66" s="382"/>
      <c r="AK66" s="382"/>
      <c r="AL66" s="382"/>
      <c r="AM66" s="382"/>
      <c r="AN66" s="382"/>
      <c r="AO66" s="382"/>
      <c r="AP66" s="382"/>
      <c r="AQ66" s="382"/>
      <c r="AR66" s="382"/>
      <c r="AS66" s="382"/>
      <c r="AT66" s="382"/>
      <c r="AU66" s="382"/>
      <c r="AV66" s="382"/>
      <c r="AW66" s="382"/>
      <c r="AX66" s="382"/>
      <c r="AY66" s="382"/>
      <c r="AZ66" s="382"/>
      <c r="BA66" s="382"/>
      <c r="BB66" s="382"/>
      <c r="BC66" s="382"/>
      <c r="BD66" s="382"/>
      <c r="BE66" s="382"/>
      <c r="BF66" s="382"/>
      <c r="BG66" s="382"/>
      <c r="BH66" s="382"/>
      <c r="BI66" s="382"/>
      <c r="BJ66" s="382"/>
      <c r="BK66" s="382"/>
      <c r="BL66" s="382"/>
      <c r="BM66" s="382"/>
      <c r="BN66" s="382"/>
      <c r="BO66" s="382"/>
    </row>
    <row r="67" spans="1:67" s="88" customFormat="1" ht="10.55" customHeight="1" x14ac:dyDescent="0.2">
      <c r="A67" s="1013" t="s">
        <v>331</v>
      </c>
      <c r="B67" s="2807"/>
      <c r="C67" s="2808"/>
      <c r="D67" s="2809"/>
      <c r="E67" s="2561"/>
      <c r="F67" s="2562"/>
      <c r="G67" s="1785">
        <v>20</v>
      </c>
      <c r="H67" s="524"/>
      <c r="I67" s="1409">
        <f t="shared" si="5"/>
        <v>6.4147128734474465E-2</v>
      </c>
      <c r="J67" s="1421">
        <f t="shared" si="6"/>
        <v>0</v>
      </c>
      <c r="K67" s="678">
        <v>3</v>
      </c>
      <c r="L67" s="1002"/>
      <c r="M67" s="1428">
        <f t="shared" si="7"/>
        <v>0</v>
      </c>
      <c r="N67" s="1111"/>
      <c r="O67" s="674">
        <f t="shared" si="8"/>
        <v>20</v>
      </c>
      <c r="P67" s="682"/>
      <c r="Q67" s="286"/>
      <c r="R67" s="287"/>
      <c r="S67" s="280"/>
      <c r="T67" s="280"/>
      <c r="U67" s="280"/>
      <c r="V67" s="280"/>
      <c r="W67" s="280"/>
      <c r="X67" s="280"/>
      <c r="Y67" s="280"/>
      <c r="Z67" s="284"/>
      <c r="AA67" s="284"/>
      <c r="AB67" s="284"/>
      <c r="AC67" s="284"/>
      <c r="AD67" s="284"/>
      <c r="AE67" s="284"/>
      <c r="AF67" s="447"/>
      <c r="AG67" s="447"/>
      <c r="AH67" s="447"/>
      <c r="AI67" s="382"/>
      <c r="AJ67" s="382"/>
      <c r="AK67" s="382"/>
      <c r="AL67" s="382"/>
      <c r="AM67" s="382"/>
      <c r="AN67" s="382"/>
      <c r="AO67" s="382"/>
      <c r="AP67" s="382"/>
      <c r="AQ67" s="382"/>
      <c r="AR67" s="382"/>
      <c r="AS67" s="382"/>
      <c r="AT67" s="382"/>
      <c r="AU67" s="382"/>
      <c r="AV67" s="382"/>
      <c r="AW67" s="382"/>
      <c r="AX67" s="382"/>
      <c r="AY67" s="382"/>
      <c r="AZ67" s="382"/>
      <c r="BA67" s="382"/>
      <c r="BB67" s="382"/>
      <c r="BC67" s="382"/>
      <c r="BD67" s="382"/>
      <c r="BE67" s="382"/>
      <c r="BF67" s="382"/>
      <c r="BG67" s="382"/>
      <c r="BH67" s="382"/>
      <c r="BI67" s="382"/>
      <c r="BJ67" s="382"/>
      <c r="BK67" s="382"/>
      <c r="BL67" s="382"/>
      <c r="BM67" s="382"/>
      <c r="BN67" s="382"/>
      <c r="BO67" s="382"/>
    </row>
    <row r="68" spans="1:67" s="88" customFormat="1" ht="10.55" customHeight="1" x14ac:dyDescent="0.2">
      <c r="A68" s="1013" t="s">
        <v>332</v>
      </c>
      <c r="B68" s="2807"/>
      <c r="C68" s="2808"/>
      <c r="D68" s="2809"/>
      <c r="E68" s="2561"/>
      <c r="F68" s="2562"/>
      <c r="G68" s="1785">
        <v>40</v>
      </c>
      <c r="H68" s="524"/>
      <c r="I68" s="1409">
        <f t="shared" si="5"/>
        <v>3.9836233162469814E-2</v>
      </c>
      <c r="J68" s="1421">
        <f t="shared" si="6"/>
        <v>0</v>
      </c>
      <c r="K68" s="678">
        <v>0</v>
      </c>
      <c r="L68" s="1002"/>
      <c r="M68" s="1428">
        <f t="shared" si="7"/>
        <v>0</v>
      </c>
      <c r="N68" s="1111"/>
      <c r="O68" s="674">
        <f t="shared" si="8"/>
        <v>40</v>
      </c>
      <c r="P68" s="682"/>
      <c r="Q68" s="286"/>
      <c r="R68" s="287"/>
      <c r="S68" s="280"/>
      <c r="T68" s="280"/>
      <c r="U68" s="280"/>
      <c r="V68" s="280"/>
      <c r="W68" s="280"/>
      <c r="X68" s="280"/>
      <c r="Y68" s="280"/>
      <c r="Z68" s="284"/>
      <c r="AA68" s="284"/>
      <c r="AB68" s="284"/>
      <c r="AC68" s="284"/>
      <c r="AD68" s="284"/>
      <c r="AE68" s="284"/>
      <c r="AF68" s="447"/>
      <c r="AG68" s="447"/>
      <c r="AH68" s="447"/>
      <c r="AI68" s="382"/>
      <c r="AJ68" s="382"/>
      <c r="AK68" s="382"/>
      <c r="AL68" s="382"/>
      <c r="AM68" s="382"/>
      <c r="AN68" s="382"/>
      <c r="AO68" s="382"/>
      <c r="AP68" s="382"/>
      <c r="AQ68" s="382"/>
      <c r="AR68" s="382"/>
      <c r="AS68" s="382"/>
      <c r="AT68" s="382"/>
      <c r="AU68" s="382"/>
      <c r="AV68" s="382"/>
      <c r="AW68" s="382"/>
      <c r="AX68" s="382"/>
      <c r="AY68" s="382"/>
      <c r="AZ68" s="382"/>
      <c r="BA68" s="382"/>
      <c r="BB68" s="382"/>
      <c r="BC68" s="382"/>
      <c r="BD68" s="382"/>
      <c r="BE68" s="382"/>
      <c r="BF68" s="382"/>
      <c r="BG68" s="382"/>
      <c r="BH68" s="382"/>
      <c r="BI68" s="382"/>
      <c r="BJ68" s="382"/>
      <c r="BK68" s="382"/>
      <c r="BL68" s="382"/>
      <c r="BM68" s="382"/>
      <c r="BN68" s="382"/>
      <c r="BO68" s="382"/>
    </row>
    <row r="69" spans="1:67" s="88" customFormat="1" ht="10.55" customHeight="1" x14ac:dyDescent="0.2">
      <c r="A69" s="1013" t="s">
        <v>333</v>
      </c>
      <c r="B69" s="2807"/>
      <c r="C69" s="2808"/>
      <c r="D69" s="2809"/>
      <c r="E69" s="2561"/>
      <c r="F69" s="2562"/>
      <c r="G69" s="1785">
        <v>20</v>
      </c>
      <c r="H69" s="524"/>
      <c r="I69" s="1409">
        <f t="shared" si="5"/>
        <v>6.4147128734474465E-2</v>
      </c>
      <c r="J69" s="1421">
        <f t="shared" si="6"/>
        <v>0</v>
      </c>
      <c r="K69" s="678">
        <v>8</v>
      </c>
      <c r="L69" s="1002"/>
      <c r="M69" s="1428">
        <f t="shared" si="7"/>
        <v>0</v>
      </c>
      <c r="N69" s="1111"/>
      <c r="O69" s="674">
        <f t="shared" si="8"/>
        <v>20</v>
      </c>
      <c r="P69" s="682"/>
      <c r="Q69" s="286"/>
      <c r="R69" s="287"/>
      <c r="S69" s="280"/>
      <c r="T69" s="280"/>
      <c r="U69" s="280"/>
      <c r="V69" s="280"/>
      <c r="W69" s="280"/>
      <c r="X69" s="280"/>
      <c r="Y69" s="280"/>
      <c r="Z69" s="284"/>
      <c r="AA69" s="284"/>
      <c r="AB69" s="284"/>
      <c r="AC69" s="284"/>
      <c r="AD69" s="284"/>
      <c r="AE69" s="284"/>
      <c r="AF69" s="447"/>
      <c r="AG69" s="447"/>
      <c r="AH69" s="447"/>
      <c r="AI69" s="382"/>
      <c r="AJ69" s="382"/>
      <c r="AK69" s="382"/>
      <c r="AL69" s="382"/>
      <c r="AM69" s="382"/>
      <c r="AN69" s="382"/>
      <c r="AO69" s="382"/>
      <c r="AP69" s="382"/>
      <c r="AQ69" s="382"/>
      <c r="AR69" s="382"/>
      <c r="AS69" s="382"/>
      <c r="AT69" s="382"/>
      <c r="AU69" s="382"/>
      <c r="AV69" s="382"/>
      <c r="AW69" s="382"/>
      <c r="AX69" s="382"/>
      <c r="AY69" s="382"/>
      <c r="AZ69" s="382"/>
      <c r="BA69" s="382"/>
      <c r="BB69" s="382"/>
      <c r="BC69" s="382"/>
      <c r="BD69" s="382"/>
      <c r="BE69" s="382"/>
      <c r="BF69" s="382"/>
      <c r="BG69" s="382"/>
      <c r="BH69" s="382"/>
      <c r="BI69" s="382"/>
      <c r="BJ69" s="382"/>
      <c r="BK69" s="382"/>
      <c r="BL69" s="382"/>
      <c r="BM69" s="382"/>
      <c r="BN69" s="382"/>
      <c r="BO69" s="382"/>
    </row>
    <row r="70" spans="1:67" s="88" customFormat="1" ht="10.55" customHeight="1" x14ac:dyDescent="0.2">
      <c r="A70" s="1013" t="s">
        <v>334</v>
      </c>
      <c r="B70" s="2807"/>
      <c r="C70" s="2808"/>
      <c r="D70" s="2809"/>
      <c r="E70" s="2561"/>
      <c r="F70" s="2562"/>
      <c r="G70" s="1785">
        <v>20</v>
      </c>
      <c r="H70" s="524"/>
      <c r="I70" s="1409">
        <f t="shared" si="5"/>
        <v>6.4147128734474465E-2</v>
      </c>
      <c r="J70" s="1421">
        <f t="shared" si="6"/>
        <v>0</v>
      </c>
      <c r="K70" s="1784">
        <v>0</v>
      </c>
      <c r="L70" s="1002"/>
      <c r="M70" s="1428">
        <f t="shared" si="7"/>
        <v>0</v>
      </c>
      <c r="N70" s="1111"/>
      <c r="O70" s="674">
        <f t="shared" si="8"/>
        <v>20</v>
      </c>
      <c r="P70" s="682"/>
      <c r="Q70" s="286"/>
      <c r="R70" s="287"/>
      <c r="S70" s="280"/>
      <c r="T70" s="280"/>
      <c r="U70" s="280"/>
      <c r="V70" s="280"/>
      <c r="W70" s="280"/>
      <c r="X70" s="280"/>
      <c r="Y70" s="280"/>
      <c r="Z70" s="284"/>
      <c r="AA70" s="284"/>
      <c r="AB70" s="284"/>
      <c r="AC70" s="284"/>
      <c r="AD70" s="284"/>
      <c r="AE70" s="284"/>
      <c r="AF70" s="447"/>
      <c r="AG70" s="447"/>
      <c r="AH70" s="447"/>
      <c r="AI70" s="382"/>
      <c r="AJ70" s="382"/>
      <c r="AK70" s="382"/>
      <c r="AL70" s="382"/>
      <c r="AM70" s="382"/>
      <c r="AN70" s="382"/>
      <c r="AO70" s="382"/>
      <c r="AP70" s="382"/>
      <c r="AQ70" s="382"/>
      <c r="AR70" s="382"/>
      <c r="AS70" s="382"/>
      <c r="AT70" s="382"/>
      <c r="AU70" s="382"/>
      <c r="AV70" s="382"/>
      <c r="AW70" s="382"/>
      <c r="AX70" s="382"/>
      <c r="AY70" s="382"/>
      <c r="AZ70" s="382"/>
      <c r="BA70" s="382"/>
      <c r="BB70" s="382"/>
      <c r="BC70" s="382"/>
      <c r="BD70" s="382"/>
      <c r="BE70" s="382"/>
      <c r="BF70" s="382"/>
      <c r="BG70" s="382"/>
      <c r="BH70" s="382"/>
      <c r="BI70" s="382"/>
      <c r="BJ70" s="382"/>
      <c r="BK70" s="382"/>
      <c r="BL70" s="382"/>
      <c r="BM70" s="382"/>
      <c r="BN70" s="382"/>
      <c r="BO70" s="382"/>
    </row>
    <row r="71" spans="1:67" s="88" customFormat="1" ht="10.55" customHeight="1" x14ac:dyDescent="0.2">
      <c r="A71" s="675"/>
      <c r="B71" s="2807"/>
      <c r="C71" s="2808"/>
      <c r="D71" s="2809"/>
      <c r="E71" s="2561"/>
      <c r="F71" s="2562"/>
      <c r="G71" s="1015"/>
      <c r="H71" s="524"/>
      <c r="I71" s="1409">
        <f t="shared" si="5"/>
        <v>0</v>
      </c>
      <c r="J71" s="1421">
        <f t="shared" si="6"/>
        <v>0</v>
      </c>
      <c r="K71" s="679"/>
      <c r="L71" s="1002"/>
      <c r="M71" s="1428">
        <f t="shared" si="7"/>
        <v>0</v>
      </c>
      <c r="N71" s="1111"/>
      <c r="O71" s="674">
        <f t="shared" si="8"/>
        <v>0</v>
      </c>
      <c r="P71" s="682"/>
      <c r="Q71" s="286"/>
      <c r="R71" s="287"/>
      <c r="S71" s="280"/>
      <c r="T71" s="280"/>
      <c r="U71" s="280"/>
      <c r="V71" s="280"/>
      <c r="W71" s="280"/>
      <c r="X71" s="280"/>
      <c r="Y71" s="280"/>
      <c r="Z71" s="284"/>
      <c r="AA71" s="284"/>
      <c r="AB71" s="284"/>
      <c r="AC71" s="284"/>
      <c r="AD71" s="284"/>
      <c r="AE71" s="284"/>
      <c r="AF71" s="447"/>
      <c r="AG71" s="447"/>
      <c r="AH71" s="447"/>
      <c r="AI71" s="382"/>
      <c r="AJ71" s="382"/>
      <c r="AK71" s="382"/>
      <c r="AL71" s="382"/>
      <c r="AM71" s="382"/>
      <c r="AN71" s="382"/>
      <c r="AO71" s="382"/>
      <c r="AP71" s="382"/>
      <c r="AQ71" s="382"/>
      <c r="AR71" s="382"/>
      <c r="AS71" s="382"/>
      <c r="AT71" s="382"/>
      <c r="AU71" s="382"/>
      <c r="AV71" s="382"/>
      <c r="AW71" s="382"/>
      <c r="AX71" s="382"/>
      <c r="AY71" s="382"/>
      <c r="AZ71" s="382"/>
      <c r="BA71" s="382"/>
      <c r="BB71" s="382"/>
      <c r="BC71" s="382"/>
      <c r="BD71" s="382"/>
      <c r="BE71" s="382"/>
      <c r="BF71" s="382"/>
      <c r="BG71" s="382"/>
      <c r="BH71" s="382"/>
      <c r="BI71" s="382"/>
      <c r="BJ71" s="382"/>
      <c r="BK71" s="382"/>
      <c r="BL71" s="382"/>
      <c r="BM71" s="382"/>
      <c r="BN71" s="382"/>
      <c r="BO71" s="382"/>
    </row>
    <row r="72" spans="1:67" s="88" customFormat="1" ht="10.55" customHeight="1" x14ac:dyDescent="0.2">
      <c r="A72" s="675"/>
      <c r="B72" s="2807"/>
      <c r="C72" s="2808"/>
      <c r="D72" s="2809"/>
      <c r="E72" s="2561"/>
      <c r="F72" s="2562"/>
      <c r="G72" s="1015"/>
      <c r="H72" s="524"/>
      <c r="I72" s="1409">
        <f t="shared" si="5"/>
        <v>0</v>
      </c>
      <c r="J72" s="1421">
        <f t="shared" si="6"/>
        <v>0</v>
      </c>
      <c r="K72" s="679"/>
      <c r="L72" s="1002"/>
      <c r="M72" s="1428">
        <f t="shared" si="7"/>
        <v>0</v>
      </c>
      <c r="N72" s="1111"/>
      <c r="O72" s="674">
        <f t="shared" si="8"/>
        <v>0</v>
      </c>
      <c r="P72" s="682"/>
      <c r="Q72" s="286"/>
      <c r="R72" s="287"/>
      <c r="S72" s="280"/>
      <c r="T72" s="280"/>
      <c r="U72" s="280"/>
      <c r="V72" s="280"/>
      <c r="W72" s="280"/>
      <c r="X72" s="280"/>
      <c r="Y72" s="280"/>
      <c r="Z72" s="284"/>
      <c r="AA72" s="284"/>
      <c r="AB72" s="284"/>
      <c r="AC72" s="284"/>
      <c r="AD72" s="284"/>
      <c r="AE72" s="284"/>
      <c r="AF72" s="447"/>
      <c r="AG72" s="447"/>
      <c r="AH72" s="447"/>
      <c r="AI72" s="382"/>
      <c r="AJ72" s="382"/>
      <c r="AK72" s="382"/>
      <c r="AL72" s="382"/>
      <c r="AM72" s="382"/>
      <c r="AN72" s="382"/>
      <c r="AO72" s="382"/>
      <c r="AP72" s="382"/>
      <c r="AQ72" s="382"/>
      <c r="AR72" s="382"/>
      <c r="AS72" s="382"/>
      <c r="AT72" s="382"/>
      <c r="AU72" s="382"/>
      <c r="AV72" s="382"/>
      <c r="AW72" s="382"/>
      <c r="AX72" s="382"/>
      <c r="AY72" s="382"/>
      <c r="AZ72" s="382"/>
      <c r="BA72" s="382"/>
      <c r="BB72" s="382"/>
      <c r="BC72" s="382"/>
      <c r="BD72" s="382"/>
      <c r="BE72" s="382"/>
      <c r="BF72" s="382"/>
      <c r="BG72" s="382"/>
      <c r="BH72" s="382"/>
      <c r="BI72" s="382"/>
      <c r="BJ72" s="382"/>
      <c r="BK72" s="382"/>
      <c r="BL72" s="382"/>
      <c r="BM72" s="382"/>
      <c r="BN72" s="382"/>
      <c r="BO72" s="382"/>
    </row>
    <row r="73" spans="1:67" s="88" customFormat="1" ht="10.55" customHeight="1" x14ac:dyDescent="0.2">
      <c r="A73" s="1085"/>
      <c r="B73" s="2804"/>
      <c r="C73" s="2805"/>
      <c r="D73" s="2806"/>
      <c r="E73" s="2793"/>
      <c r="F73" s="2794"/>
      <c r="G73" s="1086"/>
      <c r="H73" s="1087"/>
      <c r="I73" s="1437">
        <f t="shared" si="5"/>
        <v>0</v>
      </c>
      <c r="J73" s="1413"/>
      <c r="K73" s="1088"/>
      <c r="L73" s="1089"/>
      <c r="M73" s="1431">
        <f t="shared" si="7"/>
        <v>0</v>
      </c>
      <c r="N73" s="1111"/>
      <c r="O73" s="674">
        <f t="shared" si="8"/>
        <v>0</v>
      </c>
      <c r="P73" s="682"/>
      <c r="Q73" s="286"/>
      <c r="R73" s="287"/>
      <c r="S73" s="280"/>
      <c r="T73" s="280"/>
      <c r="U73" s="280"/>
      <c r="V73" s="280"/>
      <c r="W73" s="280"/>
      <c r="X73" s="280"/>
      <c r="Y73" s="280"/>
      <c r="Z73" s="284"/>
      <c r="AA73" s="284"/>
      <c r="AB73" s="284"/>
      <c r="AC73" s="284"/>
      <c r="AD73" s="284"/>
      <c r="AE73" s="284"/>
      <c r="AF73" s="447"/>
      <c r="AG73" s="447"/>
      <c r="AH73" s="447"/>
      <c r="AI73" s="382"/>
      <c r="AJ73" s="382"/>
      <c r="AK73" s="382"/>
      <c r="AL73" s="382"/>
      <c r="AM73" s="382"/>
      <c r="AN73" s="382"/>
      <c r="AO73" s="382"/>
      <c r="AP73" s="382"/>
      <c r="AQ73" s="382"/>
      <c r="AR73" s="382"/>
      <c r="AS73" s="382"/>
      <c r="AT73" s="382"/>
      <c r="AU73" s="382"/>
      <c r="AV73" s="382"/>
      <c r="AW73" s="382"/>
      <c r="AX73" s="382"/>
      <c r="AY73" s="382"/>
      <c r="AZ73" s="382"/>
      <c r="BA73" s="382"/>
      <c r="BB73" s="382"/>
      <c r="BC73" s="382"/>
      <c r="BD73" s="382"/>
      <c r="BE73" s="382"/>
      <c r="BF73" s="382"/>
      <c r="BG73" s="382"/>
      <c r="BH73" s="382"/>
      <c r="BI73" s="382"/>
      <c r="BJ73" s="382"/>
      <c r="BK73" s="382"/>
      <c r="BL73" s="382"/>
      <c r="BM73" s="382"/>
      <c r="BN73" s="382"/>
      <c r="BO73" s="382"/>
    </row>
    <row r="74" spans="1:67" s="88" customFormat="1" ht="10.55" customHeight="1" x14ac:dyDescent="0.2">
      <c r="A74" s="1122" t="s">
        <v>335</v>
      </c>
      <c r="B74" s="2783"/>
      <c r="C74" s="2784"/>
      <c r="D74" s="2785"/>
      <c r="E74" s="2810">
        <f>SUM(E75:E87)</f>
        <v>0</v>
      </c>
      <c r="F74" s="2811"/>
      <c r="G74" s="2747"/>
      <c r="H74" s="2748"/>
      <c r="I74" s="1435">
        <f>IF(E74=0,0,J74/E74)</f>
        <v>0</v>
      </c>
      <c r="J74" s="1423">
        <f>SUM(J75:J87)</f>
        <v>0</v>
      </c>
      <c r="K74" s="2749">
        <f>IF(E74=0,0,M74/E74*100)</f>
        <v>0</v>
      </c>
      <c r="L74" s="2750"/>
      <c r="M74" s="1430">
        <f>SUM(M75:M87)</f>
        <v>0</v>
      </c>
      <c r="N74" s="1111"/>
      <c r="O74" s="387">
        <f>IF(H74="",G74,H74)</f>
        <v>0</v>
      </c>
      <c r="P74" s="682"/>
      <c r="Q74" s="286"/>
      <c r="R74" s="287"/>
      <c r="S74" s="280"/>
      <c r="T74" s="280"/>
      <c r="U74" s="280"/>
      <c r="V74" s="280"/>
      <c r="W74" s="280"/>
      <c r="X74" s="280"/>
      <c r="Y74" s="280"/>
      <c r="Z74" s="284"/>
      <c r="AA74" s="284"/>
      <c r="AB74" s="284"/>
      <c r="AC74" s="284"/>
      <c r="AD74" s="284"/>
      <c r="AE74" s="284"/>
      <c r="AF74" s="447"/>
      <c r="AG74" s="447"/>
      <c r="AH74" s="447"/>
      <c r="AI74" s="382"/>
      <c r="AJ74" s="382"/>
      <c r="AK74" s="382"/>
      <c r="AL74" s="382"/>
      <c r="AM74" s="382"/>
      <c r="AN74" s="382"/>
      <c r="AO74" s="382"/>
      <c r="AP74" s="382"/>
      <c r="AQ74" s="382"/>
      <c r="AR74" s="382"/>
      <c r="AS74" s="382"/>
      <c r="AT74" s="382"/>
      <c r="AU74" s="382"/>
      <c r="AV74" s="382"/>
      <c r="AW74" s="382"/>
      <c r="AX74" s="382"/>
      <c r="AY74" s="382"/>
      <c r="AZ74" s="382"/>
      <c r="BA74" s="382"/>
      <c r="BB74" s="382"/>
      <c r="BC74" s="382"/>
      <c r="BD74" s="382"/>
      <c r="BE74" s="382"/>
      <c r="BF74" s="382"/>
      <c r="BG74" s="382"/>
      <c r="BH74" s="382"/>
      <c r="BI74" s="382"/>
      <c r="BJ74" s="382"/>
      <c r="BK74" s="382"/>
      <c r="BL74" s="382"/>
      <c r="BM74" s="382"/>
      <c r="BN74" s="382"/>
      <c r="BO74" s="382"/>
    </row>
    <row r="75" spans="1:67" s="88" customFormat="1" ht="10.55" customHeight="1" x14ac:dyDescent="0.2">
      <c r="A75" s="1013" t="s">
        <v>336</v>
      </c>
      <c r="B75" s="2790"/>
      <c r="C75" s="2791"/>
      <c r="D75" s="2792"/>
      <c r="E75" s="2734"/>
      <c r="F75" s="2735"/>
      <c r="G75" s="1785">
        <v>40</v>
      </c>
      <c r="H75" s="524"/>
      <c r="I75" s="1409">
        <f t="shared" ref="I75:I88" si="9">IF($O75&gt;0,-PMT(($I$9),$O75,1),0)</f>
        <v>3.9836233162469814E-2</v>
      </c>
      <c r="J75" s="1421">
        <f t="shared" ref="J75:J87" si="10">ROUND(E75*I75,0)</f>
        <v>0</v>
      </c>
      <c r="K75" s="678">
        <v>1.5</v>
      </c>
      <c r="L75" s="1002"/>
      <c r="M75" s="1428">
        <f t="shared" ref="M75:M88" si="11">ROUND(E75/100*IF(ISBLANK(L75),K75,L75),0)</f>
        <v>0</v>
      </c>
      <c r="N75" s="1111"/>
      <c r="O75" s="674">
        <f t="shared" ref="O75:O88" si="12">IF(ISBLANK(H75),G75,H75)</f>
        <v>40</v>
      </c>
      <c r="P75" s="682"/>
      <c r="Q75" s="286"/>
      <c r="R75" s="287"/>
      <c r="S75" s="280"/>
      <c r="T75" s="280"/>
      <c r="U75" s="280"/>
      <c r="V75" s="280"/>
      <c r="W75" s="280"/>
      <c r="X75" s="280"/>
      <c r="Y75" s="280"/>
      <c r="Z75" s="284"/>
      <c r="AA75" s="284"/>
      <c r="AB75" s="284"/>
      <c r="AC75" s="284"/>
      <c r="AD75" s="284"/>
      <c r="AE75" s="284"/>
      <c r="AF75" s="447"/>
      <c r="AG75" s="447"/>
      <c r="AH75" s="447"/>
      <c r="AI75" s="382"/>
      <c r="AJ75" s="382"/>
      <c r="AK75" s="382"/>
      <c r="AL75" s="382"/>
      <c r="AM75" s="382"/>
      <c r="AN75" s="382"/>
      <c r="AO75" s="382"/>
      <c r="AP75" s="382"/>
      <c r="AQ75" s="382"/>
      <c r="AR75" s="382"/>
      <c r="AS75" s="382"/>
      <c r="AT75" s="382"/>
      <c r="AU75" s="382"/>
      <c r="AV75" s="382"/>
      <c r="AW75" s="382"/>
      <c r="AX75" s="382"/>
      <c r="AY75" s="382"/>
      <c r="AZ75" s="382"/>
      <c r="BA75" s="382"/>
      <c r="BB75" s="382"/>
      <c r="BC75" s="382"/>
      <c r="BD75" s="382"/>
      <c r="BE75" s="382"/>
      <c r="BF75" s="382"/>
      <c r="BG75" s="382"/>
      <c r="BH75" s="382"/>
      <c r="BI75" s="382"/>
      <c r="BJ75" s="382"/>
      <c r="BK75" s="382"/>
      <c r="BL75" s="382"/>
      <c r="BM75" s="382"/>
      <c r="BN75" s="382"/>
      <c r="BO75" s="382"/>
    </row>
    <row r="76" spans="1:67" s="88" customFormat="1" ht="10.55" customHeight="1" x14ac:dyDescent="0.2">
      <c r="A76" s="1013" t="s">
        <v>337</v>
      </c>
      <c r="B76" s="2807"/>
      <c r="C76" s="2808"/>
      <c r="D76" s="2809"/>
      <c r="E76" s="2561"/>
      <c r="F76" s="2562"/>
      <c r="G76" s="1785">
        <v>40</v>
      </c>
      <c r="H76" s="524"/>
      <c r="I76" s="1409">
        <f t="shared" si="9"/>
        <v>3.9836233162469814E-2</v>
      </c>
      <c r="J76" s="1421">
        <f t="shared" si="10"/>
        <v>0</v>
      </c>
      <c r="K76" s="678">
        <v>0.5</v>
      </c>
      <c r="L76" s="1002"/>
      <c r="M76" s="1428">
        <f t="shared" si="11"/>
        <v>0</v>
      </c>
      <c r="N76" s="1111"/>
      <c r="O76" s="674">
        <f t="shared" si="12"/>
        <v>40</v>
      </c>
      <c r="P76" s="682"/>
      <c r="Q76" s="286"/>
      <c r="R76" s="287"/>
      <c r="S76" s="280"/>
      <c r="T76" s="280"/>
      <c r="U76" s="280"/>
      <c r="V76" s="280"/>
      <c r="W76" s="280"/>
      <c r="X76" s="280"/>
      <c r="Y76" s="280"/>
      <c r="Z76" s="284"/>
      <c r="AA76" s="284"/>
      <c r="AB76" s="284"/>
      <c r="AC76" s="284"/>
      <c r="AD76" s="284"/>
      <c r="AE76" s="284"/>
      <c r="AF76" s="447"/>
      <c r="AG76" s="447"/>
      <c r="AH76" s="447"/>
      <c r="AI76" s="382"/>
      <c r="AJ76" s="382"/>
      <c r="AK76" s="382"/>
      <c r="AL76" s="382"/>
      <c r="AM76" s="382"/>
      <c r="AN76" s="382"/>
      <c r="AO76" s="382"/>
      <c r="AP76" s="382"/>
      <c r="AQ76" s="382"/>
      <c r="AR76" s="382"/>
      <c r="AS76" s="382"/>
      <c r="AT76" s="382"/>
      <c r="AU76" s="382"/>
      <c r="AV76" s="382"/>
      <c r="AW76" s="382"/>
      <c r="AX76" s="382"/>
      <c r="AY76" s="382"/>
      <c r="AZ76" s="382"/>
      <c r="BA76" s="382"/>
      <c r="BB76" s="382"/>
      <c r="BC76" s="382"/>
      <c r="BD76" s="382"/>
      <c r="BE76" s="382"/>
      <c r="BF76" s="382"/>
      <c r="BG76" s="382"/>
      <c r="BH76" s="382"/>
      <c r="BI76" s="382"/>
      <c r="BJ76" s="382"/>
      <c r="BK76" s="382"/>
      <c r="BL76" s="382"/>
      <c r="BM76" s="382"/>
      <c r="BN76" s="382"/>
      <c r="BO76" s="382"/>
    </row>
    <row r="77" spans="1:67" s="88" customFormat="1" ht="10.55" customHeight="1" x14ac:dyDescent="0.2">
      <c r="A77" s="1013" t="s">
        <v>338</v>
      </c>
      <c r="B77" s="2807"/>
      <c r="C77" s="2808"/>
      <c r="D77" s="2809"/>
      <c r="E77" s="2561"/>
      <c r="F77" s="2562"/>
      <c r="G77" s="1785">
        <v>20</v>
      </c>
      <c r="H77" s="524"/>
      <c r="I77" s="1409">
        <f t="shared" si="9"/>
        <v>6.4147128734474465E-2</v>
      </c>
      <c r="J77" s="1421">
        <f t="shared" si="10"/>
        <v>0</v>
      </c>
      <c r="K77" s="678">
        <v>1</v>
      </c>
      <c r="L77" s="1002"/>
      <c r="M77" s="1428">
        <f t="shared" si="11"/>
        <v>0</v>
      </c>
      <c r="N77" s="1111"/>
      <c r="O77" s="674">
        <f t="shared" si="12"/>
        <v>20</v>
      </c>
      <c r="P77" s="682"/>
      <c r="Q77" s="286"/>
      <c r="R77" s="287"/>
      <c r="S77" s="280"/>
      <c r="T77" s="280"/>
      <c r="U77" s="280"/>
      <c r="V77" s="280"/>
      <c r="W77" s="280"/>
      <c r="X77" s="280"/>
      <c r="Y77" s="280"/>
      <c r="Z77" s="284"/>
      <c r="AA77" s="284"/>
      <c r="AB77" s="284"/>
      <c r="AC77" s="284"/>
      <c r="AD77" s="284"/>
      <c r="AE77" s="284"/>
      <c r="AF77" s="447"/>
      <c r="AG77" s="447"/>
      <c r="AH77" s="447"/>
      <c r="AI77" s="382"/>
      <c r="AJ77" s="382"/>
      <c r="AK77" s="382"/>
      <c r="AL77" s="382"/>
      <c r="AM77" s="382"/>
      <c r="AN77" s="382"/>
      <c r="AO77" s="382"/>
      <c r="AP77" s="382"/>
      <c r="AQ77" s="382"/>
      <c r="AR77" s="382"/>
      <c r="AS77" s="382"/>
      <c r="AT77" s="382"/>
      <c r="AU77" s="382"/>
      <c r="AV77" s="382"/>
      <c r="AW77" s="382"/>
      <c r="AX77" s="382"/>
      <c r="AY77" s="382"/>
      <c r="AZ77" s="382"/>
      <c r="BA77" s="382"/>
      <c r="BB77" s="382"/>
      <c r="BC77" s="382"/>
      <c r="BD77" s="382"/>
      <c r="BE77" s="382"/>
      <c r="BF77" s="382"/>
      <c r="BG77" s="382"/>
      <c r="BH77" s="382"/>
      <c r="BI77" s="382"/>
      <c r="BJ77" s="382"/>
      <c r="BK77" s="382"/>
      <c r="BL77" s="382"/>
      <c r="BM77" s="382"/>
      <c r="BN77" s="382"/>
      <c r="BO77" s="382"/>
    </row>
    <row r="78" spans="1:67" s="88" customFormat="1" ht="10.55" customHeight="1" x14ac:dyDescent="0.2">
      <c r="A78" s="1013" t="s">
        <v>339</v>
      </c>
      <c r="B78" s="2807"/>
      <c r="C78" s="2808"/>
      <c r="D78" s="2809"/>
      <c r="E78" s="2561"/>
      <c r="F78" s="2562"/>
      <c r="G78" s="1785">
        <v>30</v>
      </c>
      <c r="H78" s="524"/>
      <c r="I78" s="1409">
        <f t="shared" si="9"/>
        <v>4.7777640736176463E-2</v>
      </c>
      <c r="J78" s="1421">
        <f t="shared" si="10"/>
        <v>0</v>
      </c>
      <c r="K78" s="678">
        <v>2</v>
      </c>
      <c r="L78" s="1002"/>
      <c r="M78" s="1428">
        <f t="shared" si="11"/>
        <v>0</v>
      </c>
      <c r="N78" s="1111"/>
      <c r="O78" s="674">
        <f t="shared" si="12"/>
        <v>30</v>
      </c>
      <c r="P78" s="682"/>
      <c r="Q78" s="286"/>
      <c r="R78" s="287"/>
      <c r="S78" s="280"/>
      <c r="T78" s="280"/>
      <c r="U78" s="280"/>
      <c r="V78" s="280"/>
      <c r="W78" s="280"/>
      <c r="X78" s="280"/>
      <c r="Y78" s="280"/>
      <c r="Z78" s="284"/>
      <c r="AA78" s="284"/>
      <c r="AB78" s="284"/>
      <c r="AC78" s="284"/>
      <c r="AD78" s="284"/>
      <c r="AE78" s="284"/>
      <c r="AF78" s="447"/>
      <c r="AG78" s="447"/>
      <c r="AH78" s="447"/>
      <c r="AI78" s="382"/>
      <c r="AJ78" s="382"/>
      <c r="AK78" s="382"/>
      <c r="AL78" s="382"/>
      <c r="AM78" s="382"/>
      <c r="AN78" s="382"/>
      <c r="AO78" s="382"/>
      <c r="AP78" s="382"/>
      <c r="AQ78" s="382"/>
      <c r="AR78" s="382"/>
      <c r="AS78" s="382"/>
      <c r="AT78" s="382"/>
      <c r="AU78" s="382"/>
      <c r="AV78" s="382"/>
      <c r="AW78" s="382"/>
      <c r="AX78" s="382"/>
      <c r="AY78" s="382"/>
      <c r="AZ78" s="382"/>
      <c r="BA78" s="382"/>
      <c r="BB78" s="382"/>
      <c r="BC78" s="382"/>
      <c r="BD78" s="382"/>
      <c r="BE78" s="382"/>
      <c r="BF78" s="382"/>
      <c r="BG78" s="382"/>
      <c r="BH78" s="382"/>
      <c r="BI78" s="382"/>
      <c r="BJ78" s="382"/>
      <c r="BK78" s="382"/>
      <c r="BL78" s="382"/>
      <c r="BM78" s="382"/>
      <c r="BN78" s="382"/>
      <c r="BO78" s="382"/>
    </row>
    <row r="79" spans="1:67" s="88" customFormat="1" ht="10.55" customHeight="1" x14ac:dyDescent="0.2">
      <c r="A79" s="1013" t="s">
        <v>340</v>
      </c>
      <c r="B79" s="2807"/>
      <c r="C79" s="2808"/>
      <c r="D79" s="2809"/>
      <c r="E79" s="2561"/>
      <c r="F79" s="2562"/>
      <c r="G79" s="1785">
        <v>30</v>
      </c>
      <c r="H79" s="524"/>
      <c r="I79" s="1409">
        <f t="shared" si="9"/>
        <v>4.7777640736176463E-2</v>
      </c>
      <c r="J79" s="1421">
        <f t="shared" si="10"/>
        <v>0</v>
      </c>
      <c r="K79" s="678">
        <v>1.5</v>
      </c>
      <c r="L79" s="1002"/>
      <c r="M79" s="1428">
        <f t="shared" si="11"/>
        <v>0</v>
      </c>
      <c r="N79" s="1111"/>
      <c r="O79" s="674">
        <f t="shared" si="12"/>
        <v>30</v>
      </c>
      <c r="P79" s="682"/>
      <c r="Q79" s="286"/>
      <c r="R79" s="287"/>
      <c r="S79" s="280"/>
      <c r="T79" s="280"/>
      <c r="U79" s="280"/>
      <c r="V79" s="280"/>
      <c r="W79" s="280"/>
      <c r="X79" s="280"/>
      <c r="Y79" s="280"/>
      <c r="Z79" s="284"/>
      <c r="AA79" s="284"/>
      <c r="AB79" s="284"/>
      <c r="AC79" s="284"/>
      <c r="AD79" s="284"/>
      <c r="AE79" s="284"/>
      <c r="AF79" s="447"/>
      <c r="AG79" s="447"/>
      <c r="AH79" s="447"/>
      <c r="AI79" s="382"/>
      <c r="AJ79" s="382"/>
      <c r="AK79" s="382"/>
      <c r="AL79" s="382"/>
      <c r="AM79" s="382"/>
      <c r="AN79" s="382"/>
      <c r="AO79" s="382"/>
      <c r="AP79" s="382"/>
      <c r="AQ79" s="382"/>
      <c r="AR79" s="382"/>
      <c r="AS79" s="382"/>
      <c r="AT79" s="382"/>
      <c r="AU79" s="382"/>
      <c r="AV79" s="382"/>
      <c r="AW79" s="382"/>
      <c r="AX79" s="382"/>
      <c r="AY79" s="382"/>
      <c r="AZ79" s="382"/>
      <c r="BA79" s="382"/>
      <c r="BB79" s="382"/>
      <c r="BC79" s="382"/>
      <c r="BD79" s="382"/>
      <c r="BE79" s="382"/>
      <c r="BF79" s="382"/>
      <c r="BG79" s="382"/>
      <c r="BH79" s="382"/>
      <c r="BI79" s="382"/>
      <c r="BJ79" s="382"/>
      <c r="BK79" s="382"/>
      <c r="BL79" s="382"/>
      <c r="BM79" s="382"/>
      <c r="BN79" s="382"/>
      <c r="BO79" s="382"/>
    </row>
    <row r="80" spans="1:67" s="88" customFormat="1" ht="10.55" customHeight="1" x14ac:dyDescent="0.2">
      <c r="A80" s="1013" t="s">
        <v>341</v>
      </c>
      <c r="B80" s="2807"/>
      <c r="C80" s="2808"/>
      <c r="D80" s="2809"/>
      <c r="E80" s="2561"/>
      <c r="F80" s="2562"/>
      <c r="G80" s="1785">
        <v>20</v>
      </c>
      <c r="H80" s="524"/>
      <c r="I80" s="1409">
        <f t="shared" si="9"/>
        <v>6.4147128734474465E-2</v>
      </c>
      <c r="J80" s="1421">
        <f t="shared" si="10"/>
        <v>0</v>
      </c>
      <c r="K80" s="678">
        <v>1</v>
      </c>
      <c r="L80" s="1002"/>
      <c r="M80" s="1428">
        <f t="shared" si="11"/>
        <v>0</v>
      </c>
      <c r="N80" s="1111"/>
      <c r="O80" s="674">
        <f t="shared" si="12"/>
        <v>20</v>
      </c>
      <c r="P80" s="682"/>
      <c r="Q80" s="286"/>
      <c r="R80" s="287"/>
      <c r="S80" s="280"/>
      <c r="T80" s="280"/>
      <c r="U80" s="280"/>
      <c r="V80" s="280"/>
      <c r="W80" s="280"/>
      <c r="X80" s="280"/>
      <c r="Y80" s="280"/>
      <c r="Z80" s="284"/>
      <c r="AA80" s="284"/>
      <c r="AB80" s="284"/>
      <c r="AC80" s="284"/>
      <c r="AD80" s="284"/>
      <c r="AE80" s="284"/>
      <c r="AF80" s="447"/>
      <c r="AG80" s="447"/>
      <c r="AH80" s="447"/>
      <c r="AI80" s="382"/>
      <c r="AJ80" s="382"/>
      <c r="AK80" s="382"/>
      <c r="AL80" s="382"/>
      <c r="AM80" s="382"/>
      <c r="AN80" s="382"/>
      <c r="AO80" s="382"/>
      <c r="AP80" s="382"/>
      <c r="AQ80" s="382"/>
      <c r="AR80" s="382"/>
      <c r="AS80" s="382"/>
      <c r="AT80" s="382"/>
      <c r="AU80" s="382"/>
      <c r="AV80" s="382"/>
      <c r="AW80" s="382"/>
      <c r="AX80" s="382"/>
      <c r="AY80" s="382"/>
      <c r="AZ80" s="382"/>
      <c r="BA80" s="382"/>
      <c r="BB80" s="382"/>
      <c r="BC80" s="382"/>
      <c r="BD80" s="382"/>
      <c r="BE80" s="382"/>
      <c r="BF80" s="382"/>
      <c r="BG80" s="382"/>
      <c r="BH80" s="382"/>
      <c r="BI80" s="382"/>
      <c r="BJ80" s="382"/>
      <c r="BK80" s="382"/>
      <c r="BL80" s="382"/>
      <c r="BM80" s="382"/>
      <c r="BN80" s="382"/>
      <c r="BO80" s="382"/>
    </row>
    <row r="81" spans="1:67" s="88" customFormat="1" ht="10.55" customHeight="1" x14ac:dyDescent="0.2">
      <c r="A81" s="1013" t="s">
        <v>827</v>
      </c>
      <c r="B81" s="2807"/>
      <c r="C81" s="2808"/>
      <c r="D81" s="2809"/>
      <c r="E81" s="2561"/>
      <c r="F81" s="2562"/>
      <c r="G81" s="1785">
        <v>15</v>
      </c>
      <c r="H81" s="524"/>
      <c r="I81" s="1409">
        <f t="shared" si="9"/>
        <v>8.0766456051533542E-2</v>
      </c>
      <c r="J81" s="1421">
        <f t="shared" si="10"/>
        <v>0</v>
      </c>
      <c r="K81" s="678">
        <v>4</v>
      </c>
      <c r="L81" s="1002"/>
      <c r="M81" s="1428">
        <f t="shared" si="11"/>
        <v>0</v>
      </c>
      <c r="N81" s="1111"/>
      <c r="O81" s="674">
        <f t="shared" si="12"/>
        <v>15</v>
      </c>
      <c r="P81" s="682"/>
      <c r="Q81" s="286"/>
      <c r="R81" s="287"/>
      <c r="S81" s="280"/>
      <c r="T81" s="280"/>
      <c r="U81" s="280"/>
      <c r="V81" s="280"/>
      <c r="W81" s="280"/>
      <c r="X81" s="280"/>
      <c r="Y81" s="280"/>
      <c r="Z81" s="284"/>
      <c r="AA81" s="284"/>
      <c r="AB81" s="284"/>
      <c r="AC81" s="284"/>
      <c r="AD81" s="284"/>
      <c r="AE81" s="284"/>
      <c r="AF81" s="447"/>
      <c r="AG81" s="447"/>
      <c r="AH81" s="447"/>
      <c r="AI81" s="382"/>
      <c r="AJ81" s="382"/>
      <c r="AK81" s="382"/>
      <c r="AL81" s="382"/>
      <c r="AM81" s="382"/>
      <c r="AN81" s="382"/>
      <c r="AO81" s="382"/>
      <c r="AP81" s="382"/>
      <c r="AQ81" s="382"/>
      <c r="AR81" s="382"/>
      <c r="AS81" s="382"/>
      <c r="AT81" s="382"/>
      <c r="AU81" s="382"/>
      <c r="AV81" s="382"/>
      <c r="AW81" s="382"/>
      <c r="AX81" s="382"/>
      <c r="AY81" s="382"/>
      <c r="AZ81" s="382"/>
      <c r="BA81" s="382"/>
      <c r="BB81" s="382"/>
      <c r="BC81" s="382"/>
      <c r="BD81" s="382"/>
      <c r="BE81" s="382"/>
      <c r="BF81" s="382"/>
      <c r="BG81" s="382"/>
      <c r="BH81" s="382"/>
      <c r="BI81" s="382"/>
      <c r="BJ81" s="382"/>
      <c r="BK81" s="382"/>
      <c r="BL81" s="382"/>
      <c r="BM81" s="382"/>
      <c r="BN81" s="382"/>
      <c r="BO81" s="382"/>
    </row>
    <row r="82" spans="1:67" s="88" customFormat="1" ht="10.55" customHeight="1" x14ac:dyDescent="0.2">
      <c r="A82" s="675"/>
      <c r="B82" s="2807"/>
      <c r="C82" s="2808"/>
      <c r="D82" s="2809"/>
      <c r="E82" s="2561"/>
      <c r="F82" s="2562"/>
      <c r="G82" s="1015"/>
      <c r="H82" s="524"/>
      <c r="I82" s="1409">
        <f t="shared" si="9"/>
        <v>0</v>
      </c>
      <c r="J82" s="1421">
        <f t="shared" si="10"/>
        <v>0</v>
      </c>
      <c r="K82" s="679"/>
      <c r="L82" s="1002"/>
      <c r="M82" s="1428">
        <f t="shared" si="11"/>
        <v>0</v>
      </c>
      <c r="N82" s="1111"/>
      <c r="O82" s="674">
        <f t="shared" si="12"/>
        <v>0</v>
      </c>
      <c r="P82" s="682"/>
      <c r="Q82" s="286"/>
      <c r="R82" s="287"/>
      <c r="S82" s="280"/>
      <c r="T82" s="280"/>
      <c r="U82" s="280"/>
      <c r="V82" s="280"/>
      <c r="W82" s="280"/>
      <c r="X82" s="280"/>
      <c r="Y82" s="280"/>
      <c r="Z82" s="284"/>
      <c r="AA82" s="284"/>
      <c r="AB82" s="284"/>
      <c r="AC82" s="284"/>
      <c r="AD82" s="284"/>
      <c r="AE82" s="284"/>
      <c r="AF82" s="447"/>
      <c r="AG82" s="447"/>
      <c r="AH82" s="447"/>
      <c r="AI82" s="382"/>
      <c r="AJ82" s="382"/>
      <c r="AK82" s="382"/>
      <c r="AL82" s="382"/>
      <c r="AM82" s="382"/>
      <c r="AN82" s="382"/>
      <c r="AO82" s="382"/>
      <c r="AP82" s="382"/>
      <c r="AQ82" s="382"/>
      <c r="AR82" s="382"/>
      <c r="AS82" s="382"/>
      <c r="AT82" s="382"/>
      <c r="AU82" s="382"/>
      <c r="AV82" s="382"/>
      <c r="AW82" s="382"/>
      <c r="AX82" s="382"/>
      <c r="AY82" s="382"/>
      <c r="AZ82" s="382"/>
      <c r="BA82" s="382"/>
      <c r="BB82" s="382"/>
      <c r="BC82" s="382"/>
      <c r="BD82" s="382"/>
      <c r="BE82" s="382"/>
      <c r="BF82" s="382"/>
      <c r="BG82" s="382"/>
      <c r="BH82" s="382"/>
      <c r="BI82" s="382"/>
      <c r="BJ82" s="382"/>
      <c r="BK82" s="382"/>
      <c r="BL82" s="382"/>
      <c r="BM82" s="382"/>
      <c r="BN82" s="382"/>
      <c r="BO82" s="382"/>
    </row>
    <row r="83" spans="1:67" s="88" customFormat="1" ht="10.55" customHeight="1" x14ac:dyDescent="0.2">
      <c r="A83" s="675"/>
      <c r="B83" s="2807"/>
      <c r="C83" s="2808"/>
      <c r="D83" s="2809"/>
      <c r="E83" s="2561"/>
      <c r="F83" s="2562"/>
      <c r="G83" s="1015"/>
      <c r="H83" s="524"/>
      <c r="I83" s="1409">
        <f t="shared" si="9"/>
        <v>0</v>
      </c>
      <c r="J83" s="1421">
        <f t="shared" si="10"/>
        <v>0</v>
      </c>
      <c r="K83" s="679"/>
      <c r="L83" s="1002"/>
      <c r="M83" s="1428">
        <f t="shared" si="11"/>
        <v>0</v>
      </c>
      <c r="N83" s="1111"/>
      <c r="O83" s="674">
        <f t="shared" si="12"/>
        <v>0</v>
      </c>
      <c r="P83" s="682"/>
      <c r="Q83" s="286"/>
      <c r="R83" s="287"/>
      <c r="S83" s="280"/>
      <c r="T83" s="280"/>
      <c r="U83" s="280"/>
      <c r="V83" s="280"/>
      <c r="W83" s="280"/>
      <c r="X83" s="280"/>
      <c r="Y83" s="280"/>
      <c r="Z83" s="284"/>
      <c r="AA83" s="284"/>
      <c r="AB83" s="284"/>
      <c r="AC83" s="284"/>
      <c r="AD83" s="284"/>
      <c r="AE83" s="284"/>
      <c r="AF83" s="447"/>
      <c r="AG83" s="447"/>
      <c r="AH83" s="447"/>
      <c r="AI83" s="382"/>
      <c r="AJ83" s="382"/>
      <c r="AK83" s="382"/>
      <c r="AL83" s="382"/>
      <c r="AM83" s="382"/>
      <c r="AN83" s="382"/>
      <c r="AO83" s="382"/>
      <c r="AP83" s="382"/>
      <c r="AQ83" s="382"/>
      <c r="AR83" s="382"/>
      <c r="AS83" s="382"/>
      <c r="AT83" s="382"/>
      <c r="AU83" s="382"/>
      <c r="AV83" s="382"/>
      <c r="AW83" s="382"/>
      <c r="AX83" s="382"/>
      <c r="AY83" s="382"/>
      <c r="AZ83" s="382"/>
      <c r="BA83" s="382"/>
      <c r="BB83" s="382"/>
      <c r="BC83" s="382"/>
      <c r="BD83" s="382"/>
      <c r="BE83" s="382"/>
      <c r="BF83" s="382"/>
      <c r="BG83" s="382"/>
      <c r="BH83" s="382"/>
      <c r="BI83" s="382"/>
      <c r="BJ83" s="382"/>
      <c r="BK83" s="382"/>
      <c r="BL83" s="382"/>
      <c r="BM83" s="382"/>
      <c r="BN83" s="382"/>
      <c r="BO83" s="382"/>
    </row>
    <row r="84" spans="1:67" s="88" customFormat="1" ht="10.55" customHeight="1" x14ac:dyDescent="0.2">
      <c r="A84" s="675"/>
      <c r="B84" s="2807"/>
      <c r="C84" s="2808"/>
      <c r="D84" s="2809"/>
      <c r="E84" s="2561"/>
      <c r="F84" s="2562"/>
      <c r="G84" s="1015"/>
      <c r="H84" s="524"/>
      <c r="I84" s="1409">
        <f t="shared" si="9"/>
        <v>0</v>
      </c>
      <c r="J84" s="1421">
        <f t="shared" si="10"/>
        <v>0</v>
      </c>
      <c r="K84" s="679"/>
      <c r="L84" s="1002"/>
      <c r="M84" s="1428">
        <f t="shared" si="11"/>
        <v>0</v>
      </c>
      <c r="N84" s="1111"/>
      <c r="O84" s="674">
        <f t="shared" si="12"/>
        <v>0</v>
      </c>
      <c r="P84" s="682"/>
      <c r="Q84" s="286"/>
      <c r="R84" s="287"/>
      <c r="S84" s="280"/>
      <c r="T84" s="280"/>
      <c r="U84" s="280"/>
      <c r="V84" s="280"/>
      <c r="W84" s="280"/>
      <c r="X84" s="280"/>
      <c r="Y84" s="280"/>
      <c r="Z84" s="284"/>
      <c r="AA84" s="284"/>
      <c r="AB84" s="284"/>
      <c r="AC84" s="284"/>
      <c r="AD84" s="284"/>
      <c r="AE84" s="284"/>
      <c r="AF84" s="447"/>
      <c r="AG84" s="447"/>
      <c r="AH84" s="447"/>
      <c r="AI84" s="382"/>
      <c r="AJ84" s="382"/>
      <c r="AK84" s="382"/>
      <c r="AL84" s="382"/>
      <c r="AM84" s="382"/>
      <c r="AN84" s="382"/>
      <c r="AO84" s="382"/>
      <c r="AP84" s="382"/>
      <c r="AQ84" s="382"/>
      <c r="AR84" s="382"/>
      <c r="AS84" s="382"/>
      <c r="AT84" s="382"/>
      <c r="AU84" s="382"/>
      <c r="AV84" s="382"/>
      <c r="AW84" s="382"/>
      <c r="AX84" s="382"/>
      <c r="AY84" s="382"/>
      <c r="AZ84" s="382"/>
      <c r="BA84" s="382"/>
      <c r="BB84" s="382"/>
      <c r="BC84" s="382"/>
      <c r="BD84" s="382"/>
      <c r="BE84" s="382"/>
      <c r="BF84" s="382"/>
      <c r="BG84" s="382"/>
      <c r="BH84" s="382"/>
      <c r="BI84" s="382"/>
      <c r="BJ84" s="382"/>
      <c r="BK84" s="382"/>
      <c r="BL84" s="382"/>
      <c r="BM84" s="382"/>
      <c r="BN84" s="382"/>
      <c r="BO84" s="382"/>
    </row>
    <row r="85" spans="1:67" s="88" customFormat="1" ht="10.55" customHeight="1" x14ac:dyDescent="0.2">
      <c r="A85" s="675"/>
      <c r="B85" s="2807"/>
      <c r="C85" s="2808"/>
      <c r="D85" s="2809"/>
      <c r="E85" s="2561"/>
      <c r="F85" s="2562"/>
      <c r="G85" s="1015"/>
      <c r="H85" s="524"/>
      <c r="I85" s="1409">
        <f t="shared" si="9"/>
        <v>0</v>
      </c>
      <c r="J85" s="1421">
        <f t="shared" si="10"/>
        <v>0</v>
      </c>
      <c r="K85" s="679"/>
      <c r="L85" s="1002"/>
      <c r="M85" s="1428">
        <f t="shared" si="11"/>
        <v>0</v>
      </c>
      <c r="N85" s="1111"/>
      <c r="O85" s="674">
        <f t="shared" si="12"/>
        <v>0</v>
      </c>
      <c r="P85" s="682"/>
      <c r="Q85" s="286"/>
      <c r="R85" s="287"/>
      <c r="S85" s="280"/>
      <c r="T85" s="280"/>
      <c r="U85" s="280"/>
      <c r="V85" s="280"/>
      <c r="W85" s="280"/>
      <c r="X85" s="280"/>
      <c r="Y85" s="280"/>
      <c r="Z85" s="284"/>
      <c r="AA85" s="284"/>
      <c r="AB85" s="284"/>
      <c r="AC85" s="284"/>
      <c r="AD85" s="284"/>
      <c r="AE85" s="284"/>
      <c r="AF85" s="447"/>
      <c r="AG85" s="447"/>
      <c r="AH85" s="447"/>
      <c r="AI85" s="382"/>
      <c r="AJ85" s="382"/>
      <c r="AK85" s="382"/>
      <c r="AL85" s="382"/>
      <c r="AM85" s="382"/>
      <c r="AN85" s="382"/>
      <c r="AO85" s="382"/>
      <c r="AP85" s="382"/>
      <c r="AQ85" s="382"/>
      <c r="AR85" s="382"/>
      <c r="AS85" s="382"/>
      <c r="AT85" s="382"/>
      <c r="AU85" s="382"/>
      <c r="AV85" s="382"/>
      <c r="AW85" s="382"/>
      <c r="AX85" s="382"/>
      <c r="AY85" s="382"/>
      <c r="AZ85" s="382"/>
      <c r="BA85" s="382"/>
      <c r="BB85" s="382"/>
      <c r="BC85" s="382"/>
      <c r="BD85" s="382"/>
      <c r="BE85" s="382"/>
      <c r="BF85" s="382"/>
      <c r="BG85" s="382"/>
      <c r="BH85" s="382"/>
      <c r="BI85" s="382"/>
      <c r="BJ85" s="382"/>
      <c r="BK85" s="382"/>
      <c r="BL85" s="382"/>
      <c r="BM85" s="382"/>
      <c r="BN85" s="382"/>
      <c r="BO85" s="382"/>
    </row>
    <row r="86" spans="1:67" s="88" customFormat="1" ht="10.55" customHeight="1" x14ac:dyDescent="0.2">
      <c r="A86" s="675"/>
      <c r="B86" s="2807"/>
      <c r="C86" s="2808"/>
      <c r="D86" s="2809"/>
      <c r="E86" s="2561"/>
      <c r="F86" s="2562"/>
      <c r="G86" s="1015"/>
      <c r="H86" s="524"/>
      <c r="I86" s="1409">
        <f t="shared" si="9"/>
        <v>0</v>
      </c>
      <c r="J86" s="1421">
        <f t="shared" si="10"/>
        <v>0</v>
      </c>
      <c r="K86" s="679"/>
      <c r="L86" s="1002"/>
      <c r="M86" s="1428">
        <f t="shared" si="11"/>
        <v>0</v>
      </c>
      <c r="N86" s="1111"/>
      <c r="O86" s="674">
        <f t="shared" si="12"/>
        <v>0</v>
      </c>
      <c r="P86" s="682"/>
      <c r="Q86" s="286"/>
      <c r="R86" s="287"/>
      <c r="S86" s="280"/>
      <c r="T86" s="280"/>
      <c r="U86" s="280"/>
      <c r="V86" s="280"/>
      <c r="W86" s="280"/>
      <c r="X86" s="280"/>
      <c r="Y86" s="280"/>
      <c r="Z86" s="284"/>
      <c r="AA86" s="284"/>
      <c r="AB86" s="284"/>
      <c r="AC86" s="284"/>
      <c r="AD86" s="284"/>
      <c r="AE86" s="284"/>
      <c r="AF86" s="447"/>
      <c r="AG86" s="447"/>
      <c r="AH86" s="447"/>
      <c r="AI86" s="382"/>
      <c r="AJ86" s="382"/>
      <c r="AK86" s="382"/>
      <c r="AL86" s="382"/>
      <c r="AM86" s="382"/>
      <c r="AN86" s="382"/>
      <c r="AO86" s="382"/>
      <c r="AP86" s="382"/>
      <c r="AQ86" s="382"/>
      <c r="AR86" s="382"/>
      <c r="AS86" s="382"/>
      <c r="AT86" s="382"/>
      <c r="AU86" s="382"/>
      <c r="AV86" s="382"/>
      <c r="AW86" s="382"/>
      <c r="AX86" s="382"/>
      <c r="AY86" s="382"/>
      <c r="AZ86" s="382"/>
      <c r="BA86" s="382"/>
      <c r="BB86" s="382"/>
      <c r="BC86" s="382"/>
      <c r="BD86" s="382"/>
      <c r="BE86" s="382"/>
      <c r="BF86" s="382"/>
      <c r="BG86" s="382"/>
      <c r="BH86" s="382"/>
      <c r="BI86" s="382"/>
      <c r="BJ86" s="382"/>
      <c r="BK86" s="382"/>
      <c r="BL86" s="382"/>
      <c r="BM86" s="382"/>
      <c r="BN86" s="382"/>
      <c r="BO86" s="382"/>
    </row>
    <row r="87" spans="1:67" s="88" customFormat="1" ht="10.55" customHeight="1" x14ac:dyDescent="0.2">
      <c r="A87" s="675"/>
      <c r="B87" s="2807"/>
      <c r="C87" s="2808"/>
      <c r="D87" s="2809"/>
      <c r="E87" s="2561"/>
      <c r="F87" s="2562"/>
      <c r="G87" s="1015"/>
      <c r="H87" s="524"/>
      <c r="I87" s="1409">
        <f t="shared" si="9"/>
        <v>0</v>
      </c>
      <c r="J87" s="1421">
        <f t="shared" si="10"/>
        <v>0</v>
      </c>
      <c r="K87" s="679"/>
      <c r="L87" s="1002"/>
      <c r="M87" s="1428">
        <f t="shared" si="11"/>
        <v>0</v>
      </c>
      <c r="N87" s="1111"/>
      <c r="O87" s="674">
        <f t="shared" si="12"/>
        <v>0</v>
      </c>
      <c r="P87" s="682"/>
      <c r="Q87" s="286"/>
      <c r="R87" s="287"/>
      <c r="S87" s="280"/>
      <c r="T87" s="280"/>
      <c r="U87" s="280"/>
      <c r="V87" s="280"/>
      <c r="W87" s="280"/>
      <c r="X87" s="280"/>
      <c r="Y87" s="280"/>
      <c r="Z87" s="284"/>
      <c r="AA87" s="284"/>
      <c r="AB87" s="284"/>
      <c r="AC87" s="284"/>
      <c r="AD87" s="284"/>
      <c r="AE87" s="284"/>
      <c r="AF87" s="447"/>
      <c r="AG87" s="447"/>
      <c r="AH87" s="447"/>
      <c r="AI87" s="382"/>
      <c r="AJ87" s="382"/>
      <c r="AK87" s="382"/>
      <c r="AL87" s="382"/>
      <c r="AM87" s="382"/>
      <c r="AN87" s="382"/>
      <c r="AO87" s="382"/>
      <c r="AP87" s="382"/>
      <c r="AQ87" s="382"/>
      <c r="AR87" s="382"/>
      <c r="AS87" s="382"/>
      <c r="AT87" s="382"/>
      <c r="AU87" s="382"/>
      <c r="AV87" s="382"/>
      <c r="AW87" s="382"/>
      <c r="AX87" s="382"/>
      <c r="AY87" s="382"/>
      <c r="AZ87" s="382"/>
      <c r="BA87" s="382"/>
      <c r="BB87" s="382"/>
      <c r="BC87" s="382"/>
      <c r="BD87" s="382"/>
      <c r="BE87" s="382"/>
      <c r="BF87" s="382"/>
      <c r="BG87" s="382"/>
      <c r="BH87" s="382"/>
      <c r="BI87" s="382"/>
      <c r="BJ87" s="382"/>
      <c r="BK87" s="382"/>
      <c r="BL87" s="382"/>
      <c r="BM87" s="382"/>
      <c r="BN87" s="382"/>
      <c r="BO87" s="382"/>
    </row>
    <row r="88" spans="1:67" s="88" customFormat="1" ht="10.55" customHeight="1" x14ac:dyDescent="0.2">
      <c r="A88" s="1017"/>
      <c r="B88" s="2804"/>
      <c r="C88" s="2805"/>
      <c r="D88" s="2806"/>
      <c r="E88" s="2793"/>
      <c r="F88" s="2794"/>
      <c r="G88" s="1018"/>
      <c r="H88" s="1019"/>
      <c r="I88" s="1436">
        <f t="shared" si="9"/>
        <v>0</v>
      </c>
      <c r="J88" s="1422"/>
      <c r="K88" s="680"/>
      <c r="L88" s="1020"/>
      <c r="M88" s="1429">
        <f t="shared" si="11"/>
        <v>0</v>
      </c>
      <c r="N88" s="1111"/>
      <c r="O88" s="674">
        <f t="shared" si="12"/>
        <v>0</v>
      </c>
      <c r="P88" s="682"/>
      <c r="Q88" s="286"/>
      <c r="R88" s="287"/>
      <c r="S88" s="280"/>
      <c r="T88" s="280"/>
      <c r="U88" s="280"/>
      <c r="V88" s="280"/>
      <c r="W88" s="280"/>
      <c r="X88" s="280"/>
      <c r="Y88" s="280"/>
      <c r="Z88" s="284"/>
      <c r="AA88" s="284"/>
      <c r="AB88" s="284"/>
      <c r="AC88" s="284"/>
      <c r="AD88" s="284"/>
      <c r="AE88" s="284"/>
      <c r="AF88" s="447"/>
      <c r="AG88" s="447"/>
      <c r="AH88" s="447"/>
      <c r="AI88" s="382"/>
      <c r="AJ88" s="382"/>
      <c r="AK88" s="382"/>
      <c r="AL88" s="382"/>
      <c r="AM88" s="382"/>
      <c r="AN88" s="382"/>
      <c r="AO88" s="382"/>
      <c r="AP88" s="382"/>
      <c r="AQ88" s="382"/>
      <c r="AR88" s="382"/>
      <c r="AS88" s="382"/>
      <c r="AT88" s="382"/>
      <c r="AU88" s="382"/>
      <c r="AV88" s="382"/>
      <c r="AW88" s="382"/>
      <c r="AX88" s="382"/>
      <c r="AY88" s="382"/>
      <c r="AZ88" s="382"/>
      <c r="BA88" s="382"/>
      <c r="BB88" s="382"/>
      <c r="BC88" s="382"/>
      <c r="BD88" s="382"/>
      <c r="BE88" s="382"/>
      <c r="BF88" s="382"/>
      <c r="BG88" s="382"/>
      <c r="BH88" s="382"/>
      <c r="BI88" s="382"/>
      <c r="BJ88" s="382"/>
      <c r="BK88" s="382"/>
      <c r="BL88" s="382"/>
      <c r="BM88" s="382"/>
      <c r="BN88" s="382"/>
      <c r="BO88" s="382"/>
    </row>
    <row r="89" spans="1:67" s="88" customFormat="1" ht="10.55" customHeight="1" x14ac:dyDescent="0.2">
      <c r="A89" s="1122" t="s">
        <v>342</v>
      </c>
      <c r="B89" s="2783"/>
      <c r="C89" s="2784"/>
      <c r="D89" s="2785"/>
      <c r="E89" s="2810">
        <f>SUM(E90:E104)</f>
        <v>0</v>
      </c>
      <c r="F89" s="2811"/>
      <c r="G89" s="2747"/>
      <c r="H89" s="2748"/>
      <c r="I89" s="1435">
        <f>IF(E89=0,0,J89/E89)</f>
        <v>0</v>
      </c>
      <c r="J89" s="1423">
        <f>SUM(J90:J104)</f>
        <v>0</v>
      </c>
      <c r="K89" s="2749">
        <f>IF(E89=0,0,M89/E89*100)</f>
        <v>0</v>
      </c>
      <c r="L89" s="2750"/>
      <c r="M89" s="1430">
        <f>SUM(M90:M104)</f>
        <v>0</v>
      </c>
      <c r="N89" s="1111"/>
      <c r="O89" s="387">
        <f>IF(H89="",G89,H89)</f>
        <v>0</v>
      </c>
      <c r="P89" s="682"/>
      <c r="Q89" s="286"/>
      <c r="R89" s="287"/>
      <c r="S89" s="280"/>
      <c r="T89" s="280"/>
      <c r="U89" s="280"/>
      <c r="V89" s="280"/>
      <c r="W89" s="280"/>
      <c r="X89" s="280"/>
      <c r="Y89" s="280"/>
      <c r="Z89" s="284"/>
      <c r="AA89" s="284"/>
      <c r="AB89" s="284"/>
      <c r="AC89" s="284"/>
      <c r="AD89" s="284"/>
      <c r="AE89" s="284"/>
      <c r="AF89" s="447"/>
      <c r="AG89" s="447"/>
      <c r="AH89" s="447"/>
      <c r="AI89" s="382"/>
      <c r="AJ89" s="382"/>
      <c r="AK89" s="382"/>
      <c r="AL89" s="382"/>
      <c r="AM89" s="382"/>
      <c r="AN89" s="382"/>
      <c r="AO89" s="382"/>
      <c r="AP89" s="382"/>
      <c r="AQ89" s="382"/>
      <c r="AR89" s="382"/>
      <c r="AS89" s="382"/>
      <c r="AT89" s="382"/>
      <c r="AU89" s="382"/>
      <c r="AV89" s="382"/>
      <c r="AW89" s="382"/>
      <c r="AX89" s="382"/>
      <c r="AY89" s="382"/>
      <c r="AZ89" s="382"/>
      <c r="BA89" s="382"/>
      <c r="BB89" s="382"/>
      <c r="BC89" s="382"/>
      <c r="BD89" s="382"/>
      <c r="BE89" s="382"/>
      <c r="BF89" s="382"/>
      <c r="BG89" s="382"/>
      <c r="BH89" s="382"/>
      <c r="BI89" s="382"/>
      <c r="BJ89" s="382"/>
      <c r="BK89" s="382"/>
      <c r="BL89" s="382"/>
      <c r="BM89" s="382"/>
      <c r="BN89" s="382"/>
      <c r="BO89" s="382"/>
    </row>
    <row r="90" spans="1:67" s="88" customFormat="1" ht="10.55" customHeight="1" x14ac:dyDescent="0.2">
      <c r="A90" s="1013" t="s">
        <v>58</v>
      </c>
      <c r="B90" s="2790"/>
      <c r="C90" s="2791"/>
      <c r="D90" s="2792"/>
      <c r="E90" s="2734"/>
      <c r="F90" s="2735"/>
      <c r="G90" s="1785">
        <v>20</v>
      </c>
      <c r="H90" s="524"/>
      <c r="I90" s="1409">
        <f t="shared" ref="I90:I105" si="13">IF($O90&gt;0,-PMT(($I$9),$O90,1),0)</f>
        <v>6.4147128734474465E-2</v>
      </c>
      <c r="J90" s="1421">
        <f t="shared" ref="J90:J104" si="14">ROUND(E90*I90,0)</f>
        <v>0</v>
      </c>
      <c r="K90" s="678">
        <v>2.5</v>
      </c>
      <c r="L90" s="1002"/>
      <c r="M90" s="1428">
        <f t="shared" ref="M90:M105" si="15">ROUND(E90/100*IF(ISBLANK(L90),K90,L90),0)</f>
        <v>0</v>
      </c>
      <c r="N90" s="1111"/>
      <c r="O90" s="674">
        <f t="shared" ref="O90:O105" si="16">IF(ISBLANK(H90),G90,H90)</f>
        <v>20</v>
      </c>
      <c r="P90" s="682"/>
      <c r="Q90" s="286"/>
      <c r="R90" s="287"/>
      <c r="S90" s="280"/>
      <c r="T90" s="280"/>
      <c r="U90" s="280"/>
      <c r="V90" s="280"/>
      <c r="W90" s="280"/>
      <c r="X90" s="280"/>
      <c r="Y90" s="280"/>
      <c r="Z90" s="284"/>
      <c r="AA90" s="284"/>
      <c r="AB90" s="284"/>
      <c r="AC90" s="284"/>
      <c r="AD90" s="284"/>
      <c r="AE90" s="284"/>
      <c r="AF90" s="447"/>
      <c r="AG90" s="447"/>
      <c r="AH90" s="447"/>
      <c r="AI90" s="382"/>
      <c r="AJ90" s="382"/>
      <c r="AK90" s="382"/>
      <c r="AL90" s="382"/>
      <c r="AM90" s="382"/>
      <c r="AN90" s="382"/>
      <c r="AO90" s="382"/>
      <c r="AP90" s="382"/>
      <c r="AQ90" s="382"/>
      <c r="AR90" s="382"/>
      <c r="AS90" s="382"/>
      <c r="AT90" s="382"/>
      <c r="AU90" s="382"/>
      <c r="AV90" s="382"/>
      <c r="AW90" s="382"/>
      <c r="AX90" s="382"/>
      <c r="AY90" s="382"/>
      <c r="AZ90" s="382"/>
      <c r="BA90" s="382"/>
      <c r="BB90" s="382"/>
      <c r="BC90" s="382"/>
      <c r="BD90" s="382"/>
      <c r="BE90" s="382"/>
      <c r="BF90" s="382"/>
      <c r="BG90" s="382"/>
      <c r="BH90" s="382"/>
      <c r="BI90" s="382"/>
      <c r="BJ90" s="382"/>
      <c r="BK90" s="382"/>
      <c r="BL90" s="382"/>
      <c r="BM90" s="382"/>
      <c r="BN90" s="382"/>
      <c r="BO90" s="382"/>
    </row>
    <row r="91" spans="1:67" s="88" customFormat="1" ht="10.55" customHeight="1" x14ac:dyDescent="0.2">
      <c r="A91" s="1013" t="s">
        <v>59</v>
      </c>
      <c r="B91" s="2807"/>
      <c r="C91" s="2808"/>
      <c r="D91" s="2809"/>
      <c r="E91" s="2561"/>
      <c r="F91" s="2562"/>
      <c r="G91" s="1785">
        <v>20</v>
      </c>
      <c r="H91" s="524"/>
      <c r="I91" s="1409">
        <f t="shared" si="13"/>
        <v>6.4147128734474465E-2</v>
      </c>
      <c r="J91" s="1421">
        <f t="shared" si="14"/>
        <v>0</v>
      </c>
      <c r="K91" s="678">
        <v>2.5</v>
      </c>
      <c r="L91" s="1002"/>
      <c r="M91" s="1428">
        <f t="shared" si="15"/>
        <v>0</v>
      </c>
      <c r="N91" s="1111"/>
      <c r="O91" s="674">
        <f t="shared" si="16"/>
        <v>20</v>
      </c>
      <c r="P91" s="682"/>
      <c r="Q91" s="286"/>
      <c r="R91" s="287"/>
      <c r="S91" s="280"/>
      <c r="T91" s="280"/>
      <c r="U91" s="280"/>
      <c r="V91" s="280"/>
      <c r="W91" s="280"/>
      <c r="X91" s="280"/>
      <c r="Y91" s="280"/>
      <c r="Z91" s="284"/>
      <c r="AA91" s="284"/>
      <c r="AB91" s="284"/>
      <c r="AC91" s="284"/>
      <c r="AD91" s="284"/>
      <c r="AE91" s="284"/>
      <c r="AF91" s="447"/>
      <c r="AG91" s="447"/>
      <c r="AH91" s="447"/>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row>
    <row r="92" spans="1:67" s="88" customFormat="1" ht="10.55" customHeight="1" x14ac:dyDescent="0.2">
      <c r="A92" s="1013" t="s">
        <v>830</v>
      </c>
      <c r="B92" s="2807"/>
      <c r="C92" s="2808"/>
      <c r="D92" s="2809"/>
      <c r="E92" s="2561"/>
      <c r="F92" s="2562"/>
      <c r="G92" s="1785">
        <v>20</v>
      </c>
      <c r="H92" s="524"/>
      <c r="I92" s="1409">
        <f t="shared" si="13"/>
        <v>6.4147128734474465E-2</v>
      </c>
      <c r="J92" s="1421">
        <f t="shared" si="14"/>
        <v>0</v>
      </c>
      <c r="K92" s="678">
        <v>5</v>
      </c>
      <c r="L92" s="1002"/>
      <c r="M92" s="1428">
        <f t="shared" si="15"/>
        <v>0</v>
      </c>
      <c r="N92" s="1111"/>
      <c r="O92" s="674">
        <f t="shared" si="16"/>
        <v>20</v>
      </c>
      <c r="P92" s="682"/>
      <c r="Q92" s="286"/>
      <c r="R92" s="287"/>
      <c r="S92" s="280"/>
      <c r="T92" s="280"/>
      <c r="U92" s="280"/>
      <c r="V92" s="280"/>
      <c r="W92" s="280"/>
      <c r="X92" s="280"/>
      <c r="Y92" s="280"/>
      <c r="Z92" s="284"/>
      <c r="AA92" s="284"/>
      <c r="AB92" s="284"/>
      <c r="AC92" s="284"/>
      <c r="AD92" s="284"/>
      <c r="AE92" s="284"/>
      <c r="AF92" s="447"/>
      <c r="AG92" s="447"/>
      <c r="AH92" s="447"/>
      <c r="AI92" s="382"/>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row>
    <row r="93" spans="1:67" s="88" customFormat="1" ht="10.55" customHeight="1" x14ac:dyDescent="0.2">
      <c r="A93" s="1013" t="s">
        <v>75</v>
      </c>
      <c r="B93" s="2807"/>
      <c r="C93" s="2808"/>
      <c r="D93" s="2809"/>
      <c r="E93" s="2561"/>
      <c r="F93" s="2562"/>
      <c r="G93" s="1785">
        <v>20</v>
      </c>
      <c r="H93" s="524"/>
      <c r="I93" s="1409">
        <f t="shared" si="13"/>
        <v>6.4147128734474465E-2</v>
      </c>
      <c r="J93" s="1421">
        <f t="shared" si="14"/>
        <v>0</v>
      </c>
      <c r="K93" s="678">
        <v>3.5</v>
      </c>
      <c r="L93" s="1002"/>
      <c r="M93" s="1428">
        <f t="shared" si="15"/>
        <v>0</v>
      </c>
      <c r="N93" s="1111"/>
      <c r="O93" s="674">
        <f t="shared" si="16"/>
        <v>20</v>
      </c>
      <c r="P93" s="682"/>
      <c r="Q93" s="286"/>
      <c r="R93" s="287"/>
      <c r="S93" s="280"/>
      <c r="T93" s="280"/>
      <c r="U93" s="280"/>
      <c r="V93" s="280"/>
      <c r="W93" s="280"/>
      <c r="X93" s="280"/>
      <c r="Y93" s="280"/>
      <c r="Z93" s="284"/>
      <c r="AA93" s="284"/>
      <c r="AB93" s="284"/>
      <c r="AC93" s="284"/>
      <c r="AD93" s="284"/>
      <c r="AE93" s="284"/>
      <c r="AF93" s="447"/>
      <c r="AG93" s="447"/>
      <c r="AH93" s="447"/>
      <c r="AI93" s="382"/>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row>
    <row r="94" spans="1:67" s="88" customFormat="1" ht="10.55" customHeight="1" x14ac:dyDescent="0.2">
      <c r="A94" s="1013" t="s">
        <v>82</v>
      </c>
      <c r="B94" s="2807"/>
      <c r="C94" s="2808"/>
      <c r="D94" s="2809"/>
      <c r="E94" s="2561"/>
      <c r="F94" s="2562"/>
      <c r="G94" s="1785">
        <v>20</v>
      </c>
      <c r="H94" s="524"/>
      <c r="I94" s="1409">
        <f t="shared" si="13"/>
        <v>6.4147128734474465E-2</v>
      </c>
      <c r="J94" s="1421">
        <f t="shared" si="14"/>
        <v>0</v>
      </c>
      <c r="K94" s="678">
        <v>3.5</v>
      </c>
      <c r="L94" s="1002"/>
      <c r="M94" s="1428">
        <f t="shared" si="15"/>
        <v>0</v>
      </c>
      <c r="N94" s="1111"/>
      <c r="O94" s="674">
        <f t="shared" si="16"/>
        <v>20</v>
      </c>
      <c r="P94" s="682"/>
      <c r="Q94" s="286"/>
      <c r="R94" s="287"/>
      <c r="S94" s="280"/>
      <c r="T94" s="280"/>
      <c r="U94" s="280"/>
      <c r="V94" s="280"/>
      <c r="W94" s="280"/>
      <c r="X94" s="280"/>
      <c r="Y94" s="280"/>
      <c r="Z94" s="284"/>
      <c r="AA94" s="284"/>
      <c r="AB94" s="284"/>
      <c r="AC94" s="284"/>
      <c r="AD94" s="284"/>
      <c r="AE94" s="284"/>
      <c r="AF94" s="447"/>
      <c r="AG94" s="447"/>
      <c r="AH94" s="447"/>
      <c r="AI94" s="382"/>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row>
    <row r="95" spans="1:67" s="88" customFormat="1" ht="10.55" customHeight="1" x14ac:dyDescent="0.2">
      <c r="A95" s="1013" t="s">
        <v>831</v>
      </c>
      <c r="B95" s="2807"/>
      <c r="C95" s="2808"/>
      <c r="D95" s="2809"/>
      <c r="E95" s="2561"/>
      <c r="F95" s="2562"/>
      <c r="G95" s="1785">
        <v>20</v>
      </c>
      <c r="H95" s="524"/>
      <c r="I95" s="1409">
        <f t="shared" si="13"/>
        <v>6.4147128734474465E-2</v>
      </c>
      <c r="J95" s="1421">
        <f t="shared" si="14"/>
        <v>0</v>
      </c>
      <c r="K95" s="678">
        <v>3.5</v>
      </c>
      <c r="L95" s="1002"/>
      <c r="M95" s="1428">
        <f t="shared" si="15"/>
        <v>0</v>
      </c>
      <c r="N95" s="1111"/>
      <c r="O95" s="674">
        <f t="shared" si="16"/>
        <v>20</v>
      </c>
      <c r="P95" s="682"/>
      <c r="Q95" s="286"/>
      <c r="R95" s="287"/>
      <c r="S95" s="280"/>
      <c r="T95" s="280"/>
      <c r="U95" s="280"/>
      <c r="V95" s="280"/>
      <c r="W95" s="280"/>
      <c r="X95" s="280"/>
      <c r="Y95" s="280"/>
      <c r="Z95" s="284"/>
      <c r="AA95" s="284"/>
      <c r="AB95" s="284"/>
      <c r="AC95" s="284"/>
      <c r="AD95" s="284"/>
      <c r="AE95" s="284"/>
      <c r="AF95" s="447"/>
      <c r="AG95" s="447"/>
      <c r="AH95" s="447"/>
      <c r="AI95" s="382"/>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row>
    <row r="96" spans="1:67" s="88" customFormat="1" ht="10.55" customHeight="1" x14ac:dyDescent="0.2">
      <c r="A96" s="1013" t="s">
        <v>90</v>
      </c>
      <c r="B96" s="2807"/>
      <c r="C96" s="2808"/>
      <c r="D96" s="2809"/>
      <c r="E96" s="2561"/>
      <c r="F96" s="2562"/>
      <c r="G96" s="1785">
        <v>20</v>
      </c>
      <c r="H96" s="524"/>
      <c r="I96" s="1409">
        <f t="shared" si="13"/>
        <v>6.4147128734474465E-2</v>
      </c>
      <c r="J96" s="1421">
        <f t="shared" si="14"/>
        <v>0</v>
      </c>
      <c r="K96" s="678">
        <v>3.5</v>
      </c>
      <c r="L96" s="1002"/>
      <c r="M96" s="1428">
        <f t="shared" si="15"/>
        <v>0</v>
      </c>
      <c r="N96" s="1111"/>
      <c r="O96" s="674">
        <f t="shared" si="16"/>
        <v>20</v>
      </c>
      <c r="P96" s="682"/>
      <c r="Q96" s="286"/>
      <c r="R96" s="287"/>
      <c r="S96" s="280"/>
      <c r="T96" s="280"/>
      <c r="U96" s="280"/>
      <c r="V96" s="280"/>
      <c r="W96" s="280"/>
      <c r="X96" s="280"/>
      <c r="Y96" s="280"/>
      <c r="Z96" s="284"/>
      <c r="AA96" s="284"/>
      <c r="AB96" s="284"/>
      <c r="AC96" s="284"/>
      <c r="AD96" s="284"/>
      <c r="AE96" s="284"/>
      <c r="AF96" s="447"/>
      <c r="AG96" s="447"/>
      <c r="AH96" s="447"/>
      <c r="AI96" s="382"/>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row>
    <row r="97" spans="1:67" s="88" customFormat="1" ht="10.55" customHeight="1" x14ac:dyDescent="0.2">
      <c r="A97" s="1013" t="s">
        <v>177</v>
      </c>
      <c r="B97" s="2807"/>
      <c r="C97" s="2808"/>
      <c r="D97" s="2809"/>
      <c r="E97" s="2561"/>
      <c r="F97" s="2562"/>
      <c r="G97" s="1785">
        <v>20</v>
      </c>
      <c r="H97" s="524"/>
      <c r="I97" s="1409">
        <f t="shared" si="13"/>
        <v>6.4147128734474465E-2</v>
      </c>
      <c r="J97" s="1421">
        <f t="shared" si="14"/>
        <v>0</v>
      </c>
      <c r="K97" s="678">
        <v>3.5</v>
      </c>
      <c r="L97" s="1002"/>
      <c r="M97" s="1428">
        <f t="shared" si="15"/>
        <v>0</v>
      </c>
      <c r="N97" s="1111"/>
      <c r="O97" s="674">
        <f t="shared" si="16"/>
        <v>20</v>
      </c>
      <c r="P97" s="682"/>
      <c r="Q97" s="286"/>
      <c r="R97" s="287"/>
      <c r="S97" s="280"/>
      <c r="T97" s="280"/>
      <c r="U97" s="280"/>
      <c r="V97" s="280"/>
      <c r="W97" s="280"/>
      <c r="X97" s="280"/>
      <c r="Y97" s="280"/>
      <c r="Z97" s="284"/>
      <c r="AA97" s="284"/>
      <c r="AB97" s="284"/>
      <c r="AC97" s="284"/>
      <c r="AD97" s="284"/>
      <c r="AE97" s="284"/>
      <c r="AF97" s="447"/>
      <c r="AG97" s="447"/>
      <c r="AH97" s="447"/>
      <c r="AI97" s="382"/>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row>
    <row r="98" spans="1:67" s="88" customFormat="1" ht="10.55" customHeight="1" x14ac:dyDescent="0.2">
      <c r="A98" s="1013" t="s">
        <v>828</v>
      </c>
      <c r="B98" s="2807"/>
      <c r="C98" s="2808"/>
      <c r="D98" s="2809"/>
      <c r="E98" s="2561"/>
      <c r="F98" s="2562"/>
      <c r="G98" s="1785">
        <v>20</v>
      </c>
      <c r="H98" s="524"/>
      <c r="I98" s="1409">
        <f t="shared" si="13"/>
        <v>6.4147128734474465E-2</v>
      </c>
      <c r="J98" s="1421">
        <f t="shared" si="14"/>
        <v>0</v>
      </c>
      <c r="K98" s="678">
        <v>1.5</v>
      </c>
      <c r="L98" s="1002"/>
      <c r="M98" s="1428">
        <f t="shared" si="15"/>
        <v>0</v>
      </c>
      <c r="N98" s="1111"/>
      <c r="O98" s="674">
        <f t="shared" si="16"/>
        <v>20</v>
      </c>
      <c r="P98" s="682"/>
      <c r="Q98" s="286"/>
      <c r="R98" s="287"/>
      <c r="S98" s="280"/>
      <c r="T98" s="280"/>
      <c r="U98" s="280"/>
      <c r="V98" s="280"/>
      <c r="W98" s="280"/>
      <c r="X98" s="280"/>
      <c r="Y98" s="280"/>
      <c r="Z98" s="284"/>
      <c r="AA98" s="284"/>
      <c r="AB98" s="284"/>
      <c r="AC98" s="284"/>
      <c r="AD98" s="284"/>
      <c r="AE98" s="284"/>
      <c r="AF98" s="447"/>
      <c r="AG98" s="447"/>
      <c r="AH98" s="447"/>
      <c r="AI98" s="382"/>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row>
    <row r="99" spans="1:67" s="88" customFormat="1" ht="10.55" customHeight="1" x14ac:dyDescent="0.2">
      <c r="A99" s="1013" t="s">
        <v>829</v>
      </c>
      <c r="B99" s="2807"/>
      <c r="C99" s="2808"/>
      <c r="D99" s="2809"/>
      <c r="E99" s="2561"/>
      <c r="F99" s="2562"/>
      <c r="G99" s="1785">
        <v>20</v>
      </c>
      <c r="H99" s="524"/>
      <c r="I99" s="1409">
        <f t="shared" si="13"/>
        <v>6.4147128734474465E-2</v>
      </c>
      <c r="J99" s="1421">
        <f t="shared" ref="J99:J100" si="17">ROUND(E99*I99,0)</f>
        <v>0</v>
      </c>
      <c r="K99" s="678">
        <v>1.5</v>
      </c>
      <c r="L99" s="1002"/>
      <c r="M99" s="1428">
        <f t="shared" ref="M99:M100" si="18">ROUND(E99/100*IF(ISBLANK(L99),K99,L99),0)</f>
        <v>0</v>
      </c>
      <c r="N99" s="1791"/>
      <c r="O99" s="674">
        <f t="shared" ref="O99:O100" si="19">IF(ISBLANK(H99),G99,H99)</f>
        <v>20</v>
      </c>
      <c r="P99" s="682"/>
      <c r="Q99" s="286"/>
      <c r="R99" s="287"/>
      <c r="S99" s="280"/>
      <c r="T99" s="280"/>
      <c r="U99" s="280"/>
      <c r="V99" s="280"/>
      <c r="W99" s="280"/>
      <c r="X99" s="280"/>
      <c r="Y99" s="280"/>
      <c r="Z99" s="284"/>
      <c r="AA99" s="284"/>
      <c r="AB99" s="284"/>
      <c r="AC99" s="284"/>
      <c r="AD99" s="284"/>
      <c r="AE99" s="284"/>
      <c r="AF99" s="447"/>
      <c r="AG99" s="447"/>
      <c r="AH99" s="447"/>
      <c r="AI99" s="382"/>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row>
    <row r="100" spans="1:67" s="88" customFormat="1" ht="10.55" customHeight="1" x14ac:dyDescent="0.2">
      <c r="A100" s="1013" t="s">
        <v>343</v>
      </c>
      <c r="B100" s="2807"/>
      <c r="C100" s="2808"/>
      <c r="D100" s="2809"/>
      <c r="E100" s="2561"/>
      <c r="F100" s="2562"/>
      <c r="G100" s="1785">
        <v>30</v>
      </c>
      <c r="H100" s="524"/>
      <c r="I100" s="1409">
        <f t="shared" si="13"/>
        <v>4.7777640736176463E-2</v>
      </c>
      <c r="J100" s="1421">
        <f t="shared" si="17"/>
        <v>0</v>
      </c>
      <c r="K100" s="678">
        <v>0.5</v>
      </c>
      <c r="L100" s="1002"/>
      <c r="M100" s="1428">
        <f t="shared" si="18"/>
        <v>0</v>
      </c>
      <c r="N100" s="1791"/>
      <c r="O100" s="674">
        <f t="shared" si="19"/>
        <v>30</v>
      </c>
      <c r="P100" s="682"/>
      <c r="Q100" s="286"/>
      <c r="R100" s="287"/>
      <c r="S100" s="280"/>
      <c r="T100" s="280"/>
      <c r="U100" s="280"/>
      <c r="V100" s="280"/>
      <c r="W100" s="280"/>
      <c r="X100" s="280"/>
      <c r="Y100" s="280"/>
      <c r="Z100" s="284"/>
      <c r="AA100" s="284"/>
      <c r="AB100" s="284"/>
      <c r="AC100" s="284"/>
      <c r="AD100" s="284"/>
      <c r="AE100" s="284"/>
      <c r="AF100" s="447"/>
      <c r="AG100" s="447"/>
      <c r="AH100" s="447"/>
      <c r="AI100" s="382"/>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row>
    <row r="101" spans="1:67" s="88" customFormat="1" ht="10.55" customHeight="1" x14ac:dyDescent="0.2">
      <c r="A101" s="1013" t="s">
        <v>344</v>
      </c>
      <c r="B101" s="2807"/>
      <c r="C101" s="2808"/>
      <c r="D101" s="2809"/>
      <c r="E101" s="2561"/>
      <c r="F101" s="2562"/>
      <c r="G101" s="1785">
        <v>30</v>
      </c>
      <c r="H101" s="524"/>
      <c r="I101" s="1409">
        <f t="shared" si="13"/>
        <v>4.7777640736176463E-2</v>
      </c>
      <c r="J101" s="1421">
        <f t="shared" si="14"/>
        <v>0</v>
      </c>
      <c r="K101" s="678">
        <v>0.5</v>
      </c>
      <c r="L101" s="1002"/>
      <c r="M101" s="1428">
        <f t="shared" si="15"/>
        <v>0</v>
      </c>
      <c r="N101" s="1111"/>
      <c r="O101" s="674">
        <f t="shared" si="16"/>
        <v>30</v>
      </c>
      <c r="P101" s="682"/>
      <c r="Q101" s="286"/>
      <c r="R101" s="287"/>
      <c r="S101" s="280"/>
      <c r="T101" s="280"/>
      <c r="U101" s="280"/>
      <c r="V101" s="280"/>
      <c r="W101" s="280"/>
      <c r="X101" s="280"/>
      <c r="Y101" s="280"/>
      <c r="Z101" s="284"/>
      <c r="AA101" s="284"/>
      <c r="AB101" s="284"/>
      <c r="AC101" s="284"/>
      <c r="AD101" s="284"/>
      <c r="AE101" s="284"/>
      <c r="AF101" s="447"/>
      <c r="AG101" s="447"/>
      <c r="AH101" s="447"/>
      <c r="AI101" s="382"/>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row>
    <row r="102" spans="1:67" s="88" customFormat="1" ht="10.55" customHeight="1" x14ac:dyDescent="0.2">
      <c r="A102" s="1013" t="s">
        <v>334</v>
      </c>
      <c r="B102" s="2807"/>
      <c r="C102" s="2808"/>
      <c r="D102" s="2809"/>
      <c r="E102" s="2561"/>
      <c r="F102" s="2562"/>
      <c r="G102" s="1785">
        <v>30</v>
      </c>
      <c r="H102" s="524"/>
      <c r="I102" s="1409">
        <f t="shared" si="13"/>
        <v>4.7777640736176463E-2</v>
      </c>
      <c r="J102" s="1421">
        <f t="shared" si="14"/>
        <v>0</v>
      </c>
      <c r="K102" s="678">
        <v>0</v>
      </c>
      <c r="L102" s="1002"/>
      <c r="M102" s="1428">
        <f t="shared" si="15"/>
        <v>0</v>
      </c>
      <c r="N102" s="1111"/>
      <c r="O102" s="674">
        <f t="shared" si="16"/>
        <v>30</v>
      </c>
      <c r="P102" s="682"/>
      <c r="Q102" s="286"/>
      <c r="R102" s="287"/>
      <c r="S102" s="280"/>
      <c r="T102" s="280"/>
      <c r="U102" s="280"/>
      <c r="V102" s="280"/>
      <c r="W102" s="280"/>
      <c r="X102" s="280"/>
      <c r="Y102" s="280"/>
      <c r="Z102" s="284"/>
      <c r="AA102" s="284"/>
      <c r="AB102" s="284"/>
      <c r="AC102" s="284"/>
      <c r="AD102" s="284"/>
      <c r="AE102" s="284"/>
      <c r="AF102" s="447"/>
      <c r="AG102" s="447"/>
      <c r="AH102" s="447"/>
      <c r="AI102" s="382"/>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row>
    <row r="103" spans="1:67" s="88" customFormat="1" ht="10.55" customHeight="1" x14ac:dyDescent="0.2">
      <c r="A103" s="675"/>
      <c r="B103" s="2807"/>
      <c r="C103" s="2808"/>
      <c r="D103" s="2809"/>
      <c r="E103" s="2561"/>
      <c r="F103" s="2562"/>
      <c r="G103" s="1015"/>
      <c r="H103" s="524"/>
      <c r="I103" s="1409">
        <f t="shared" si="13"/>
        <v>0</v>
      </c>
      <c r="J103" s="1421">
        <f t="shared" si="14"/>
        <v>0</v>
      </c>
      <c r="K103" s="679"/>
      <c r="L103" s="1002"/>
      <c r="M103" s="1428">
        <f t="shared" si="15"/>
        <v>0</v>
      </c>
      <c r="N103" s="1111"/>
      <c r="O103" s="674">
        <f t="shared" si="16"/>
        <v>0</v>
      </c>
      <c r="P103" s="682"/>
      <c r="Q103" s="286"/>
      <c r="R103" s="287"/>
      <c r="S103" s="280"/>
      <c r="T103" s="280"/>
      <c r="U103" s="280"/>
      <c r="V103" s="280"/>
      <c r="W103" s="280"/>
      <c r="X103" s="280"/>
      <c r="Y103" s="280"/>
      <c r="Z103" s="284"/>
      <c r="AA103" s="284"/>
      <c r="AB103" s="284"/>
      <c r="AC103" s="284"/>
      <c r="AD103" s="284"/>
      <c r="AE103" s="284"/>
      <c r="AF103" s="447"/>
      <c r="AG103" s="447"/>
      <c r="AH103" s="447"/>
      <c r="AI103" s="382"/>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row>
    <row r="104" spans="1:67" s="88" customFormat="1" ht="10.55" customHeight="1" x14ac:dyDescent="0.2">
      <c r="A104" s="675"/>
      <c r="B104" s="2807"/>
      <c r="C104" s="2808"/>
      <c r="D104" s="2809"/>
      <c r="E104" s="2561"/>
      <c r="F104" s="2562"/>
      <c r="G104" s="1015"/>
      <c r="H104" s="524"/>
      <c r="I104" s="1409">
        <f t="shared" si="13"/>
        <v>0</v>
      </c>
      <c r="J104" s="1421">
        <f t="shared" si="14"/>
        <v>0</v>
      </c>
      <c r="K104" s="679"/>
      <c r="L104" s="1002"/>
      <c r="M104" s="1428">
        <f t="shared" si="15"/>
        <v>0</v>
      </c>
      <c r="N104" s="1111"/>
      <c r="O104" s="674">
        <f t="shared" si="16"/>
        <v>0</v>
      </c>
      <c r="P104" s="682"/>
      <c r="Q104" s="286"/>
      <c r="R104" s="287"/>
      <c r="S104" s="280"/>
      <c r="T104" s="280"/>
      <c r="U104" s="280"/>
      <c r="V104" s="280"/>
      <c r="W104" s="280"/>
      <c r="X104" s="280"/>
      <c r="Y104" s="280"/>
      <c r="Z104" s="284"/>
      <c r="AA104" s="284"/>
      <c r="AB104" s="284"/>
      <c r="AC104" s="284"/>
      <c r="AD104" s="284"/>
      <c r="AE104" s="284"/>
      <c r="AF104" s="447"/>
      <c r="AG104" s="447"/>
      <c r="AH104" s="447"/>
      <c r="AI104" s="382"/>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row>
    <row r="105" spans="1:67" s="88" customFormat="1" ht="10.55" customHeight="1" x14ac:dyDescent="0.2">
      <c r="A105" s="1085"/>
      <c r="B105" s="2804"/>
      <c r="C105" s="2805"/>
      <c r="D105" s="2806"/>
      <c r="E105" s="2793"/>
      <c r="F105" s="2794"/>
      <c r="G105" s="1086"/>
      <c r="H105" s="1087"/>
      <c r="I105" s="1437">
        <f t="shared" si="13"/>
        <v>0</v>
      </c>
      <c r="J105" s="1413"/>
      <c r="K105" s="1088"/>
      <c r="L105" s="1089"/>
      <c r="M105" s="1431">
        <f t="shared" si="15"/>
        <v>0</v>
      </c>
      <c r="N105" s="1111"/>
      <c r="O105" s="674">
        <f t="shared" si="16"/>
        <v>0</v>
      </c>
      <c r="P105" s="682"/>
      <c r="Q105" s="286"/>
      <c r="R105" s="287"/>
      <c r="S105" s="280"/>
      <c r="T105" s="280"/>
      <c r="U105" s="280"/>
      <c r="V105" s="280"/>
      <c r="W105" s="280"/>
      <c r="X105" s="280"/>
      <c r="Y105" s="280"/>
      <c r="Z105" s="284"/>
      <c r="AA105" s="284"/>
      <c r="AB105" s="284"/>
      <c r="AC105" s="284"/>
      <c r="AD105" s="284"/>
      <c r="AE105" s="284"/>
      <c r="AF105" s="447"/>
      <c r="AG105" s="447"/>
      <c r="AH105" s="447"/>
      <c r="AI105" s="382"/>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row>
    <row r="106" spans="1:67" s="88" customFormat="1" ht="10.55" customHeight="1" x14ac:dyDescent="0.2">
      <c r="A106" s="1122" t="s">
        <v>345</v>
      </c>
      <c r="B106" s="2783"/>
      <c r="C106" s="2784"/>
      <c r="D106" s="2785"/>
      <c r="E106" s="2810">
        <f>SUM(E107:E119)</f>
        <v>0</v>
      </c>
      <c r="F106" s="2811"/>
      <c r="G106" s="2747"/>
      <c r="H106" s="2748"/>
      <c r="I106" s="1435">
        <f>IF(E106=0,0,J106/E106)</f>
        <v>0</v>
      </c>
      <c r="J106" s="1423">
        <f>SUM(J107:J119)</f>
        <v>0</v>
      </c>
      <c r="K106" s="2749">
        <f>IF(E106=0,0,M106/E106*100)</f>
        <v>0</v>
      </c>
      <c r="L106" s="2750"/>
      <c r="M106" s="1430">
        <f>SUM(M107:M119)</f>
        <v>0</v>
      </c>
      <c r="N106" s="1111"/>
      <c r="O106" s="387">
        <f>IF(H106="",G106,H106)</f>
        <v>0</v>
      </c>
      <c r="P106" s="682"/>
      <c r="Q106" s="286"/>
      <c r="R106" s="287"/>
      <c r="S106" s="280"/>
      <c r="T106" s="280"/>
      <c r="U106" s="280"/>
      <c r="V106" s="280"/>
      <c r="W106" s="280"/>
      <c r="X106" s="280"/>
      <c r="Y106" s="280"/>
      <c r="Z106" s="284"/>
      <c r="AA106" s="284"/>
      <c r="AB106" s="284"/>
      <c r="AC106" s="284"/>
      <c r="AD106" s="284"/>
      <c r="AE106" s="284"/>
      <c r="AF106" s="447"/>
      <c r="AG106" s="447"/>
      <c r="AH106" s="447"/>
      <c r="AI106" s="382"/>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row>
    <row r="107" spans="1:67" s="88" customFormat="1" ht="10.55" customHeight="1" x14ac:dyDescent="0.2">
      <c r="A107" s="1013" t="s">
        <v>458</v>
      </c>
      <c r="B107" s="2790"/>
      <c r="C107" s="2791"/>
      <c r="D107" s="2792"/>
      <c r="E107" s="2734"/>
      <c r="F107" s="2735"/>
      <c r="G107" s="1785">
        <v>20</v>
      </c>
      <c r="H107" s="524"/>
      <c r="I107" s="1409">
        <f t="shared" ref="I107:I120" si="20">IF($O107&gt;0,-PMT(($I$9),$O107,1),0)</f>
        <v>6.4147128734474465E-2</v>
      </c>
      <c r="J107" s="1421">
        <f t="shared" ref="J107:J119" si="21">ROUND(E107*I107,0)</f>
        <v>0</v>
      </c>
      <c r="K107" s="678">
        <v>2.5</v>
      </c>
      <c r="L107" s="1002"/>
      <c r="M107" s="1428">
        <f t="shared" ref="M107:M120" si="22">ROUND(E107/100*IF(ISBLANK(L107),K107,L107),0)</f>
        <v>0</v>
      </c>
      <c r="N107" s="1111"/>
      <c r="O107" s="674">
        <f t="shared" ref="O107:O120" si="23">IF(ISBLANK(H107),G107,H107)</f>
        <v>20</v>
      </c>
      <c r="P107" s="682"/>
      <c r="Q107" s="286"/>
      <c r="R107" s="287"/>
      <c r="S107" s="280"/>
      <c r="T107" s="280"/>
      <c r="U107" s="280"/>
      <c r="V107" s="280"/>
      <c r="W107" s="280"/>
      <c r="X107" s="280"/>
      <c r="Y107" s="280"/>
      <c r="Z107" s="284"/>
      <c r="AA107" s="284"/>
      <c r="AB107" s="284"/>
      <c r="AC107" s="284"/>
      <c r="AD107" s="284"/>
      <c r="AE107" s="284"/>
      <c r="AF107" s="447"/>
      <c r="AG107" s="447"/>
      <c r="AH107" s="447"/>
      <c r="AI107" s="382"/>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row>
    <row r="108" spans="1:67" s="88" customFormat="1" ht="10.55" customHeight="1" x14ac:dyDescent="0.2">
      <c r="A108" s="1013" t="s">
        <v>459</v>
      </c>
      <c r="B108" s="2807"/>
      <c r="C108" s="2808"/>
      <c r="D108" s="2809"/>
      <c r="E108" s="2561"/>
      <c r="F108" s="2562"/>
      <c r="G108" s="1785">
        <v>20</v>
      </c>
      <c r="H108" s="524"/>
      <c r="I108" s="1409">
        <f t="shared" si="20"/>
        <v>6.4147128734474465E-2</v>
      </c>
      <c r="J108" s="1421">
        <f t="shared" si="21"/>
        <v>0</v>
      </c>
      <c r="K108" s="678">
        <v>2.5</v>
      </c>
      <c r="L108" s="1002"/>
      <c r="M108" s="1428">
        <f t="shared" si="22"/>
        <v>0</v>
      </c>
      <c r="N108" s="1111"/>
      <c r="O108" s="674">
        <f t="shared" si="23"/>
        <v>20</v>
      </c>
      <c r="P108" s="682"/>
      <c r="Q108" s="286"/>
      <c r="R108" s="287"/>
      <c r="S108" s="280"/>
      <c r="T108" s="280"/>
      <c r="U108" s="280"/>
      <c r="V108" s="280"/>
      <c r="W108" s="280"/>
      <c r="X108" s="280"/>
      <c r="Y108" s="280"/>
      <c r="Z108" s="284"/>
      <c r="AA108" s="284"/>
      <c r="AB108" s="284"/>
      <c r="AC108" s="284"/>
      <c r="AD108" s="284"/>
      <c r="AE108" s="284"/>
      <c r="AF108" s="447"/>
      <c r="AG108" s="447"/>
      <c r="AH108" s="447"/>
      <c r="AI108" s="382"/>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row>
    <row r="109" spans="1:67" s="88" customFormat="1" ht="10.55" customHeight="1" x14ac:dyDescent="0.2">
      <c r="A109" s="1013" t="s">
        <v>346</v>
      </c>
      <c r="B109" s="2807"/>
      <c r="C109" s="2808"/>
      <c r="D109" s="2809"/>
      <c r="E109" s="2561"/>
      <c r="F109" s="2562"/>
      <c r="G109" s="1785">
        <v>15</v>
      </c>
      <c r="H109" s="524"/>
      <c r="I109" s="1409">
        <f t="shared" si="20"/>
        <v>8.0766456051533542E-2</v>
      </c>
      <c r="J109" s="1421">
        <f t="shared" si="21"/>
        <v>0</v>
      </c>
      <c r="K109" s="678">
        <v>3.5</v>
      </c>
      <c r="L109" s="1002"/>
      <c r="M109" s="1428">
        <f t="shared" si="22"/>
        <v>0</v>
      </c>
      <c r="N109" s="1111"/>
      <c r="O109" s="674">
        <f t="shared" si="23"/>
        <v>15</v>
      </c>
      <c r="P109" s="682"/>
      <c r="Q109" s="286"/>
      <c r="R109" s="287"/>
      <c r="S109" s="280"/>
      <c r="T109" s="280"/>
      <c r="U109" s="280"/>
      <c r="V109" s="280"/>
      <c r="W109" s="280"/>
      <c r="X109" s="280"/>
      <c r="Y109" s="280"/>
      <c r="Z109" s="284"/>
      <c r="AA109" s="284"/>
      <c r="AB109" s="284"/>
      <c r="AC109" s="284"/>
      <c r="AD109" s="284"/>
      <c r="AE109" s="284"/>
      <c r="AF109" s="447"/>
      <c r="AG109" s="447"/>
      <c r="AH109" s="447"/>
      <c r="AI109" s="382"/>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row>
    <row r="110" spans="1:67" s="88" customFormat="1" ht="10.55" customHeight="1" x14ac:dyDescent="0.2">
      <c r="A110" s="1013" t="s">
        <v>347</v>
      </c>
      <c r="B110" s="2807"/>
      <c r="C110" s="2808"/>
      <c r="D110" s="2809"/>
      <c r="E110" s="2561"/>
      <c r="F110" s="2562"/>
      <c r="G110" s="1785">
        <v>15</v>
      </c>
      <c r="H110" s="524"/>
      <c r="I110" s="1409">
        <f t="shared" si="20"/>
        <v>8.0766456051533542E-2</v>
      </c>
      <c r="J110" s="1421">
        <f t="shared" si="21"/>
        <v>0</v>
      </c>
      <c r="K110" s="678">
        <v>3.5</v>
      </c>
      <c r="L110" s="1002"/>
      <c r="M110" s="1428">
        <f t="shared" si="22"/>
        <v>0</v>
      </c>
      <c r="N110" s="1111"/>
      <c r="O110" s="674">
        <f t="shared" si="23"/>
        <v>15</v>
      </c>
      <c r="P110" s="682"/>
      <c r="Q110" s="286"/>
      <c r="R110" s="287"/>
      <c r="S110" s="280"/>
      <c r="T110" s="280"/>
      <c r="U110" s="280"/>
      <c r="V110" s="280"/>
      <c r="W110" s="280"/>
      <c r="X110" s="280"/>
      <c r="Y110" s="280"/>
      <c r="Z110" s="284"/>
      <c r="AA110" s="284"/>
      <c r="AB110" s="284"/>
      <c r="AC110" s="284"/>
      <c r="AD110" s="284"/>
      <c r="AE110" s="284"/>
      <c r="AF110" s="447"/>
      <c r="AG110" s="447"/>
      <c r="AH110" s="447"/>
      <c r="AI110" s="382"/>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row>
    <row r="111" spans="1:67" s="88" customFormat="1" ht="10.55" customHeight="1" x14ac:dyDescent="0.2">
      <c r="A111" s="675"/>
      <c r="B111" s="2807"/>
      <c r="C111" s="2808"/>
      <c r="D111" s="2809"/>
      <c r="E111" s="2561"/>
      <c r="F111" s="2562"/>
      <c r="G111" s="1015"/>
      <c r="H111" s="524"/>
      <c r="I111" s="1409">
        <f t="shared" si="20"/>
        <v>0</v>
      </c>
      <c r="J111" s="1421">
        <f t="shared" si="21"/>
        <v>0</v>
      </c>
      <c r="K111" s="679"/>
      <c r="L111" s="1002"/>
      <c r="M111" s="1428">
        <f t="shared" si="22"/>
        <v>0</v>
      </c>
      <c r="N111" s="1111"/>
      <c r="O111" s="674">
        <f t="shared" si="23"/>
        <v>0</v>
      </c>
      <c r="P111" s="682"/>
      <c r="Q111" s="286"/>
      <c r="R111" s="287"/>
      <c r="S111" s="280"/>
      <c r="T111" s="280"/>
      <c r="U111" s="280"/>
      <c r="V111" s="280"/>
      <c r="W111" s="280"/>
      <c r="X111" s="280"/>
      <c r="Y111" s="280"/>
      <c r="Z111" s="284"/>
      <c r="AA111" s="284"/>
      <c r="AB111" s="284"/>
      <c r="AC111" s="284"/>
      <c r="AD111" s="284"/>
      <c r="AE111" s="284"/>
      <c r="AF111" s="447"/>
      <c r="AG111" s="447"/>
      <c r="AH111" s="447"/>
      <c r="AI111" s="382"/>
      <c r="AJ111" s="382"/>
      <c r="AK111" s="382"/>
      <c r="AL111" s="382"/>
      <c r="AM111" s="382"/>
      <c r="AN111" s="382"/>
      <c r="AO111" s="382"/>
      <c r="AP111" s="382"/>
      <c r="AQ111" s="382"/>
      <c r="AR111" s="382"/>
      <c r="AS111" s="382"/>
      <c r="AT111" s="382"/>
      <c r="AU111" s="382"/>
      <c r="AV111" s="382"/>
      <c r="AW111" s="382"/>
      <c r="AX111" s="382"/>
      <c r="AY111" s="382"/>
      <c r="AZ111" s="382"/>
      <c r="BA111" s="382"/>
      <c r="BB111" s="382"/>
      <c r="BC111" s="382"/>
      <c r="BD111" s="382"/>
      <c r="BE111" s="382"/>
      <c r="BF111" s="382"/>
      <c r="BG111" s="382"/>
      <c r="BH111" s="382"/>
      <c r="BI111" s="382"/>
      <c r="BJ111" s="382"/>
      <c r="BK111" s="382"/>
      <c r="BL111" s="382"/>
      <c r="BM111" s="382"/>
      <c r="BN111" s="382"/>
      <c r="BO111" s="382"/>
    </row>
    <row r="112" spans="1:67" s="88" customFormat="1" ht="10.55" customHeight="1" x14ac:dyDescent="0.2">
      <c r="A112" s="675"/>
      <c r="B112" s="2807"/>
      <c r="C112" s="2808"/>
      <c r="D112" s="2809"/>
      <c r="E112" s="2561"/>
      <c r="F112" s="2562"/>
      <c r="G112" s="1015"/>
      <c r="H112" s="524"/>
      <c r="I112" s="1409">
        <f t="shared" si="20"/>
        <v>0</v>
      </c>
      <c r="J112" s="1421">
        <f t="shared" si="21"/>
        <v>0</v>
      </c>
      <c r="K112" s="679"/>
      <c r="L112" s="1002"/>
      <c r="M112" s="1428">
        <f t="shared" si="22"/>
        <v>0</v>
      </c>
      <c r="N112" s="1111"/>
      <c r="O112" s="674">
        <f t="shared" si="23"/>
        <v>0</v>
      </c>
      <c r="P112" s="682"/>
      <c r="Q112" s="286"/>
      <c r="R112" s="287"/>
      <c r="S112" s="280"/>
      <c r="T112" s="280"/>
      <c r="U112" s="280"/>
      <c r="V112" s="280"/>
      <c r="W112" s="280"/>
      <c r="X112" s="280"/>
      <c r="Y112" s="280"/>
      <c r="Z112" s="284"/>
      <c r="AA112" s="284"/>
      <c r="AB112" s="284"/>
      <c r="AC112" s="284"/>
      <c r="AD112" s="284"/>
      <c r="AE112" s="284"/>
      <c r="AF112" s="447"/>
      <c r="AG112" s="447"/>
      <c r="AH112" s="447"/>
      <c r="AI112" s="382"/>
      <c r="AJ112" s="382"/>
      <c r="AK112" s="382"/>
      <c r="AL112" s="382"/>
      <c r="AM112" s="382"/>
      <c r="AN112" s="382"/>
      <c r="AO112" s="382"/>
      <c r="AP112" s="382"/>
      <c r="AQ112" s="382"/>
      <c r="AR112" s="382"/>
      <c r="AS112" s="382"/>
      <c r="AT112" s="382"/>
      <c r="AU112" s="382"/>
      <c r="AV112" s="382"/>
      <c r="AW112" s="382"/>
      <c r="AX112" s="382"/>
      <c r="AY112" s="382"/>
      <c r="AZ112" s="382"/>
      <c r="BA112" s="382"/>
      <c r="BB112" s="382"/>
      <c r="BC112" s="382"/>
      <c r="BD112" s="382"/>
      <c r="BE112" s="382"/>
      <c r="BF112" s="382"/>
      <c r="BG112" s="382"/>
      <c r="BH112" s="382"/>
      <c r="BI112" s="382"/>
      <c r="BJ112" s="382"/>
      <c r="BK112" s="382"/>
      <c r="BL112" s="382"/>
      <c r="BM112" s="382"/>
      <c r="BN112" s="382"/>
      <c r="BO112" s="382"/>
    </row>
    <row r="113" spans="1:67" s="88" customFormat="1" ht="10.55" customHeight="1" x14ac:dyDescent="0.2">
      <c r="A113" s="675"/>
      <c r="B113" s="2807"/>
      <c r="C113" s="2808"/>
      <c r="D113" s="2809"/>
      <c r="E113" s="2561"/>
      <c r="F113" s="2562"/>
      <c r="G113" s="1015"/>
      <c r="H113" s="524"/>
      <c r="I113" s="1409">
        <f t="shared" si="20"/>
        <v>0</v>
      </c>
      <c r="J113" s="1421">
        <f t="shared" si="21"/>
        <v>0</v>
      </c>
      <c r="K113" s="679"/>
      <c r="L113" s="1002"/>
      <c r="M113" s="1428">
        <f t="shared" si="22"/>
        <v>0</v>
      </c>
      <c r="N113" s="1111"/>
      <c r="O113" s="674">
        <f t="shared" si="23"/>
        <v>0</v>
      </c>
      <c r="P113" s="682"/>
      <c r="Q113" s="286"/>
      <c r="R113" s="287"/>
      <c r="S113" s="280"/>
      <c r="T113" s="280"/>
      <c r="U113" s="280"/>
      <c r="V113" s="280"/>
      <c r="W113" s="280"/>
      <c r="X113" s="280"/>
      <c r="Y113" s="280"/>
      <c r="Z113" s="284"/>
      <c r="AA113" s="284"/>
      <c r="AB113" s="284"/>
      <c r="AC113" s="284"/>
      <c r="AD113" s="284"/>
      <c r="AE113" s="284"/>
      <c r="AF113" s="447"/>
      <c r="AG113" s="447"/>
      <c r="AH113" s="447"/>
      <c r="AI113" s="382"/>
      <c r="AJ113" s="382"/>
      <c r="AK113" s="382"/>
      <c r="AL113" s="382"/>
      <c r="AM113" s="382"/>
      <c r="AN113" s="382"/>
      <c r="AO113" s="382"/>
      <c r="AP113" s="382"/>
      <c r="AQ113" s="382"/>
      <c r="AR113" s="382"/>
      <c r="AS113" s="382"/>
      <c r="AT113" s="382"/>
      <c r="AU113" s="382"/>
      <c r="AV113" s="382"/>
      <c r="AW113" s="382"/>
      <c r="AX113" s="382"/>
      <c r="AY113" s="382"/>
      <c r="AZ113" s="382"/>
      <c r="BA113" s="382"/>
      <c r="BB113" s="382"/>
      <c r="BC113" s="382"/>
      <c r="BD113" s="382"/>
      <c r="BE113" s="382"/>
      <c r="BF113" s="382"/>
      <c r="BG113" s="382"/>
      <c r="BH113" s="382"/>
      <c r="BI113" s="382"/>
      <c r="BJ113" s="382"/>
      <c r="BK113" s="382"/>
      <c r="BL113" s="382"/>
      <c r="BM113" s="382"/>
      <c r="BN113" s="382"/>
      <c r="BO113" s="382"/>
    </row>
    <row r="114" spans="1:67" s="88" customFormat="1" ht="10.55" customHeight="1" x14ac:dyDescent="0.2">
      <c r="A114" s="675"/>
      <c r="B114" s="2807"/>
      <c r="C114" s="2808"/>
      <c r="D114" s="2809"/>
      <c r="E114" s="2561"/>
      <c r="F114" s="2562"/>
      <c r="G114" s="1015"/>
      <c r="H114" s="524"/>
      <c r="I114" s="1409">
        <f t="shared" si="20"/>
        <v>0</v>
      </c>
      <c r="J114" s="1421">
        <f t="shared" si="21"/>
        <v>0</v>
      </c>
      <c r="K114" s="679"/>
      <c r="L114" s="1002"/>
      <c r="M114" s="1428">
        <f t="shared" si="22"/>
        <v>0</v>
      </c>
      <c r="N114" s="1111"/>
      <c r="O114" s="674">
        <f t="shared" si="23"/>
        <v>0</v>
      </c>
      <c r="P114" s="682"/>
      <c r="Q114" s="286"/>
      <c r="R114" s="287"/>
      <c r="S114" s="280"/>
      <c r="T114" s="280"/>
      <c r="U114" s="280"/>
      <c r="V114" s="280"/>
      <c r="W114" s="280"/>
      <c r="X114" s="280"/>
      <c r="Y114" s="280"/>
      <c r="Z114" s="284"/>
      <c r="AA114" s="284"/>
      <c r="AB114" s="284"/>
      <c r="AC114" s="284"/>
      <c r="AD114" s="284"/>
      <c r="AE114" s="284"/>
      <c r="AF114" s="447"/>
      <c r="AG114" s="447"/>
      <c r="AH114" s="447"/>
      <c r="AI114" s="382"/>
      <c r="AJ114" s="382"/>
      <c r="AK114" s="382"/>
      <c r="AL114" s="382"/>
      <c r="AM114" s="382"/>
      <c r="AN114" s="382"/>
      <c r="AO114" s="382"/>
      <c r="AP114" s="382"/>
      <c r="AQ114" s="382"/>
      <c r="AR114" s="382"/>
      <c r="AS114" s="382"/>
      <c r="AT114" s="382"/>
      <c r="AU114" s="382"/>
      <c r="AV114" s="382"/>
      <c r="AW114" s="382"/>
      <c r="AX114" s="382"/>
      <c r="AY114" s="382"/>
      <c r="AZ114" s="382"/>
      <c r="BA114" s="382"/>
      <c r="BB114" s="382"/>
      <c r="BC114" s="382"/>
      <c r="BD114" s="382"/>
      <c r="BE114" s="382"/>
      <c r="BF114" s="382"/>
      <c r="BG114" s="382"/>
      <c r="BH114" s="382"/>
      <c r="BI114" s="382"/>
      <c r="BJ114" s="382"/>
      <c r="BK114" s="382"/>
      <c r="BL114" s="382"/>
      <c r="BM114" s="382"/>
      <c r="BN114" s="382"/>
      <c r="BO114" s="382"/>
    </row>
    <row r="115" spans="1:67" s="88" customFormat="1" ht="10.55" customHeight="1" x14ac:dyDescent="0.2">
      <c r="A115" s="675"/>
      <c r="B115" s="2807"/>
      <c r="C115" s="2808"/>
      <c r="D115" s="2809"/>
      <c r="E115" s="2561"/>
      <c r="F115" s="2562"/>
      <c r="G115" s="1015"/>
      <c r="H115" s="524"/>
      <c r="I115" s="1409">
        <f t="shared" si="20"/>
        <v>0</v>
      </c>
      <c r="J115" s="1421">
        <f t="shared" si="21"/>
        <v>0</v>
      </c>
      <c r="K115" s="679"/>
      <c r="L115" s="1002"/>
      <c r="M115" s="1428">
        <f t="shared" si="22"/>
        <v>0</v>
      </c>
      <c r="N115" s="1111"/>
      <c r="O115" s="674">
        <f t="shared" si="23"/>
        <v>0</v>
      </c>
      <c r="P115" s="682"/>
      <c r="Q115" s="286"/>
      <c r="R115" s="287"/>
      <c r="S115" s="280"/>
      <c r="T115" s="280"/>
      <c r="U115" s="280"/>
      <c r="V115" s="280"/>
      <c r="W115" s="280"/>
      <c r="X115" s="280"/>
      <c r="Y115" s="280"/>
      <c r="Z115" s="284"/>
      <c r="AA115" s="284"/>
      <c r="AB115" s="284"/>
      <c r="AC115" s="284"/>
      <c r="AD115" s="284"/>
      <c r="AE115" s="284"/>
      <c r="AF115" s="447"/>
      <c r="AG115" s="447"/>
      <c r="AH115" s="447"/>
      <c r="AI115" s="382"/>
      <c r="AJ115" s="382"/>
      <c r="AK115" s="382"/>
      <c r="AL115" s="382"/>
      <c r="AM115" s="382"/>
      <c r="AN115" s="382"/>
      <c r="AO115" s="382"/>
      <c r="AP115" s="382"/>
      <c r="AQ115" s="382"/>
      <c r="AR115" s="382"/>
      <c r="AS115" s="382"/>
      <c r="AT115" s="382"/>
      <c r="AU115" s="382"/>
      <c r="AV115" s="382"/>
      <c r="AW115" s="382"/>
      <c r="AX115" s="382"/>
      <c r="AY115" s="382"/>
      <c r="AZ115" s="382"/>
      <c r="BA115" s="382"/>
      <c r="BB115" s="382"/>
      <c r="BC115" s="382"/>
      <c r="BD115" s="382"/>
      <c r="BE115" s="382"/>
      <c r="BF115" s="382"/>
      <c r="BG115" s="382"/>
      <c r="BH115" s="382"/>
      <c r="BI115" s="382"/>
      <c r="BJ115" s="382"/>
      <c r="BK115" s="382"/>
      <c r="BL115" s="382"/>
      <c r="BM115" s="382"/>
      <c r="BN115" s="382"/>
      <c r="BO115" s="382"/>
    </row>
    <row r="116" spans="1:67" s="88" customFormat="1" ht="10.55" customHeight="1" x14ac:dyDescent="0.2">
      <c r="A116" s="675"/>
      <c r="B116" s="2807"/>
      <c r="C116" s="2808"/>
      <c r="D116" s="2809"/>
      <c r="E116" s="2561"/>
      <c r="F116" s="2562"/>
      <c r="G116" s="1015"/>
      <c r="H116" s="524"/>
      <c r="I116" s="1409">
        <f t="shared" si="20"/>
        <v>0</v>
      </c>
      <c r="J116" s="1421">
        <f t="shared" si="21"/>
        <v>0</v>
      </c>
      <c r="K116" s="679"/>
      <c r="L116" s="1002"/>
      <c r="M116" s="1428">
        <f t="shared" si="22"/>
        <v>0</v>
      </c>
      <c r="N116" s="1111"/>
      <c r="O116" s="674">
        <f t="shared" si="23"/>
        <v>0</v>
      </c>
      <c r="P116" s="682"/>
      <c r="Q116" s="286"/>
      <c r="R116" s="287"/>
      <c r="S116" s="280"/>
      <c r="T116" s="280"/>
      <c r="U116" s="280"/>
      <c r="V116" s="280"/>
      <c r="W116" s="280"/>
      <c r="X116" s="280"/>
      <c r="Y116" s="280"/>
      <c r="Z116" s="284"/>
      <c r="AA116" s="284"/>
      <c r="AB116" s="284"/>
      <c r="AC116" s="284"/>
      <c r="AD116" s="284"/>
      <c r="AE116" s="284"/>
      <c r="AF116" s="447"/>
      <c r="AG116" s="447"/>
      <c r="AH116" s="447"/>
      <c r="AI116" s="382"/>
      <c r="AJ116" s="382"/>
      <c r="AK116" s="382"/>
      <c r="AL116" s="382"/>
      <c r="AM116" s="382"/>
      <c r="AN116" s="382"/>
      <c r="AO116" s="382"/>
      <c r="AP116" s="382"/>
      <c r="AQ116" s="382"/>
      <c r="AR116" s="382"/>
      <c r="AS116" s="382"/>
      <c r="AT116" s="382"/>
      <c r="AU116" s="382"/>
      <c r="AV116" s="382"/>
      <c r="AW116" s="382"/>
      <c r="AX116" s="382"/>
      <c r="AY116" s="382"/>
      <c r="AZ116" s="382"/>
      <c r="BA116" s="382"/>
      <c r="BB116" s="382"/>
      <c r="BC116" s="382"/>
      <c r="BD116" s="382"/>
      <c r="BE116" s="382"/>
      <c r="BF116" s="382"/>
      <c r="BG116" s="382"/>
      <c r="BH116" s="382"/>
      <c r="BI116" s="382"/>
      <c r="BJ116" s="382"/>
      <c r="BK116" s="382"/>
      <c r="BL116" s="382"/>
      <c r="BM116" s="382"/>
      <c r="BN116" s="382"/>
      <c r="BO116" s="382"/>
    </row>
    <row r="117" spans="1:67" s="88" customFormat="1" ht="10.55" customHeight="1" x14ac:dyDescent="0.2">
      <c r="A117" s="675"/>
      <c r="B117" s="2807"/>
      <c r="C117" s="2808"/>
      <c r="D117" s="2809"/>
      <c r="E117" s="2561"/>
      <c r="F117" s="2562"/>
      <c r="G117" s="1015"/>
      <c r="H117" s="524"/>
      <c r="I117" s="1409">
        <f t="shared" si="20"/>
        <v>0</v>
      </c>
      <c r="J117" s="1421">
        <f t="shared" si="21"/>
        <v>0</v>
      </c>
      <c r="K117" s="679"/>
      <c r="L117" s="1002"/>
      <c r="M117" s="1428">
        <f t="shared" si="22"/>
        <v>0</v>
      </c>
      <c r="N117" s="1111"/>
      <c r="O117" s="674">
        <f t="shared" si="23"/>
        <v>0</v>
      </c>
      <c r="P117" s="682"/>
      <c r="Q117" s="286"/>
      <c r="R117" s="287"/>
      <c r="S117" s="280"/>
      <c r="T117" s="280"/>
      <c r="U117" s="280"/>
      <c r="V117" s="280"/>
      <c r="W117" s="280"/>
      <c r="X117" s="280"/>
      <c r="Y117" s="280"/>
      <c r="Z117" s="284"/>
      <c r="AA117" s="284"/>
      <c r="AB117" s="284"/>
      <c r="AC117" s="284"/>
      <c r="AD117" s="284"/>
      <c r="AE117" s="284"/>
      <c r="AF117" s="447"/>
      <c r="AG117" s="447"/>
      <c r="AH117" s="447"/>
      <c r="AI117" s="382"/>
      <c r="AJ117" s="382"/>
      <c r="AK117" s="382"/>
      <c r="AL117" s="382"/>
      <c r="AM117" s="382"/>
      <c r="AN117" s="382"/>
      <c r="AO117" s="382"/>
      <c r="AP117" s="382"/>
      <c r="AQ117" s="382"/>
      <c r="AR117" s="382"/>
      <c r="AS117" s="382"/>
      <c r="AT117" s="382"/>
      <c r="AU117" s="382"/>
      <c r="AV117" s="382"/>
      <c r="AW117" s="382"/>
      <c r="AX117" s="382"/>
      <c r="AY117" s="382"/>
      <c r="AZ117" s="382"/>
      <c r="BA117" s="382"/>
      <c r="BB117" s="382"/>
      <c r="BC117" s="382"/>
      <c r="BD117" s="382"/>
      <c r="BE117" s="382"/>
      <c r="BF117" s="382"/>
      <c r="BG117" s="382"/>
      <c r="BH117" s="382"/>
      <c r="BI117" s="382"/>
      <c r="BJ117" s="382"/>
      <c r="BK117" s="382"/>
      <c r="BL117" s="382"/>
      <c r="BM117" s="382"/>
      <c r="BN117" s="382"/>
      <c r="BO117" s="382"/>
    </row>
    <row r="118" spans="1:67" s="88" customFormat="1" ht="10.55" customHeight="1" x14ac:dyDescent="0.2">
      <c r="A118" s="675"/>
      <c r="B118" s="2807"/>
      <c r="C118" s="2808"/>
      <c r="D118" s="2809"/>
      <c r="E118" s="2561"/>
      <c r="F118" s="2562"/>
      <c r="G118" s="1015"/>
      <c r="H118" s="524"/>
      <c r="I118" s="1409">
        <f t="shared" si="20"/>
        <v>0</v>
      </c>
      <c r="J118" s="1421">
        <f t="shared" si="21"/>
        <v>0</v>
      </c>
      <c r="K118" s="679"/>
      <c r="L118" s="1002"/>
      <c r="M118" s="1428">
        <f t="shared" si="22"/>
        <v>0</v>
      </c>
      <c r="N118" s="1111"/>
      <c r="O118" s="674">
        <f t="shared" si="23"/>
        <v>0</v>
      </c>
      <c r="P118" s="682"/>
      <c r="Q118" s="286"/>
      <c r="R118" s="287"/>
      <c r="S118" s="280"/>
      <c r="T118" s="280"/>
      <c r="U118" s="280"/>
      <c r="V118" s="280"/>
      <c r="W118" s="280"/>
      <c r="X118" s="280"/>
      <c r="Y118" s="280"/>
      <c r="Z118" s="284"/>
      <c r="AA118" s="284"/>
      <c r="AB118" s="284"/>
      <c r="AC118" s="284"/>
      <c r="AD118" s="284"/>
      <c r="AE118" s="284"/>
      <c r="AF118" s="447"/>
      <c r="AG118" s="447"/>
      <c r="AH118" s="447"/>
      <c r="AI118" s="382"/>
      <c r="AJ118" s="382"/>
      <c r="AK118" s="382"/>
      <c r="AL118" s="382"/>
      <c r="AM118" s="382"/>
      <c r="AN118" s="382"/>
      <c r="AO118" s="382"/>
      <c r="AP118" s="382"/>
      <c r="AQ118" s="382"/>
      <c r="AR118" s="382"/>
      <c r="AS118" s="382"/>
      <c r="AT118" s="382"/>
      <c r="AU118" s="382"/>
      <c r="AV118" s="382"/>
      <c r="AW118" s="382"/>
      <c r="AX118" s="382"/>
      <c r="AY118" s="382"/>
      <c r="AZ118" s="382"/>
      <c r="BA118" s="382"/>
      <c r="BB118" s="382"/>
      <c r="BC118" s="382"/>
      <c r="BD118" s="382"/>
      <c r="BE118" s="382"/>
      <c r="BF118" s="382"/>
      <c r="BG118" s="382"/>
      <c r="BH118" s="382"/>
      <c r="BI118" s="382"/>
      <c r="BJ118" s="382"/>
      <c r="BK118" s="382"/>
      <c r="BL118" s="382"/>
      <c r="BM118" s="382"/>
      <c r="BN118" s="382"/>
      <c r="BO118" s="382"/>
    </row>
    <row r="119" spans="1:67" s="88" customFormat="1" ht="10.55" customHeight="1" x14ac:dyDescent="0.2">
      <c r="A119" s="675"/>
      <c r="B119" s="2807"/>
      <c r="C119" s="2808"/>
      <c r="D119" s="2809"/>
      <c r="E119" s="2561"/>
      <c r="F119" s="2562"/>
      <c r="G119" s="1015"/>
      <c r="H119" s="524"/>
      <c r="I119" s="1409">
        <f t="shared" si="20"/>
        <v>0</v>
      </c>
      <c r="J119" s="1421">
        <f t="shared" si="21"/>
        <v>0</v>
      </c>
      <c r="K119" s="679"/>
      <c r="L119" s="1002"/>
      <c r="M119" s="1428">
        <f t="shared" si="22"/>
        <v>0</v>
      </c>
      <c r="N119" s="1111"/>
      <c r="O119" s="674">
        <f t="shared" si="23"/>
        <v>0</v>
      </c>
      <c r="P119" s="682"/>
      <c r="Q119" s="286"/>
      <c r="R119" s="287"/>
      <c r="S119" s="280"/>
      <c r="T119" s="280"/>
      <c r="U119" s="280"/>
      <c r="V119" s="280"/>
      <c r="W119" s="280"/>
      <c r="X119" s="280"/>
      <c r="Y119" s="280"/>
      <c r="Z119" s="284"/>
      <c r="AA119" s="284"/>
      <c r="AB119" s="284"/>
      <c r="AC119" s="284"/>
      <c r="AD119" s="284"/>
      <c r="AE119" s="284"/>
      <c r="AF119" s="447"/>
      <c r="AG119" s="447"/>
      <c r="AH119" s="447"/>
      <c r="AI119" s="382"/>
      <c r="AJ119" s="382"/>
      <c r="AK119" s="382"/>
      <c r="AL119" s="382"/>
      <c r="AM119" s="382"/>
      <c r="AN119" s="382"/>
      <c r="AO119" s="382"/>
      <c r="AP119" s="382"/>
      <c r="AQ119" s="382"/>
      <c r="AR119" s="382"/>
      <c r="AS119" s="382"/>
      <c r="AT119" s="382"/>
      <c r="AU119" s="382"/>
      <c r="AV119" s="382"/>
      <c r="AW119" s="382"/>
      <c r="AX119" s="382"/>
      <c r="AY119" s="382"/>
      <c r="AZ119" s="382"/>
      <c r="BA119" s="382"/>
      <c r="BB119" s="382"/>
      <c r="BC119" s="382"/>
      <c r="BD119" s="382"/>
      <c r="BE119" s="382"/>
      <c r="BF119" s="382"/>
      <c r="BG119" s="382"/>
      <c r="BH119" s="382"/>
      <c r="BI119" s="382"/>
      <c r="BJ119" s="382"/>
      <c r="BK119" s="382"/>
      <c r="BL119" s="382"/>
      <c r="BM119" s="382"/>
      <c r="BN119" s="382"/>
      <c r="BO119" s="382"/>
    </row>
    <row r="120" spans="1:67" s="88" customFormat="1" ht="10.55" customHeight="1" x14ac:dyDescent="0.2">
      <c r="A120" s="1017"/>
      <c r="B120" s="2804"/>
      <c r="C120" s="2805"/>
      <c r="D120" s="2806"/>
      <c r="E120" s="2793"/>
      <c r="F120" s="2794"/>
      <c r="G120" s="1018"/>
      <c r="H120" s="1019"/>
      <c r="I120" s="1436">
        <f t="shared" si="20"/>
        <v>0</v>
      </c>
      <c r="J120" s="1422"/>
      <c r="K120" s="680"/>
      <c r="L120" s="1020"/>
      <c r="M120" s="1429">
        <f t="shared" si="22"/>
        <v>0</v>
      </c>
      <c r="N120" s="1111"/>
      <c r="O120" s="674">
        <f t="shared" si="23"/>
        <v>0</v>
      </c>
      <c r="P120" s="682"/>
      <c r="Q120" s="286"/>
      <c r="R120" s="287"/>
      <c r="S120" s="280"/>
      <c r="T120" s="280"/>
      <c r="U120" s="280"/>
      <c r="V120" s="280"/>
      <c r="W120" s="280"/>
      <c r="X120" s="280"/>
      <c r="Y120" s="280"/>
      <c r="Z120" s="284"/>
      <c r="AA120" s="284"/>
      <c r="AB120" s="284"/>
      <c r="AC120" s="284"/>
      <c r="AD120" s="284"/>
      <c r="AE120" s="284"/>
      <c r="AF120" s="447"/>
      <c r="AG120" s="447"/>
      <c r="AH120" s="447"/>
      <c r="AI120" s="382"/>
      <c r="AJ120" s="382"/>
      <c r="AK120" s="382"/>
      <c r="AL120" s="382"/>
      <c r="AM120" s="382"/>
      <c r="AN120" s="382"/>
      <c r="AO120" s="382"/>
      <c r="AP120" s="382"/>
      <c r="AQ120" s="382"/>
      <c r="AR120" s="382"/>
      <c r="AS120" s="382"/>
      <c r="AT120" s="382"/>
      <c r="AU120" s="382"/>
      <c r="AV120" s="382"/>
      <c r="AW120" s="382"/>
      <c r="AX120" s="382"/>
      <c r="AY120" s="382"/>
      <c r="AZ120" s="382"/>
      <c r="BA120" s="382"/>
      <c r="BB120" s="382"/>
      <c r="BC120" s="382"/>
      <c r="BD120" s="382"/>
      <c r="BE120" s="382"/>
      <c r="BF120" s="382"/>
      <c r="BG120" s="382"/>
      <c r="BH120" s="382"/>
      <c r="BI120" s="382"/>
      <c r="BJ120" s="382"/>
      <c r="BK120" s="382"/>
      <c r="BL120" s="382"/>
      <c r="BM120" s="382"/>
      <c r="BN120" s="382"/>
      <c r="BO120" s="382"/>
    </row>
    <row r="121" spans="1:67" s="88" customFormat="1" ht="10.55" customHeight="1" x14ac:dyDescent="0.2">
      <c r="A121" s="1122" t="s">
        <v>348</v>
      </c>
      <c r="B121" s="2783"/>
      <c r="C121" s="2784"/>
      <c r="D121" s="2785"/>
      <c r="E121" s="2810">
        <f>SUM(E122:E134)</f>
        <v>0</v>
      </c>
      <c r="F121" s="2811"/>
      <c r="G121" s="2747"/>
      <c r="H121" s="2748"/>
      <c r="I121" s="1435">
        <f>IF(E121=0,0,J121/E121)</f>
        <v>0</v>
      </c>
      <c r="J121" s="1423">
        <f>SUM(J122:J134)</f>
        <v>0</v>
      </c>
      <c r="K121" s="2749">
        <f>IF(E121=0,0,M121/E121*100)</f>
        <v>0</v>
      </c>
      <c r="L121" s="2750"/>
      <c r="M121" s="1430">
        <f>SUM(M122:M134)</f>
        <v>0</v>
      </c>
      <c r="N121" s="1111"/>
      <c r="O121" s="387">
        <f>IF(H121="",G121,H121)</f>
        <v>0</v>
      </c>
      <c r="P121" s="682"/>
      <c r="Q121" s="286"/>
      <c r="R121" s="287"/>
      <c r="S121" s="280"/>
      <c r="T121" s="280"/>
      <c r="U121" s="280"/>
      <c r="V121" s="280"/>
      <c r="W121" s="280"/>
      <c r="X121" s="280"/>
      <c r="Y121" s="280"/>
      <c r="Z121" s="284"/>
      <c r="AA121" s="284"/>
      <c r="AB121" s="284"/>
      <c r="AC121" s="284"/>
      <c r="AD121" s="284"/>
      <c r="AE121" s="284"/>
      <c r="AF121" s="447"/>
      <c r="AG121" s="447"/>
      <c r="AH121" s="447"/>
      <c r="AI121" s="382"/>
      <c r="AJ121" s="382"/>
      <c r="AK121" s="382"/>
      <c r="AL121" s="382"/>
      <c r="AM121" s="382"/>
      <c r="AN121" s="382"/>
      <c r="AO121" s="382"/>
      <c r="AP121" s="382"/>
      <c r="AQ121" s="382"/>
      <c r="AR121" s="382"/>
      <c r="AS121" s="382"/>
      <c r="AT121" s="382"/>
      <c r="AU121" s="382"/>
      <c r="AV121" s="382"/>
      <c r="AW121" s="382"/>
      <c r="AX121" s="382"/>
      <c r="AY121" s="382"/>
      <c r="AZ121" s="382"/>
      <c r="BA121" s="382"/>
      <c r="BB121" s="382"/>
      <c r="BC121" s="382"/>
      <c r="BD121" s="382"/>
      <c r="BE121" s="382"/>
      <c r="BF121" s="382"/>
      <c r="BG121" s="382"/>
      <c r="BH121" s="382"/>
      <c r="BI121" s="382"/>
      <c r="BJ121" s="382"/>
      <c r="BK121" s="382"/>
      <c r="BL121" s="382"/>
      <c r="BM121" s="382"/>
      <c r="BN121" s="382"/>
      <c r="BO121" s="382"/>
    </row>
    <row r="122" spans="1:67" s="88" customFormat="1" ht="10.55" customHeight="1" x14ac:dyDescent="0.2">
      <c r="A122" s="1013" t="s">
        <v>349</v>
      </c>
      <c r="B122" s="2790"/>
      <c r="C122" s="2791"/>
      <c r="D122" s="2792"/>
      <c r="E122" s="2734"/>
      <c r="F122" s="2735"/>
      <c r="G122" s="1785">
        <v>30</v>
      </c>
      <c r="H122" s="524"/>
      <c r="I122" s="1409">
        <f t="shared" ref="I122:I135" si="24">IF($O122&gt;0,-PMT(($I$9),$O122,1),0)</f>
        <v>4.7777640736176463E-2</v>
      </c>
      <c r="J122" s="1421">
        <f t="shared" ref="J122:J134" si="25">ROUND(E122*I122,0)</f>
        <v>0</v>
      </c>
      <c r="K122" s="678">
        <v>1</v>
      </c>
      <c r="L122" s="1002"/>
      <c r="M122" s="1428">
        <f t="shared" ref="M122:M135" si="26">ROUND(E122/100*IF(ISBLANK(L122),K122,L122),0)</f>
        <v>0</v>
      </c>
      <c r="N122" s="1111"/>
      <c r="O122" s="674">
        <f t="shared" ref="O122:O135" si="27">IF(ISBLANK(H122),G122,H122)</f>
        <v>30</v>
      </c>
      <c r="P122" s="682"/>
      <c r="Q122" s="286"/>
      <c r="R122" s="287"/>
      <c r="S122" s="280"/>
      <c r="T122" s="280"/>
      <c r="U122" s="280"/>
      <c r="V122" s="280"/>
      <c r="W122" s="280"/>
      <c r="X122" s="280"/>
      <c r="Y122" s="280"/>
      <c r="Z122" s="284"/>
      <c r="AA122" s="284"/>
      <c r="AB122" s="284"/>
      <c r="AC122" s="284"/>
      <c r="AD122" s="284"/>
      <c r="AE122" s="284"/>
      <c r="AF122" s="447"/>
      <c r="AG122" s="447"/>
      <c r="AH122" s="447"/>
      <c r="AI122" s="382"/>
      <c r="AJ122" s="382"/>
      <c r="AK122" s="382"/>
      <c r="AL122" s="382"/>
      <c r="AM122" s="382"/>
      <c r="AN122" s="382"/>
      <c r="AO122" s="382"/>
      <c r="AP122" s="382"/>
      <c r="AQ122" s="382"/>
      <c r="AR122" s="382"/>
      <c r="AS122" s="382"/>
      <c r="AT122" s="382"/>
      <c r="AU122" s="382"/>
      <c r="AV122" s="382"/>
      <c r="AW122" s="382"/>
      <c r="AX122" s="382"/>
      <c r="AY122" s="382"/>
      <c r="AZ122" s="382"/>
      <c r="BA122" s="382"/>
      <c r="BB122" s="382"/>
      <c r="BC122" s="382"/>
      <c r="BD122" s="382"/>
      <c r="BE122" s="382"/>
      <c r="BF122" s="382"/>
      <c r="BG122" s="382"/>
      <c r="BH122" s="382"/>
      <c r="BI122" s="382"/>
      <c r="BJ122" s="382"/>
      <c r="BK122" s="382"/>
      <c r="BL122" s="382"/>
      <c r="BM122" s="382"/>
      <c r="BN122" s="382"/>
      <c r="BO122" s="382"/>
    </row>
    <row r="123" spans="1:67" s="88" customFormat="1" ht="10.55" customHeight="1" x14ac:dyDescent="0.2">
      <c r="A123" s="1013" t="s">
        <v>350</v>
      </c>
      <c r="B123" s="2807"/>
      <c r="C123" s="2808"/>
      <c r="D123" s="2809"/>
      <c r="E123" s="2561"/>
      <c r="F123" s="2562"/>
      <c r="G123" s="1785">
        <v>20</v>
      </c>
      <c r="H123" s="524"/>
      <c r="I123" s="1409">
        <f t="shared" si="24"/>
        <v>6.4147128734474465E-2</v>
      </c>
      <c r="J123" s="1421">
        <f t="shared" si="25"/>
        <v>0</v>
      </c>
      <c r="K123" s="678">
        <v>1</v>
      </c>
      <c r="L123" s="1002"/>
      <c r="M123" s="1428">
        <f t="shared" si="26"/>
        <v>0</v>
      </c>
      <c r="N123" s="1111"/>
      <c r="O123" s="674">
        <f t="shared" si="27"/>
        <v>20</v>
      </c>
      <c r="P123" s="682"/>
      <c r="Q123" s="286"/>
      <c r="R123" s="287"/>
      <c r="S123" s="280"/>
      <c r="T123" s="280"/>
      <c r="U123" s="280"/>
      <c r="V123" s="280"/>
      <c r="W123" s="280"/>
      <c r="X123" s="280"/>
      <c r="Y123" s="280"/>
      <c r="Z123" s="284"/>
      <c r="AA123" s="284"/>
      <c r="AB123" s="284"/>
      <c r="AC123" s="284"/>
      <c r="AD123" s="284"/>
      <c r="AE123" s="284"/>
      <c r="AF123" s="447"/>
      <c r="AG123" s="447"/>
      <c r="AH123" s="447"/>
      <c r="AI123" s="382"/>
      <c r="AJ123" s="382"/>
      <c r="AK123" s="382"/>
      <c r="AL123" s="382"/>
      <c r="AM123" s="382"/>
      <c r="AN123" s="382"/>
      <c r="AO123" s="382"/>
      <c r="AP123" s="382"/>
      <c r="AQ123" s="382"/>
      <c r="AR123" s="382"/>
      <c r="AS123" s="382"/>
      <c r="AT123" s="382"/>
      <c r="AU123" s="382"/>
      <c r="AV123" s="382"/>
      <c r="AW123" s="382"/>
      <c r="AX123" s="382"/>
      <c r="AY123" s="382"/>
      <c r="AZ123" s="382"/>
      <c r="BA123" s="382"/>
      <c r="BB123" s="382"/>
      <c r="BC123" s="382"/>
      <c r="BD123" s="382"/>
      <c r="BE123" s="382"/>
      <c r="BF123" s="382"/>
      <c r="BG123" s="382"/>
      <c r="BH123" s="382"/>
      <c r="BI123" s="382"/>
      <c r="BJ123" s="382"/>
      <c r="BK123" s="382"/>
      <c r="BL123" s="382"/>
      <c r="BM123" s="382"/>
      <c r="BN123" s="382"/>
      <c r="BO123" s="382"/>
    </row>
    <row r="124" spans="1:67" s="88" customFormat="1" ht="10.55" customHeight="1" x14ac:dyDescent="0.2">
      <c r="A124" s="1013" t="s">
        <v>351</v>
      </c>
      <c r="B124" s="2807"/>
      <c r="C124" s="2808"/>
      <c r="D124" s="2809"/>
      <c r="E124" s="2561"/>
      <c r="F124" s="2562"/>
      <c r="G124" s="1785">
        <v>30</v>
      </c>
      <c r="H124" s="524"/>
      <c r="I124" s="1409">
        <f t="shared" si="24"/>
        <v>4.7777640736176463E-2</v>
      </c>
      <c r="J124" s="1421">
        <f t="shared" si="25"/>
        <v>0</v>
      </c>
      <c r="K124" s="678">
        <v>1</v>
      </c>
      <c r="L124" s="1002"/>
      <c r="M124" s="1428">
        <f t="shared" si="26"/>
        <v>0</v>
      </c>
      <c r="N124" s="1111"/>
      <c r="O124" s="674">
        <f t="shared" si="27"/>
        <v>30</v>
      </c>
      <c r="P124" s="682"/>
      <c r="Q124" s="286"/>
      <c r="R124" s="287"/>
      <c r="S124" s="280"/>
      <c r="T124" s="280"/>
      <c r="U124" s="280"/>
      <c r="V124" s="280"/>
      <c r="W124" s="280"/>
      <c r="X124" s="280"/>
      <c r="Y124" s="280"/>
      <c r="Z124" s="284"/>
      <c r="AA124" s="284"/>
      <c r="AB124" s="284"/>
      <c r="AC124" s="284"/>
      <c r="AD124" s="284"/>
      <c r="AE124" s="284"/>
      <c r="AF124" s="447"/>
      <c r="AG124" s="447"/>
      <c r="AH124" s="447"/>
      <c r="AI124" s="382"/>
      <c r="AJ124" s="382"/>
      <c r="AK124" s="382"/>
      <c r="AL124" s="382"/>
      <c r="AM124" s="382"/>
      <c r="AN124" s="382"/>
      <c r="AO124" s="382"/>
      <c r="AP124" s="382"/>
      <c r="AQ124" s="382"/>
      <c r="AR124" s="382"/>
      <c r="AS124" s="382"/>
      <c r="AT124" s="382"/>
      <c r="AU124" s="382"/>
      <c r="AV124" s="382"/>
      <c r="AW124" s="382"/>
      <c r="AX124" s="382"/>
      <c r="AY124" s="382"/>
      <c r="AZ124" s="382"/>
      <c r="BA124" s="382"/>
      <c r="BB124" s="382"/>
      <c r="BC124" s="382"/>
      <c r="BD124" s="382"/>
      <c r="BE124" s="382"/>
      <c r="BF124" s="382"/>
      <c r="BG124" s="382"/>
      <c r="BH124" s="382"/>
      <c r="BI124" s="382"/>
      <c r="BJ124" s="382"/>
      <c r="BK124" s="382"/>
      <c r="BL124" s="382"/>
      <c r="BM124" s="382"/>
      <c r="BN124" s="382"/>
      <c r="BO124" s="382"/>
    </row>
    <row r="125" spans="1:67" s="88" customFormat="1" ht="10.55" customHeight="1" x14ac:dyDescent="0.2">
      <c r="A125" s="1013" t="s">
        <v>352</v>
      </c>
      <c r="B125" s="2807"/>
      <c r="C125" s="2808"/>
      <c r="D125" s="2809"/>
      <c r="E125" s="2561"/>
      <c r="F125" s="2562"/>
      <c r="G125" s="1785">
        <v>20</v>
      </c>
      <c r="H125" s="524"/>
      <c r="I125" s="1409">
        <f t="shared" si="24"/>
        <v>6.4147128734474465E-2</v>
      </c>
      <c r="J125" s="1421">
        <f t="shared" si="25"/>
        <v>0</v>
      </c>
      <c r="K125" s="678">
        <v>1.5</v>
      </c>
      <c r="L125" s="1002"/>
      <c r="M125" s="1428">
        <f t="shared" si="26"/>
        <v>0</v>
      </c>
      <c r="N125" s="1111"/>
      <c r="O125" s="674">
        <f t="shared" si="27"/>
        <v>20</v>
      </c>
      <c r="P125" s="682"/>
      <c r="Q125" s="286"/>
      <c r="R125" s="287"/>
      <c r="S125" s="280"/>
      <c r="T125" s="280"/>
      <c r="U125" s="280"/>
      <c r="V125" s="280"/>
      <c r="W125" s="280"/>
      <c r="X125" s="280"/>
      <c r="Y125" s="280"/>
      <c r="Z125" s="284"/>
      <c r="AA125" s="284"/>
      <c r="AB125" s="284"/>
      <c r="AC125" s="284"/>
      <c r="AD125" s="284"/>
      <c r="AE125" s="284"/>
      <c r="AF125" s="447"/>
      <c r="AG125" s="447"/>
      <c r="AH125" s="447"/>
      <c r="AI125" s="382"/>
      <c r="AJ125" s="382"/>
      <c r="AK125" s="382"/>
      <c r="AL125" s="382"/>
      <c r="AM125" s="382"/>
      <c r="AN125" s="382"/>
      <c r="AO125" s="382"/>
      <c r="AP125" s="382"/>
      <c r="AQ125" s="382"/>
      <c r="AR125" s="382"/>
      <c r="AS125" s="382"/>
      <c r="AT125" s="382"/>
      <c r="AU125" s="382"/>
      <c r="AV125" s="382"/>
      <c r="AW125" s="382"/>
      <c r="AX125" s="382"/>
      <c r="AY125" s="382"/>
      <c r="AZ125" s="382"/>
      <c r="BA125" s="382"/>
      <c r="BB125" s="382"/>
      <c r="BC125" s="382"/>
      <c r="BD125" s="382"/>
      <c r="BE125" s="382"/>
      <c r="BF125" s="382"/>
      <c r="BG125" s="382"/>
      <c r="BH125" s="382"/>
      <c r="BI125" s="382"/>
      <c r="BJ125" s="382"/>
      <c r="BK125" s="382"/>
      <c r="BL125" s="382"/>
      <c r="BM125" s="382"/>
      <c r="BN125" s="382"/>
      <c r="BO125" s="382"/>
    </row>
    <row r="126" spans="1:67" s="88" customFormat="1" ht="10.55" customHeight="1" x14ac:dyDescent="0.2">
      <c r="A126" s="1013" t="s">
        <v>353</v>
      </c>
      <c r="B126" s="2807"/>
      <c r="C126" s="2808"/>
      <c r="D126" s="2809"/>
      <c r="E126" s="2561"/>
      <c r="F126" s="2562"/>
      <c r="G126" s="1785">
        <v>30</v>
      </c>
      <c r="H126" s="524"/>
      <c r="I126" s="1409">
        <f t="shared" si="24"/>
        <v>4.7777640736176463E-2</v>
      </c>
      <c r="J126" s="1421">
        <f t="shared" si="25"/>
        <v>0</v>
      </c>
      <c r="K126" s="678">
        <v>1</v>
      </c>
      <c r="L126" s="1002"/>
      <c r="M126" s="1428">
        <f t="shared" si="26"/>
        <v>0</v>
      </c>
      <c r="N126" s="1111"/>
      <c r="O126" s="674">
        <f t="shared" si="27"/>
        <v>30</v>
      </c>
      <c r="P126" s="682"/>
      <c r="Q126" s="286"/>
      <c r="R126" s="287"/>
      <c r="S126" s="280"/>
      <c r="T126" s="280"/>
      <c r="U126" s="280"/>
      <c r="V126" s="280"/>
      <c r="W126" s="280"/>
      <c r="X126" s="280"/>
      <c r="Y126" s="280"/>
      <c r="Z126" s="284"/>
      <c r="AA126" s="284"/>
      <c r="AB126" s="284"/>
      <c r="AC126" s="284"/>
      <c r="AD126" s="284"/>
      <c r="AE126" s="284"/>
      <c r="AF126" s="447"/>
      <c r="AG126" s="447"/>
      <c r="AH126" s="447"/>
      <c r="AI126" s="382"/>
      <c r="AJ126" s="382"/>
      <c r="AK126" s="382"/>
      <c r="AL126" s="382"/>
      <c r="AM126" s="382"/>
      <c r="AN126" s="382"/>
      <c r="AO126" s="382"/>
      <c r="AP126" s="382"/>
      <c r="AQ126" s="382"/>
      <c r="AR126" s="382"/>
      <c r="AS126" s="382"/>
      <c r="AT126" s="382"/>
      <c r="AU126" s="382"/>
      <c r="AV126" s="382"/>
      <c r="AW126" s="382"/>
      <c r="AX126" s="382"/>
      <c r="AY126" s="382"/>
      <c r="AZ126" s="382"/>
      <c r="BA126" s="382"/>
      <c r="BB126" s="382"/>
      <c r="BC126" s="382"/>
      <c r="BD126" s="382"/>
      <c r="BE126" s="382"/>
      <c r="BF126" s="382"/>
      <c r="BG126" s="382"/>
      <c r="BH126" s="382"/>
      <c r="BI126" s="382"/>
      <c r="BJ126" s="382"/>
      <c r="BK126" s="382"/>
      <c r="BL126" s="382"/>
      <c r="BM126" s="382"/>
      <c r="BN126" s="382"/>
      <c r="BO126" s="382"/>
    </row>
    <row r="127" spans="1:67" s="88" customFormat="1" ht="10.55" customHeight="1" x14ac:dyDescent="0.2">
      <c r="A127" s="1013" t="s">
        <v>354</v>
      </c>
      <c r="B127" s="2807"/>
      <c r="C127" s="2808"/>
      <c r="D127" s="2809"/>
      <c r="E127" s="2561"/>
      <c r="F127" s="2562"/>
      <c r="G127" s="1785">
        <v>20</v>
      </c>
      <c r="H127" s="524"/>
      <c r="I127" s="1409">
        <f t="shared" si="24"/>
        <v>6.4147128734474465E-2</v>
      </c>
      <c r="J127" s="1421">
        <f t="shared" si="25"/>
        <v>0</v>
      </c>
      <c r="K127" s="678">
        <v>1</v>
      </c>
      <c r="L127" s="1002"/>
      <c r="M127" s="1428">
        <f t="shared" si="26"/>
        <v>0</v>
      </c>
      <c r="N127" s="1111"/>
      <c r="O127" s="674">
        <f t="shared" si="27"/>
        <v>20</v>
      </c>
      <c r="P127" s="682"/>
      <c r="Q127" s="286"/>
      <c r="R127" s="287"/>
      <c r="S127" s="280"/>
      <c r="T127" s="280"/>
      <c r="U127" s="280"/>
      <c r="V127" s="280"/>
      <c r="W127" s="280"/>
      <c r="X127" s="280"/>
      <c r="Y127" s="280"/>
      <c r="Z127" s="284"/>
      <c r="AA127" s="284"/>
      <c r="AB127" s="284"/>
      <c r="AC127" s="284"/>
      <c r="AD127" s="284"/>
      <c r="AE127" s="284"/>
      <c r="AF127" s="447"/>
      <c r="AG127" s="447"/>
      <c r="AH127" s="447"/>
      <c r="AI127" s="382"/>
      <c r="AJ127" s="382"/>
      <c r="AK127" s="382"/>
      <c r="AL127" s="382"/>
      <c r="AM127" s="382"/>
      <c r="AN127" s="382"/>
      <c r="AO127" s="382"/>
      <c r="AP127" s="382"/>
      <c r="AQ127" s="382"/>
      <c r="AR127" s="382"/>
      <c r="AS127" s="382"/>
      <c r="AT127" s="382"/>
      <c r="AU127" s="382"/>
      <c r="AV127" s="382"/>
      <c r="AW127" s="382"/>
      <c r="AX127" s="382"/>
      <c r="AY127" s="382"/>
      <c r="AZ127" s="382"/>
      <c r="BA127" s="382"/>
      <c r="BB127" s="382"/>
      <c r="BC127" s="382"/>
      <c r="BD127" s="382"/>
      <c r="BE127" s="382"/>
      <c r="BF127" s="382"/>
      <c r="BG127" s="382"/>
      <c r="BH127" s="382"/>
      <c r="BI127" s="382"/>
      <c r="BJ127" s="382"/>
      <c r="BK127" s="382"/>
      <c r="BL127" s="382"/>
      <c r="BM127" s="382"/>
      <c r="BN127" s="382"/>
      <c r="BO127" s="382"/>
    </row>
    <row r="128" spans="1:67" s="88" customFormat="1" ht="10.55" customHeight="1" x14ac:dyDescent="0.2">
      <c r="A128" s="1013" t="s">
        <v>832</v>
      </c>
      <c r="B128" s="2807"/>
      <c r="C128" s="2808"/>
      <c r="D128" s="2809"/>
      <c r="E128" s="2561"/>
      <c r="F128" s="2562"/>
      <c r="G128" s="1785">
        <v>30</v>
      </c>
      <c r="H128" s="524"/>
      <c r="I128" s="1409">
        <f t="shared" si="24"/>
        <v>4.7777640736176463E-2</v>
      </c>
      <c r="J128" s="1421">
        <f t="shared" si="25"/>
        <v>0</v>
      </c>
      <c r="K128" s="678">
        <v>1</v>
      </c>
      <c r="L128" s="1002"/>
      <c r="M128" s="1428">
        <f t="shared" si="26"/>
        <v>0</v>
      </c>
      <c r="N128" s="1111"/>
      <c r="O128" s="674">
        <f t="shared" si="27"/>
        <v>30</v>
      </c>
      <c r="P128" s="682"/>
      <c r="Q128" s="286"/>
      <c r="R128" s="287"/>
      <c r="S128" s="280"/>
      <c r="T128" s="280"/>
      <c r="U128" s="280"/>
      <c r="V128" s="280"/>
      <c r="W128" s="280"/>
      <c r="X128" s="280"/>
      <c r="Y128" s="280"/>
      <c r="Z128" s="284"/>
      <c r="AA128" s="284"/>
      <c r="AB128" s="284"/>
      <c r="AC128" s="284"/>
      <c r="AD128" s="284"/>
      <c r="AE128" s="284"/>
      <c r="AF128" s="447"/>
      <c r="AG128" s="447"/>
      <c r="AH128" s="447"/>
      <c r="AI128" s="382"/>
      <c r="AJ128" s="382"/>
      <c r="AK128" s="382"/>
      <c r="AL128" s="382"/>
      <c r="AM128" s="382"/>
      <c r="AN128" s="382"/>
      <c r="AO128" s="382"/>
      <c r="AP128" s="382"/>
      <c r="AQ128" s="382"/>
      <c r="AR128" s="382"/>
      <c r="AS128" s="382"/>
      <c r="AT128" s="382"/>
      <c r="AU128" s="382"/>
      <c r="AV128" s="382"/>
      <c r="AW128" s="382"/>
      <c r="AX128" s="382"/>
      <c r="AY128" s="382"/>
      <c r="AZ128" s="382"/>
      <c r="BA128" s="382"/>
      <c r="BB128" s="382"/>
      <c r="BC128" s="382"/>
      <c r="BD128" s="382"/>
      <c r="BE128" s="382"/>
      <c r="BF128" s="382"/>
      <c r="BG128" s="382"/>
      <c r="BH128" s="382"/>
      <c r="BI128" s="382"/>
      <c r="BJ128" s="382"/>
      <c r="BK128" s="382"/>
      <c r="BL128" s="382"/>
      <c r="BM128" s="382"/>
      <c r="BN128" s="382"/>
      <c r="BO128" s="382"/>
    </row>
    <row r="129" spans="1:67" s="88" customFormat="1" ht="10.55" customHeight="1" x14ac:dyDescent="0.2">
      <c r="A129" s="1013" t="s">
        <v>355</v>
      </c>
      <c r="B129" s="2807"/>
      <c r="C129" s="2808"/>
      <c r="D129" s="2809"/>
      <c r="E129" s="2561"/>
      <c r="F129" s="2562"/>
      <c r="G129" s="1785">
        <v>20</v>
      </c>
      <c r="H129" s="524"/>
      <c r="I129" s="1409">
        <f t="shared" si="24"/>
        <v>6.4147128734474465E-2</v>
      </c>
      <c r="J129" s="1421">
        <f t="shared" si="25"/>
        <v>0</v>
      </c>
      <c r="K129" s="678">
        <v>1.5</v>
      </c>
      <c r="L129" s="1002"/>
      <c r="M129" s="1428">
        <f t="shared" si="26"/>
        <v>0</v>
      </c>
      <c r="N129" s="1111"/>
      <c r="O129" s="674">
        <f t="shared" si="27"/>
        <v>20</v>
      </c>
      <c r="P129" s="682"/>
      <c r="Q129" s="286"/>
      <c r="R129" s="287"/>
      <c r="S129" s="280"/>
      <c r="T129" s="280"/>
      <c r="U129" s="280"/>
      <c r="V129" s="280"/>
      <c r="W129" s="280"/>
      <c r="X129" s="280"/>
      <c r="Y129" s="280"/>
      <c r="Z129" s="284"/>
      <c r="AA129" s="284"/>
      <c r="AB129" s="284"/>
      <c r="AC129" s="284"/>
      <c r="AD129" s="284"/>
      <c r="AE129" s="284"/>
      <c r="AF129" s="447"/>
      <c r="AG129" s="447"/>
      <c r="AH129" s="447"/>
      <c r="AI129" s="382"/>
      <c r="AJ129" s="382"/>
      <c r="AK129" s="382"/>
      <c r="AL129" s="382"/>
      <c r="AM129" s="382"/>
      <c r="AN129" s="382"/>
      <c r="AO129" s="382"/>
      <c r="AP129" s="382"/>
      <c r="AQ129" s="382"/>
      <c r="AR129" s="382"/>
      <c r="AS129" s="382"/>
      <c r="AT129" s="382"/>
      <c r="AU129" s="382"/>
      <c r="AV129" s="382"/>
      <c r="AW129" s="382"/>
      <c r="AX129" s="382"/>
      <c r="AY129" s="382"/>
      <c r="AZ129" s="382"/>
      <c r="BA129" s="382"/>
      <c r="BB129" s="382"/>
      <c r="BC129" s="382"/>
      <c r="BD129" s="382"/>
      <c r="BE129" s="382"/>
      <c r="BF129" s="382"/>
      <c r="BG129" s="382"/>
      <c r="BH129" s="382"/>
      <c r="BI129" s="382"/>
      <c r="BJ129" s="382"/>
      <c r="BK129" s="382"/>
      <c r="BL129" s="382"/>
      <c r="BM129" s="382"/>
      <c r="BN129" s="382"/>
      <c r="BO129" s="382"/>
    </row>
    <row r="130" spans="1:67" s="88" customFormat="1" ht="10.55" customHeight="1" x14ac:dyDescent="0.2">
      <c r="A130" s="1013" t="s">
        <v>333</v>
      </c>
      <c r="B130" s="2807"/>
      <c r="C130" s="2808"/>
      <c r="D130" s="2809"/>
      <c r="E130" s="2561"/>
      <c r="F130" s="2562"/>
      <c r="G130" s="1785">
        <v>20</v>
      </c>
      <c r="H130" s="524"/>
      <c r="I130" s="1409">
        <f t="shared" si="24"/>
        <v>6.4147128734474465E-2</v>
      </c>
      <c r="J130" s="1421">
        <f t="shared" si="25"/>
        <v>0</v>
      </c>
      <c r="K130" s="678">
        <v>8</v>
      </c>
      <c r="L130" s="1002"/>
      <c r="M130" s="1428">
        <f t="shared" si="26"/>
        <v>0</v>
      </c>
      <c r="N130" s="1111"/>
      <c r="O130" s="674">
        <f t="shared" si="27"/>
        <v>20</v>
      </c>
      <c r="P130" s="682"/>
      <c r="Q130" s="286"/>
      <c r="R130" s="287"/>
      <c r="S130" s="280"/>
      <c r="T130" s="280"/>
      <c r="U130" s="280"/>
      <c r="V130" s="280"/>
      <c r="W130" s="280"/>
      <c r="X130" s="280"/>
      <c r="Y130" s="280"/>
      <c r="Z130" s="284"/>
      <c r="AA130" s="284"/>
      <c r="AB130" s="284"/>
      <c r="AC130" s="284"/>
      <c r="AD130" s="284"/>
      <c r="AE130" s="284"/>
      <c r="AF130" s="447"/>
      <c r="AG130" s="447"/>
      <c r="AH130" s="447"/>
      <c r="AI130" s="382"/>
      <c r="AJ130" s="382"/>
      <c r="AK130" s="382"/>
      <c r="AL130" s="382"/>
      <c r="AM130" s="382"/>
      <c r="AN130" s="382"/>
      <c r="AO130" s="382"/>
      <c r="AP130" s="382"/>
      <c r="AQ130" s="382"/>
      <c r="AR130" s="382"/>
      <c r="AS130" s="382"/>
      <c r="AT130" s="382"/>
      <c r="AU130" s="382"/>
      <c r="AV130" s="382"/>
      <c r="AW130" s="382"/>
      <c r="AX130" s="382"/>
      <c r="AY130" s="382"/>
      <c r="AZ130" s="382"/>
      <c r="BA130" s="382"/>
      <c r="BB130" s="382"/>
      <c r="BC130" s="382"/>
      <c r="BD130" s="382"/>
      <c r="BE130" s="382"/>
      <c r="BF130" s="382"/>
      <c r="BG130" s="382"/>
      <c r="BH130" s="382"/>
      <c r="BI130" s="382"/>
      <c r="BJ130" s="382"/>
      <c r="BK130" s="382"/>
      <c r="BL130" s="382"/>
      <c r="BM130" s="382"/>
      <c r="BN130" s="382"/>
      <c r="BO130" s="382"/>
    </row>
    <row r="131" spans="1:67" s="88" customFormat="1" ht="10.55" customHeight="1" x14ac:dyDescent="0.2">
      <c r="A131" s="1013" t="s">
        <v>334</v>
      </c>
      <c r="B131" s="2807"/>
      <c r="C131" s="2808"/>
      <c r="D131" s="2809"/>
      <c r="E131" s="2561"/>
      <c r="F131" s="2562"/>
      <c r="G131" s="1785">
        <v>30</v>
      </c>
      <c r="H131" s="524"/>
      <c r="I131" s="1409">
        <f t="shared" si="24"/>
        <v>4.7777640736176463E-2</v>
      </c>
      <c r="J131" s="1421">
        <f t="shared" si="25"/>
        <v>0</v>
      </c>
      <c r="K131" s="678"/>
      <c r="L131" s="1002"/>
      <c r="M131" s="1428">
        <f t="shared" si="26"/>
        <v>0</v>
      </c>
      <c r="N131" s="1111"/>
      <c r="O131" s="674">
        <f t="shared" si="27"/>
        <v>30</v>
      </c>
      <c r="P131" s="682"/>
      <c r="Q131" s="286"/>
      <c r="R131" s="287"/>
      <c r="S131" s="280"/>
      <c r="T131" s="280"/>
      <c r="U131" s="280"/>
      <c r="V131" s="280"/>
      <c r="W131" s="280"/>
      <c r="X131" s="280"/>
      <c r="Y131" s="280"/>
      <c r="Z131" s="284"/>
      <c r="AA131" s="284"/>
      <c r="AB131" s="284"/>
      <c r="AC131" s="284"/>
      <c r="AD131" s="284"/>
      <c r="AE131" s="284"/>
      <c r="AF131" s="447"/>
      <c r="AG131" s="447"/>
      <c r="AH131" s="447"/>
      <c r="AI131" s="382"/>
      <c r="AJ131" s="382"/>
      <c r="AK131" s="382"/>
      <c r="AL131" s="382"/>
      <c r="AM131" s="382"/>
      <c r="AN131" s="382"/>
      <c r="AO131" s="382"/>
      <c r="AP131" s="382"/>
      <c r="AQ131" s="382"/>
      <c r="AR131" s="382"/>
      <c r="AS131" s="382"/>
      <c r="AT131" s="382"/>
      <c r="AU131" s="382"/>
      <c r="AV131" s="382"/>
      <c r="AW131" s="382"/>
      <c r="AX131" s="382"/>
      <c r="AY131" s="382"/>
      <c r="AZ131" s="382"/>
      <c r="BA131" s="382"/>
      <c r="BB131" s="382"/>
      <c r="BC131" s="382"/>
      <c r="BD131" s="382"/>
      <c r="BE131" s="382"/>
      <c r="BF131" s="382"/>
      <c r="BG131" s="382"/>
      <c r="BH131" s="382"/>
      <c r="BI131" s="382"/>
      <c r="BJ131" s="382"/>
      <c r="BK131" s="382"/>
      <c r="BL131" s="382"/>
      <c r="BM131" s="382"/>
      <c r="BN131" s="382"/>
      <c r="BO131" s="382"/>
    </row>
    <row r="132" spans="1:67" s="88" customFormat="1" ht="10.55" customHeight="1" x14ac:dyDescent="0.2">
      <c r="A132" s="675"/>
      <c r="B132" s="2807"/>
      <c r="C132" s="2808"/>
      <c r="D132" s="2809"/>
      <c r="E132" s="2561"/>
      <c r="F132" s="2562"/>
      <c r="G132" s="1015"/>
      <c r="H132" s="524"/>
      <c r="I132" s="1409">
        <f t="shared" si="24"/>
        <v>0</v>
      </c>
      <c r="J132" s="1421">
        <f t="shared" si="25"/>
        <v>0</v>
      </c>
      <c r="K132" s="679"/>
      <c r="L132" s="1002"/>
      <c r="M132" s="1428">
        <f t="shared" si="26"/>
        <v>0</v>
      </c>
      <c r="N132" s="1111"/>
      <c r="O132" s="674">
        <f t="shared" si="27"/>
        <v>0</v>
      </c>
      <c r="P132" s="682"/>
      <c r="Q132" s="286"/>
      <c r="R132" s="287"/>
      <c r="S132" s="280"/>
      <c r="T132" s="280"/>
      <c r="U132" s="280"/>
      <c r="V132" s="280"/>
      <c r="W132" s="280"/>
      <c r="X132" s="280"/>
      <c r="Y132" s="280"/>
      <c r="Z132" s="284"/>
      <c r="AA132" s="284"/>
      <c r="AB132" s="284"/>
      <c r="AC132" s="284"/>
      <c r="AD132" s="284"/>
      <c r="AE132" s="284"/>
      <c r="AF132" s="447"/>
      <c r="AG132" s="447"/>
      <c r="AH132" s="447"/>
      <c r="AI132" s="382"/>
      <c r="AJ132" s="382"/>
      <c r="AK132" s="382"/>
      <c r="AL132" s="382"/>
      <c r="AM132" s="382"/>
      <c r="AN132" s="382"/>
      <c r="AO132" s="382"/>
      <c r="AP132" s="382"/>
      <c r="AQ132" s="382"/>
      <c r="AR132" s="382"/>
      <c r="AS132" s="382"/>
      <c r="AT132" s="382"/>
      <c r="AU132" s="382"/>
      <c r="AV132" s="382"/>
      <c r="AW132" s="382"/>
      <c r="AX132" s="382"/>
      <c r="AY132" s="382"/>
      <c r="AZ132" s="382"/>
      <c r="BA132" s="382"/>
      <c r="BB132" s="382"/>
      <c r="BC132" s="382"/>
      <c r="BD132" s="382"/>
      <c r="BE132" s="382"/>
      <c r="BF132" s="382"/>
      <c r="BG132" s="382"/>
      <c r="BH132" s="382"/>
      <c r="BI132" s="382"/>
      <c r="BJ132" s="382"/>
      <c r="BK132" s="382"/>
      <c r="BL132" s="382"/>
      <c r="BM132" s="382"/>
      <c r="BN132" s="382"/>
      <c r="BO132" s="382"/>
    </row>
    <row r="133" spans="1:67" s="88" customFormat="1" ht="10.55" customHeight="1" x14ac:dyDescent="0.2">
      <c r="A133" s="675"/>
      <c r="B133" s="2807"/>
      <c r="C133" s="2808"/>
      <c r="D133" s="2809"/>
      <c r="E133" s="2561"/>
      <c r="F133" s="2562"/>
      <c r="G133" s="1015"/>
      <c r="H133" s="524"/>
      <c r="I133" s="1409">
        <f t="shared" si="24"/>
        <v>0</v>
      </c>
      <c r="J133" s="1421">
        <f t="shared" si="25"/>
        <v>0</v>
      </c>
      <c r="K133" s="679"/>
      <c r="L133" s="1002"/>
      <c r="M133" s="1428">
        <f t="shared" si="26"/>
        <v>0</v>
      </c>
      <c r="N133" s="1111"/>
      <c r="O133" s="674">
        <f t="shared" si="27"/>
        <v>0</v>
      </c>
      <c r="P133" s="682"/>
      <c r="Q133" s="286"/>
      <c r="R133" s="287"/>
      <c r="S133" s="280"/>
      <c r="T133" s="280"/>
      <c r="U133" s="280"/>
      <c r="V133" s="280"/>
      <c r="W133" s="280"/>
      <c r="X133" s="280"/>
      <c r="Y133" s="280"/>
      <c r="Z133" s="284"/>
      <c r="AA133" s="284"/>
      <c r="AB133" s="284"/>
      <c r="AC133" s="284"/>
      <c r="AD133" s="284"/>
      <c r="AE133" s="284"/>
      <c r="AF133" s="447"/>
      <c r="AG133" s="447"/>
      <c r="AH133" s="447"/>
      <c r="AI133" s="382"/>
      <c r="AJ133" s="382"/>
      <c r="AK133" s="382"/>
      <c r="AL133" s="382"/>
      <c r="AM133" s="382"/>
      <c r="AN133" s="382"/>
      <c r="AO133" s="382"/>
      <c r="AP133" s="382"/>
      <c r="AQ133" s="382"/>
      <c r="AR133" s="382"/>
      <c r="AS133" s="382"/>
      <c r="AT133" s="382"/>
      <c r="AU133" s="382"/>
      <c r="AV133" s="382"/>
      <c r="AW133" s="382"/>
      <c r="AX133" s="382"/>
      <c r="AY133" s="382"/>
      <c r="AZ133" s="382"/>
      <c r="BA133" s="382"/>
      <c r="BB133" s="382"/>
      <c r="BC133" s="382"/>
      <c r="BD133" s="382"/>
      <c r="BE133" s="382"/>
      <c r="BF133" s="382"/>
      <c r="BG133" s="382"/>
      <c r="BH133" s="382"/>
      <c r="BI133" s="382"/>
      <c r="BJ133" s="382"/>
      <c r="BK133" s="382"/>
      <c r="BL133" s="382"/>
      <c r="BM133" s="382"/>
      <c r="BN133" s="382"/>
      <c r="BO133" s="382"/>
    </row>
    <row r="134" spans="1:67" s="88" customFormat="1" ht="10.55" customHeight="1" x14ac:dyDescent="0.2">
      <c r="A134" s="675"/>
      <c r="B134" s="2807"/>
      <c r="C134" s="2808"/>
      <c r="D134" s="2809"/>
      <c r="E134" s="2561"/>
      <c r="F134" s="2562"/>
      <c r="G134" s="1015"/>
      <c r="H134" s="524"/>
      <c r="I134" s="1409">
        <f t="shared" si="24"/>
        <v>0</v>
      </c>
      <c r="J134" s="1421">
        <f t="shared" si="25"/>
        <v>0</v>
      </c>
      <c r="K134" s="679"/>
      <c r="L134" s="1002"/>
      <c r="M134" s="1428">
        <f t="shared" si="26"/>
        <v>0</v>
      </c>
      <c r="N134" s="1111"/>
      <c r="O134" s="674">
        <f t="shared" si="27"/>
        <v>0</v>
      </c>
      <c r="P134" s="682"/>
      <c r="Q134" s="286"/>
      <c r="R134" s="287"/>
      <c r="S134" s="280"/>
      <c r="T134" s="280"/>
      <c r="U134" s="280"/>
      <c r="V134" s="280"/>
      <c r="W134" s="280"/>
      <c r="X134" s="280"/>
      <c r="Y134" s="280"/>
      <c r="Z134" s="284"/>
      <c r="AA134" s="284"/>
      <c r="AB134" s="284"/>
      <c r="AC134" s="284"/>
      <c r="AD134" s="284"/>
      <c r="AE134" s="284"/>
      <c r="AF134" s="447"/>
      <c r="AG134" s="447"/>
      <c r="AH134" s="447"/>
      <c r="AI134" s="382"/>
      <c r="AJ134" s="382"/>
      <c r="AK134" s="382"/>
      <c r="AL134" s="382"/>
      <c r="AM134" s="382"/>
      <c r="AN134" s="382"/>
      <c r="AO134" s="382"/>
      <c r="AP134" s="382"/>
      <c r="AQ134" s="382"/>
      <c r="AR134" s="382"/>
      <c r="AS134" s="382"/>
      <c r="AT134" s="382"/>
      <c r="AU134" s="382"/>
      <c r="AV134" s="382"/>
      <c r="AW134" s="382"/>
      <c r="AX134" s="382"/>
      <c r="AY134" s="382"/>
      <c r="AZ134" s="382"/>
      <c r="BA134" s="382"/>
      <c r="BB134" s="382"/>
      <c r="BC134" s="382"/>
      <c r="BD134" s="382"/>
      <c r="BE134" s="382"/>
      <c r="BF134" s="382"/>
      <c r="BG134" s="382"/>
      <c r="BH134" s="382"/>
      <c r="BI134" s="382"/>
      <c r="BJ134" s="382"/>
      <c r="BK134" s="382"/>
      <c r="BL134" s="382"/>
      <c r="BM134" s="382"/>
      <c r="BN134" s="382"/>
      <c r="BO134" s="382"/>
    </row>
    <row r="135" spans="1:67" s="88" customFormat="1" ht="10.55" customHeight="1" x14ac:dyDescent="0.2">
      <c r="A135" s="1017"/>
      <c r="B135" s="2804"/>
      <c r="C135" s="2805"/>
      <c r="D135" s="2806"/>
      <c r="E135" s="2793"/>
      <c r="F135" s="2794"/>
      <c r="G135" s="1018"/>
      <c r="H135" s="1019"/>
      <c r="I135" s="1436">
        <f t="shared" si="24"/>
        <v>0</v>
      </c>
      <c r="J135" s="1422"/>
      <c r="K135" s="680"/>
      <c r="L135" s="1020"/>
      <c r="M135" s="1429">
        <f t="shared" si="26"/>
        <v>0</v>
      </c>
      <c r="N135" s="1111"/>
      <c r="O135" s="674">
        <f t="shared" si="27"/>
        <v>0</v>
      </c>
      <c r="P135" s="682"/>
      <c r="Q135" s="286"/>
      <c r="R135" s="287"/>
      <c r="S135" s="280"/>
      <c r="T135" s="280"/>
      <c r="U135" s="280"/>
      <c r="V135" s="280"/>
      <c r="W135" s="280"/>
      <c r="X135" s="280"/>
      <c r="Y135" s="280"/>
      <c r="Z135" s="284"/>
      <c r="AA135" s="284"/>
      <c r="AB135" s="284"/>
      <c r="AC135" s="284"/>
      <c r="AD135" s="284"/>
      <c r="AE135" s="284"/>
      <c r="AF135" s="447"/>
      <c r="AG135" s="447"/>
      <c r="AH135" s="447"/>
      <c r="AI135" s="382"/>
      <c r="AJ135" s="382"/>
      <c r="AK135" s="382"/>
      <c r="AL135" s="382"/>
      <c r="AM135" s="382"/>
      <c r="AN135" s="382"/>
      <c r="AO135" s="382"/>
      <c r="AP135" s="382"/>
      <c r="AQ135" s="382"/>
      <c r="AR135" s="382"/>
      <c r="AS135" s="382"/>
      <c r="AT135" s="382"/>
      <c r="AU135" s="382"/>
      <c r="AV135" s="382"/>
      <c r="AW135" s="382"/>
      <c r="AX135" s="382"/>
      <c r="AY135" s="382"/>
      <c r="AZ135" s="382"/>
      <c r="BA135" s="382"/>
      <c r="BB135" s="382"/>
      <c r="BC135" s="382"/>
      <c r="BD135" s="382"/>
      <c r="BE135" s="382"/>
      <c r="BF135" s="382"/>
      <c r="BG135" s="382"/>
      <c r="BH135" s="382"/>
      <c r="BI135" s="382"/>
      <c r="BJ135" s="382"/>
      <c r="BK135" s="382"/>
      <c r="BL135" s="382"/>
      <c r="BM135" s="382"/>
      <c r="BN135" s="382"/>
      <c r="BO135" s="382"/>
    </row>
    <row r="136" spans="1:67" s="88" customFormat="1" ht="10.55" customHeight="1" x14ac:dyDescent="0.2">
      <c r="A136" s="1122" t="s">
        <v>356</v>
      </c>
      <c r="B136" s="2783"/>
      <c r="C136" s="2784"/>
      <c r="D136" s="2785"/>
      <c r="E136" s="2810">
        <f>SUM(E137:E149)</f>
        <v>0</v>
      </c>
      <c r="F136" s="2811"/>
      <c r="G136" s="2747"/>
      <c r="H136" s="2748"/>
      <c r="I136" s="1435">
        <f>IF(E136=0,0,J136/E136)</f>
        <v>0</v>
      </c>
      <c r="J136" s="1423">
        <f>SUM(J137:J149)</f>
        <v>0</v>
      </c>
      <c r="K136" s="2749">
        <f>IF(E136=0,0,M136/E136*100)</f>
        <v>0</v>
      </c>
      <c r="L136" s="2750"/>
      <c r="M136" s="1430">
        <f>SUM(M137:M149)</f>
        <v>0</v>
      </c>
      <c r="N136" s="1111"/>
      <c r="O136" s="387">
        <f>IF(H136="",G136,H136)</f>
        <v>0</v>
      </c>
      <c r="P136" s="682"/>
      <c r="Q136" s="286"/>
      <c r="R136" s="287"/>
      <c r="S136" s="280"/>
      <c r="T136" s="280"/>
      <c r="U136" s="280"/>
      <c r="V136" s="280"/>
      <c r="W136" s="280"/>
      <c r="X136" s="280"/>
      <c r="Y136" s="280"/>
      <c r="Z136" s="284"/>
      <c r="AA136" s="284"/>
      <c r="AB136" s="284"/>
      <c r="AC136" s="284"/>
      <c r="AD136" s="284"/>
      <c r="AE136" s="284"/>
      <c r="AF136" s="447"/>
      <c r="AG136" s="447"/>
      <c r="AH136" s="447"/>
      <c r="AI136" s="382"/>
      <c r="AJ136" s="382"/>
      <c r="AK136" s="382"/>
      <c r="AL136" s="382"/>
      <c r="AM136" s="382"/>
      <c r="AN136" s="382"/>
      <c r="AO136" s="382"/>
      <c r="AP136" s="382"/>
      <c r="AQ136" s="382"/>
      <c r="AR136" s="382"/>
      <c r="AS136" s="382"/>
      <c r="AT136" s="382"/>
      <c r="AU136" s="382"/>
      <c r="AV136" s="382"/>
      <c r="AW136" s="382"/>
      <c r="AX136" s="382"/>
      <c r="AY136" s="382"/>
      <c r="AZ136" s="382"/>
      <c r="BA136" s="382"/>
      <c r="BB136" s="382"/>
      <c r="BC136" s="382"/>
      <c r="BD136" s="382"/>
      <c r="BE136" s="382"/>
      <c r="BF136" s="382"/>
      <c r="BG136" s="382"/>
      <c r="BH136" s="382"/>
      <c r="BI136" s="382"/>
      <c r="BJ136" s="382"/>
      <c r="BK136" s="382"/>
      <c r="BL136" s="382"/>
      <c r="BM136" s="382"/>
      <c r="BN136" s="382"/>
      <c r="BO136" s="382"/>
    </row>
    <row r="137" spans="1:67" s="88" customFormat="1" ht="10.55" customHeight="1" x14ac:dyDescent="0.2">
      <c r="A137" s="1013" t="s">
        <v>357</v>
      </c>
      <c r="B137" s="2790"/>
      <c r="C137" s="2791"/>
      <c r="D137" s="2792"/>
      <c r="E137" s="2734"/>
      <c r="F137" s="2735"/>
      <c r="G137" s="1785">
        <v>40</v>
      </c>
      <c r="H137" s="524"/>
      <c r="I137" s="1409">
        <f t="shared" ref="I137:I150" si="28">IF($O137&gt;0,-PMT(($I$9),$O137,1),0)</f>
        <v>3.9836233162469814E-2</v>
      </c>
      <c r="J137" s="1421">
        <f t="shared" ref="J137:J149" si="29">ROUND(E137*I137,0)</f>
        <v>0</v>
      </c>
      <c r="K137" s="678">
        <v>1</v>
      </c>
      <c r="L137" s="1002"/>
      <c r="M137" s="1428">
        <f t="shared" ref="M137:M150" si="30">ROUND(E137/100*IF(ISBLANK(L137),K137,L137),0)</f>
        <v>0</v>
      </c>
      <c r="N137" s="1111"/>
      <c r="O137" s="674">
        <f t="shared" ref="O137:O150" si="31">IF(ISBLANK(H137),G137,H137)</f>
        <v>40</v>
      </c>
      <c r="P137" s="682"/>
      <c r="Q137" s="286"/>
      <c r="R137" s="287"/>
      <c r="S137" s="280"/>
      <c r="T137" s="280"/>
      <c r="U137" s="280"/>
      <c r="V137" s="280"/>
      <c r="W137" s="280"/>
      <c r="X137" s="280"/>
      <c r="Y137" s="280"/>
      <c r="Z137" s="284"/>
      <c r="AA137" s="284"/>
      <c r="AB137" s="284"/>
      <c r="AC137" s="284"/>
      <c r="AD137" s="284"/>
      <c r="AE137" s="284"/>
      <c r="AF137" s="447"/>
      <c r="AG137" s="447"/>
      <c r="AH137" s="447"/>
      <c r="AI137" s="382"/>
      <c r="AJ137" s="382"/>
      <c r="AK137" s="382"/>
      <c r="AL137" s="382"/>
      <c r="AM137" s="382"/>
      <c r="AN137" s="382"/>
      <c r="AO137" s="382"/>
      <c r="AP137" s="382"/>
      <c r="AQ137" s="382"/>
      <c r="AR137" s="382"/>
      <c r="AS137" s="382"/>
      <c r="AT137" s="382"/>
      <c r="AU137" s="382"/>
      <c r="AV137" s="382"/>
      <c r="AW137" s="382"/>
      <c r="AX137" s="382"/>
      <c r="AY137" s="382"/>
      <c r="AZ137" s="382"/>
      <c r="BA137" s="382"/>
      <c r="BB137" s="382"/>
      <c r="BC137" s="382"/>
      <c r="BD137" s="382"/>
      <c r="BE137" s="382"/>
      <c r="BF137" s="382"/>
      <c r="BG137" s="382"/>
      <c r="BH137" s="382"/>
      <c r="BI137" s="382"/>
      <c r="BJ137" s="382"/>
      <c r="BK137" s="382"/>
      <c r="BL137" s="382"/>
      <c r="BM137" s="382"/>
      <c r="BN137" s="382"/>
      <c r="BO137" s="382"/>
    </row>
    <row r="138" spans="1:67" s="88" customFormat="1" ht="10.55" customHeight="1" x14ac:dyDescent="0.2">
      <c r="A138" s="1013" t="s">
        <v>358</v>
      </c>
      <c r="B138" s="2807"/>
      <c r="C138" s="2808"/>
      <c r="D138" s="2809"/>
      <c r="E138" s="2561"/>
      <c r="F138" s="2562"/>
      <c r="G138" s="1785">
        <v>30</v>
      </c>
      <c r="H138" s="524"/>
      <c r="I138" s="1409">
        <f t="shared" si="28"/>
        <v>4.7777640736176463E-2</v>
      </c>
      <c r="J138" s="1421">
        <f t="shared" si="29"/>
        <v>0</v>
      </c>
      <c r="K138" s="678">
        <v>1</v>
      </c>
      <c r="L138" s="1002"/>
      <c r="M138" s="1428">
        <f t="shared" si="30"/>
        <v>0</v>
      </c>
      <c r="N138" s="1111"/>
      <c r="O138" s="674">
        <f t="shared" si="31"/>
        <v>30</v>
      </c>
      <c r="P138" s="682"/>
      <c r="Q138" s="286"/>
      <c r="R138" s="287"/>
      <c r="S138" s="280"/>
      <c r="T138" s="280"/>
      <c r="U138" s="280"/>
      <c r="V138" s="280"/>
      <c r="W138" s="280"/>
      <c r="X138" s="280"/>
      <c r="Y138" s="280"/>
      <c r="Z138" s="284"/>
      <c r="AA138" s="284"/>
      <c r="AB138" s="284"/>
      <c r="AC138" s="284"/>
      <c r="AD138" s="284"/>
      <c r="AE138" s="284"/>
      <c r="AF138" s="447"/>
      <c r="AG138" s="447"/>
      <c r="AH138" s="447"/>
      <c r="AI138" s="382"/>
      <c r="AJ138" s="382"/>
      <c r="AK138" s="382"/>
      <c r="AL138" s="382"/>
      <c r="AM138" s="382"/>
      <c r="AN138" s="382"/>
      <c r="AO138" s="382"/>
      <c r="AP138" s="382"/>
      <c r="AQ138" s="382"/>
      <c r="AR138" s="382"/>
      <c r="AS138" s="382"/>
      <c r="AT138" s="382"/>
      <c r="AU138" s="382"/>
      <c r="AV138" s="382"/>
      <c r="AW138" s="382"/>
      <c r="AX138" s="382"/>
      <c r="AY138" s="382"/>
      <c r="AZ138" s="382"/>
      <c r="BA138" s="382"/>
      <c r="BB138" s="382"/>
      <c r="BC138" s="382"/>
      <c r="BD138" s="382"/>
      <c r="BE138" s="382"/>
      <c r="BF138" s="382"/>
      <c r="BG138" s="382"/>
      <c r="BH138" s="382"/>
      <c r="BI138" s="382"/>
      <c r="BJ138" s="382"/>
      <c r="BK138" s="382"/>
      <c r="BL138" s="382"/>
      <c r="BM138" s="382"/>
      <c r="BN138" s="382"/>
      <c r="BO138" s="382"/>
    </row>
    <row r="139" spans="1:67" s="88" customFormat="1" ht="10.55" customHeight="1" x14ac:dyDescent="0.2">
      <c r="A139" s="1013" t="s">
        <v>359</v>
      </c>
      <c r="B139" s="2807"/>
      <c r="C139" s="2808"/>
      <c r="D139" s="2809"/>
      <c r="E139" s="2561"/>
      <c r="F139" s="2562"/>
      <c r="G139" s="1785">
        <v>40</v>
      </c>
      <c r="H139" s="524"/>
      <c r="I139" s="1409">
        <f t="shared" si="28"/>
        <v>3.9836233162469814E-2</v>
      </c>
      <c r="J139" s="1421">
        <f t="shared" si="29"/>
        <v>0</v>
      </c>
      <c r="K139" s="678">
        <v>1</v>
      </c>
      <c r="L139" s="1002"/>
      <c r="M139" s="1428">
        <f t="shared" si="30"/>
        <v>0</v>
      </c>
      <c r="N139" s="1111"/>
      <c r="O139" s="674">
        <f t="shared" si="31"/>
        <v>40</v>
      </c>
      <c r="P139" s="682"/>
      <c r="Q139" s="286"/>
      <c r="R139" s="287"/>
      <c r="S139" s="280"/>
      <c r="T139" s="280"/>
      <c r="U139" s="280"/>
      <c r="V139" s="280"/>
      <c r="W139" s="280"/>
      <c r="X139" s="280"/>
      <c r="Y139" s="280"/>
      <c r="Z139" s="284"/>
      <c r="AA139" s="284"/>
      <c r="AB139" s="284"/>
      <c r="AC139" s="284"/>
      <c r="AD139" s="284"/>
      <c r="AE139" s="284"/>
      <c r="AF139" s="447"/>
      <c r="AG139" s="447"/>
      <c r="AH139" s="447"/>
      <c r="AI139" s="382"/>
      <c r="AJ139" s="382"/>
      <c r="AK139" s="382"/>
      <c r="AL139" s="382"/>
      <c r="AM139" s="382"/>
      <c r="AN139" s="382"/>
      <c r="AO139" s="382"/>
      <c r="AP139" s="382"/>
      <c r="AQ139" s="382"/>
      <c r="AR139" s="382"/>
      <c r="AS139" s="382"/>
      <c r="AT139" s="382"/>
      <c r="AU139" s="382"/>
      <c r="AV139" s="382"/>
      <c r="AW139" s="382"/>
      <c r="AX139" s="382"/>
      <c r="AY139" s="382"/>
      <c r="AZ139" s="382"/>
      <c r="BA139" s="382"/>
      <c r="BB139" s="382"/>
      <c r="BC139" s="382"/>
      <c r="BD139" s="382"/>
      <c r="BE139" s="382"/>
      <c r="BF139" s="382"/>
      <c r="BG139" s="382"/>
      <c r="BH139" s="382"/>
      <c r="BI139" s="382"/>
      <c r="BJ139" s="382"/>
      <c r="BK139" s="382"/>
      <c r="BL139" s="382"/>
      <c r="BM139" s="382"/>
      <c r="BN139" s="382"/>
      <c r="BO139" s="382"/>
    </row>
    <row r="140" spans="1:67" s="88" customFormat="1" ht="10.55" customHeight="1" x14ac:dyDescent="0.2">
      <c r="A140" s="1013" t="s">
        <v>360</v>
      </c>
      <c r="B140" s="2807"/>
      <c r="C140" s="2808"/>
      <c r="D140" s="2809"/>
      <c r="E140" s="2561"/>
      <c r="F140" s="2562"/>
      <c r="G140" s="1785">
        <v>20</v>
      </c>
      <c r="H140" s="524"/>
      <c r="I140" s="1409">
        <f t="shared" si="28"/>
        <v>6.4147128734474465E-2</v>
      </c>
      <c r="J140" s="1421">
        <f t="shared" si="29"/>
        <v>0</v>
      </c>
      <c r="K140" s="678">
        <v>2</v>
      </c>
      <c r="L140" s="1002"/>
      <c r="M140" s="1428">
        <f t="shared" si="30"/>
        <v>0</v>
      </c>
      <c r="N140" s="1111"/>
      <c r="O140" s="674">
        <f t="shared" si="31"/>
        <v>20</v>
      </c>
      <c r="P140" s="682"/>
      <c r="Q140" s="286"/>
      <c r="R140" s="287"/>
      <c r="S140" s="280"/>
      <c r="T140" s="280"/>
      <c r="U140" s="280"/>
      <c r="V140" s="280"/>
      <c r="W140" s="280"/>
      <c r="X140" s="280"/>
      <c r="Y140" s="280"/>
      <c r="Z140" s="284"/>
      <c r="AA140" s="284"/>
      <c r="AB140" s="284"/>
      <c r="AC140" s="284"/>
      <c r="AD140" s="284"/>
      <c r="AE140" s="284"/>
      <c r="AF140" s="447"/>
      <c r="AG140" s="447"/>
      <c r="AH140" s="447"/>
      <c r="AI140" s="382"/>
      <c r="AJ140" s="382"/>
      <c r="AK140" s="382"/>
      <c r="AL140" s="382"/>
      <c r="AM140" s="382"/>
      <c r="AN140" s="382"/>
      <c r="AO140" s="382"/>
      <c r="AP140" s="382"/>
      <c r="AQ140" s="382"/>
      <c r="AR140" s="382"/>
      <c r="AS140" s="382"/>
      <c r="AT140" s="382"/>
      <c r="AU140" s="382"/>
      <c r="AV140" s="382"/>
      <c r="AW140" s="382"/>
      <c r="AX140" s="382"/>
      <c r="AY140" s="382"/>
      <c r="AZ140" s="382"/>
      <c r="BA140" s="382"/>
      <c r="BB140" s="382"/>
      <c r="BC140" s="382"/>
      <c r="BD140" s="382"/>
      <c r="BE140" s="382"/>
      <c r="BF140" s="382"/>
      <c r="BG140" s="382"/>
      <c r="BH140" s="382"/>
      <c r="BI140" s="382"/>
      <c r="BJ140" s="382"/>
      <c r="BK140" s="382"/>
      <c r="BL140" s="382"/>
      <c r="BM140" s="382"/>
      <c r="BN140" s="382"/>
      <c r="BO140" s="382"/>
    </row>
    <row r="141" spans="1:67" s="88" customFormat="1" ht="10.55" customHeight="1" x14ac:dyDescent="0.2">
      <c r="A141" s="1013" t="s">
        <v>361</v>
      </c>
      <c r="B141" s="2807"/>
      <c r="C141" s="2808"/>
      <c r="D141" s="2809"/>
      <c r="E141" s="2561"/>
      <c r="F141" s="2562"/>
      <c r="G141" s="1785">
        <v>20</v>
      </c>
      <c r="H141" s="524"/>
      <c r="I141" s="1409">
        <f t="shared" si="28"/>
        <v>6.4147128734474465E-2</v>
      </c>
      <c r="J141" s="1421">
        <f t="shared" si="29"/>
        <v>0</v>
      </c>
      <c r="K141" s="678">
        <v>1.5</v>
      </c>
      <c r="L141" s="1002"/>
      <c r="M141" s="1428">
        <f t="shared" si="30"/>
        <v>0</v>
      </c>
      <c r="N141" s="1111"/>
      <c r="O141" s="674">
        <f t="shared" si="31"/>
        <v>20</v>
      </c>
      <c r="P141" s="682"/>
      <c r="Q141" s="286"/>
      <c r="R141" s="287"/>
      <c r="S141" s="280"/>
      <c r="T141" s="280"/>
      <c r="U141" s="280"/>
      <c r="V141" s="280"/>
      <c r="W141" s="280"/>
      <c r="X141" s="280"/>
      <c r="Y141" s="280"/>
      <c r="Z141" s="284"/>
      <c r="AA141" s="284"/>
      <c r="AB141" s="284"/>
      <c r="AC141" s="284"/>
      <c r="AD141" s="284"/>
      <c r="AE141" s="284"/>
      <c r="AF141" s="447"/>
      <c r="AG141" s="447"/>
      <c r="AH141" s="447"/>
      <c r="AI141" s="382"/>
      <c r="AJ141" s="382"/>
      <c r="AK141" s="382"/>
      <c r="AL141" s="382"/>
      <c r="AM141" s="382"/>
      <c r="AN141" s="382"/>
      <c r="AO141" s="382"/>
      <c r="AP141" s="382"/>
      <c r="AQ141" s="382"/>
      <c r="AR141" s="382"/>
      <c r="AS141" s="382"/>
      <c r="AT141" s="382"/>
      <c r="AU141" s="382"/>
      <c r="AV141" s="382"/>
      <c r="AW141" s="382"/>
      <c r="AX141" s="382"/>
      <c r="AY141" s="382"/>
      <c r="AZ141" s="382"/>
      <c r="BA141" s="382"/>
      <c r="BB141" s="382"/>
      <c r="BC141" s="382"/>
      <c r="BD141" s="382"/>
      <c r="BE141" s="382"/>
      <c r="BF141" s="382"/>
      <c r="BG141" s="382"/>
      <c r="BH141" s="382"/>
      <c r="BI141" s="382"/>
      <c r="BJ141" s="382"/>
      <c r="BK141" s="382"/>
      <c r="BL141" s="382"/>
      <c r="BM141" s="382"/>
      <c r="BN141" s="382"/>
      <c r="BO141" s="382"/>
    </row>
    <row r="142" spans="1:67" s="88" customFormat="1" ht="10.55" customHeight="1" x14ac:dyDescent="0.2">
      <c r="A142" s="1013" t="s">
        <v>362</v>
      </c>
      <c r="B142" s="2807"/>
      <c r="C142" s="2808"/>
      <c r="D142" s="2809"/>
      <c r="E142" s="2561"/>
      <c r="F142" s="2562"/>
      <c r="G142" s="1785">
        <v>20</v>
      </c>
      <c r="H142" s="524"/>
      <c r="I142" s="1409">
        <f t="shared" si="28"/>
        <v>6.4147128734474465E-2</v>
      </c>
      <c r="J142" s="1421">
        <f t="shared" si="29"/>
        <v>0</v>
      </c>
      <c r="K142" s="678">
        <v>1.5</v>
      </c>
      <c r="L142" s="1002"/>
      <c r="M142" s="1428">
        <f t="shared" si="30"/>
        <v>0</v>
      </c>
      <c r="N142" s="1111"/>
      <c r="O142" s="674">
        <f t="shared" si="31"/>
        <v>20</v>
      </c>
      <c r="P142" s="682"/>
      <c r="Q142" s="286"/>
      <c r="R142" s="287"/>
      <c r="S142" s="280"/>
      <c r="T142" s="280"/>
      <c r="U142" s="280"/>
      <c r="V142" s="280"/>
      <c r="W142" s="280"/>
      <c r="X142" s="280"/>
      <c r="Y142" s="280"/>
      <c r="Z142" s="284"/>
      <c r="AA142" s="284"/>
      <c r="AB142" s="284"/>
      <c r="AC142" s="284"/>
      <c r="AD142" s="284"/>
      <c r="AE142" s="284"/>
      <c r="AF142" s="447"/>
      <c r="AG142" s="447"/>
      <c r="AH142" s="447"/>
      <c r="AI142" s="382"/>
      <c r="AJ142" s="382"/>
      <c r="AK142" s="382"/>
      <c r="AL142" s="382"/>
      <c r="AM142" s="382"/>
      <c r="AN142" s="382"/>
      <c r="AO142" s="382"/>
      <c r="AP142" s="382"/>
      <c r="AQ142" s="382"/>
      <c r="AR142" s="382"/>
      <c r="AS142" s="382"/>
      <c r="AT142" s="382"/>
      <c r="AU142" s="382"/>
      <c r="AV142" s="382"/>
      <c r="AW142" s="382"/>
      <c r="AX142" s="382"/>
      <c r="AY142" s="382"/>
      <c r="AZ142" s="382"/>
      <c r="BA142" s="382"/>
      <c r="BB142" s="382"/>
      <c r="BC142" s="382"/>
      <c r="BD142" s="382"/>
      <c r="BE142" s="382"/>
      <c r="BF142" s="382"/>
      <c r="BG142" s="382"/>
      <c r="BH142" s="382"/>
      <c r="BI142" s="382"/>
      <c r="BJ142" s="382"/>
      <c r="BK142" s="382"/>
      <c r="BL142" s="382"/>
      <c r="BM142" s="382"/>
      <c r="BN142" s="382"/>
      <c r="BO142" s="382"/>
    </row>
    <row r="143" spans="1:67" s="88" customFormat="1" ht="10.55" customHeight="1" x14ac:dyDescent="0.2">
      <c r="A143" s="1013" t="s">
        <v>833</v>
      </c>
      <c r="B143" s="2807"/>
      <c r="C143" s="2808"/>
      <c r="D143" s="2809"/>
      <c r="E143" s="2561"/>
      <c r="F143" s="2562"/>
      <c r="G143" s="1785">
        <v>20</v>
      </c>
      <c r="H143" s="524"/>
      <c r="I143" s="1409">
        <f t="shared" si="28"/>
        <v>6.4147128734474465E-2</v>
      </c>
      <c r="J143" s="1421">
        <f t="shared" si="29"/>
        <v>0</v>
      </c>
      <c r="K143" s="678">
        <v>2.5</v>
      </c>
      <c r="L143" s="1002"/>
      <c r="M143" s="1428">
        <f t="shared" si="30"/>
        <v>0</v>
      </c>
      <c r="N143" s="1111"/>
      <c r="O143" s="674">
        <f t="shared" si="31"/>
        <v>20</v>
      </c>
      <c r="P143" s="682"/>
      <c r="Q143" s="286"/>
      <c r="R143" s="287"/>
      <c r="S143" s="280"/>
      <c r="T143" s="280"/>
      <c r="U143" s="280"/>
      <c r="V143" s="280"/>
      <c r="W143" s="280"/>
      <c r="X143" s="280"/>
      <c r="Y143" s="280"/>
      <c r="Z143" s="284"/>
      <c r="AA143" s="284"/>
      <c r="AB143" s="284"/>
      <c r="AC143" s="284"/>
      <c r="AD143" s="284"/>
      <c r="AE143" s="284"/>
      <c r="AF143" s="447"/>
      <c r="AG143" s="447"/>
      <c r="AH143" s="447"/>
      <c r="AI143" s="382"/>
      <c r="AJ143" s="382"/>
      <c r="AK143" s="382"/>
      <c r="AL143" s="382"/>
      <c r="AM143" s="382"/>
      <c r="AN143" s="382"/>
      <c r="AO143" s="382"/>
      <c r="AP143" s="382"/>
      <c r="AQ143" s="382"/>
      <c r="AR143" s="382"/>
      <c r="AS143" s="382"/>
      <c r="AT143" s="382"/>
      <c r="AU143" s="382"/>
      <c r="AV143" s="382"/>
      <c r="AW143" s="382"/>
      <c r="AX143" s="382"/>
      <c r="AY143" s="382"/>
      <c r="AZ143" s="382"/>
      <c r="BA143" s="382"/>
      <c r="BB143" s="382"/>
      <c r="BC143" s="382"/>
      <c r="BD143" s="382"/>
      <c r="BE143" s="382"/>
      <c r="BF143" s="382"/>
      <c r="BG143" s="382"/>
      <c r="BH143" s="382"/>
      <c r="BI143" s="382"/>
      <c r="BJ143" s="382"/>
      <c r="BK143" s="382"/>
      <c r="BL143" s="382"/>
      <c r="BM143" s="382"/>
      <c r="BN143" s="382"/>
      <c r="BO143" s="382"/>
    </row>
    <row r="144" spans="1:67" s="88" customFormat="1" ht="10.55" customHeight="1" x14ac:dyDescent="0.2">
      <c r="A144" s="1013" t="s">
        <v>333</v>
      </c>
      <c r="B144" s="2807"/>
      <c r="C144" s="2808"/>
      <c r="D144" s="2809"/>
      <c r="E144" s="2561"/>
      <c r="F144" s="2562"/>
      <c r="G144" s="1785">
        <v>20</v>
      </c>
      <c r="H144" s="524"/>
      <c r="I144" s="1409">
        <f t="shared" si="28"/>
        <v>6.4147128734474465E-2</v>
      </c>
      <c r="J144" s="1421">
        <f t="shared" si="29"/>
        <v>0</v>
      </c>
      <c r="K144" s="678">
        <v>8</v>
      </c>
      <c r="L144" s="1002"/>
      <c r="M144" s="1428">
        <f t="shared" si="30"/>
        <v>0</v>
      </c>
      <c r="N144" s="1111"/>
      <c r="O144" s="674">
        <f t="shared" si="31"/>
        <v>20</v>
      </c>
      <c r="P144" s="682"/>
      <c r="Q144" s="286"/>
      <c r="R144" s="287"/>
      <c r="S144" s="280"/>
      <c r="T144" s="280"/>
      <c r="U144" s="280"/>
      <c r="V144" s="280"/>
      <c r="W144" s="280"/>
      <c r="X144" s="280"/>
      <c r="Y144" s="280"/>
      <c r="Z144" s="284"/>
      <c r="AA144" s="284"/>
      <c r="AB144" s="284"/>
      <c r="AC144" s="284"/>
      <c r="AD144" s="284"/>
      <c r="AE144" s="284"/>
      <c r="AF144" s="447"/>
      <c r="AG144" s="447"/>
      <c r="AH144" s="447"/>
      <c r="AI144" s="382"/>
      <c r="AJ144" s="382"/>
      <c r="AK144" s="382"/>
      <c r="AL144" s="382"/>
      <c r="AM144" s="382"/>
      <c r="AN144" s="382"/>
      <c r="AO144" s="382"/>
      <c r="AP144" s="382"/>
      <c r="AQ144" s="382"/>
      <c r="AR144" s="382"/>
      <c r="AS144" s="382"/>
      <c r="AT144" s="382"/>
      <c r="AU144" s="382"/>
      <c r="AV144" s="382"/>
      <c r="AW144" s="382"/>
      <c r="AX144" s="382"/>
      <c r="AY144" s="382"/>
      <c r="AZ144" s="382"/>
      <c r="BA144" s="382"/>
      <c r="BB144" s="382"/>
      <c r="BC144" s="382"/>
      <c r="BD144" s="382"/>
      <c r="BE144" s="382"/>
      <c r="BF144" s="382"/>
      <c r="BG144" s="382"/>
      <c r="BH144" s="382"/>
      <c r="BI144" s="382"/>
      <c r="BJ144" s="382"/>
      <c r="BK144" s="382"/>
      <c r="BL144" s="382"/>
      <c r="BM144" s="382"/>
      <c r="BN144" s="382"/>
      <c r="BO144" s="382"/>
    </row>
    <row r="145" spans="1:67" s="88" customFormat="1" ht="10.55" customHeight="1" x14ac:dyDescent="0.2">
      <c r="A145" s="1013" t="s">
        <v>334</v>
      </c>
      <c r="B145" s="2807"/>
      <c r="C145" s="2808"/>
      <c r="D145" s="2809"/>
      <c r="E145" s="2561"/>
      <c r="F145" s="2562"/>
      <c r="G145" s="1785">
        <v>30</v>
      </c>
      <c r="H145" s="524"/>
      <c r="I145" s="1409">
        <f t="shared" si="28"/>
        <v>4.7777640736176463E-2</v>
      </c>
      <c r="J145" s="1421">
        <f t="shared" si="29"/>
        <v>0</v>
      </c>
      <c r="K145" s="678"/>
      <c r="L145" s="1002"/>
      <c r="M145" s="1428">
        <f t="shared" si="30"/>
        <v>0</v>
      </c>
      <c r="N145" s="1111"/>
      <c r="O145" s="674">
        <f t="shared" si="31"/>
        <v>30</v>
      </c>
      <c r="P145" s="682"/>
      <c r="Q145" s="286"/>
      <c r="R145" s="287"/>
      <c r="S145" s="280"/>
      <c r="T145" s="280"/>
      <c r="U145" s="280"/>
      <c r="V145" s="280"/>
      <c r="W145" s="280"/>
      <c r="X145" s="280"/>
      <c r="Y145" s="280"/>
      <c r="Z145" s="284"/>
      <c r="AA145" s="284"/>
      <c r="AB145" s="284"/>
      <c r="AC145" s="284"/>
      <c r="AD145" s="284"/>
      <c r="AE145" s="284"/>
      <c r="AF145" s="447"/>
      <c r="AG145" s="447"/>
      <c r="AH145" s="447"/>
      <c r="AI145" s="382"/>
      <c r="AJ145" s="382"/>
      <c r="AK145" s="382"/>
      <c r="AL145" s="382"/>
      <c r="AM145" s="382"/>
      <c r="AN145" s="382"/>
      <c r="AO145" s="382"/>
      <c r="AP145" s="382"/>
      <c r="AQ145" s="382"/>
      <c r="AR145" s="382"/>
      <c r="AS145" s="382"/>
      <c r="AT145" s="382"/>
      <c r="AU145" s="382"/>
      <c r="AV145" s="382"/>
      <c r="AW145" s="382"/>
      <c r="AX145" s="382"/>
      <c r="AY145" s="382"/>
      <c r="AZ145" s="382"/>
      <c r="BA145" s="382"/>
      <c r="BB145" s="382"/>
      <c r="BC145" s="382"/>
      <c r="BD145" s="382"/>
      <c r="BE145" s="382"/>
      <c r="BF145" s="382"/>
      <c r="BG145" s="382"/>
      <c r="BH145" s="382"/>
      <c r="BI145" s="382"/>
      <c r="BJ145" s="382"/>
      <c r="BK145" s="382"/>
      <c r="BL145" s="382"/>
      <c r="BM145" s="382"/>
      <c r="BN145" s="382"/>
      <c r="BO145" s="382"/>
    </row>
    <row r="146" spans="1:67" s="88" customFormat="1" ht="10.55" customHeight="1" x14ac:dyDescent="0.2">
      <c r="A146" s="675"/>
      <c r="B146" s="2807"/>
      <c r="C146" s="2808"/>
      <c r="D146" s="2809"/>
      <c r="E146" s="2561"/>
      <c r="F146" s="2562"/>
      <c r="G146" s="1015"/>
      <c r="H146" s="524"/>
      <c r="I146" s="1409">
        <f t="shared" si="28"/>
        <v>0</v>
      </c>
      <c r="J146" s="1421">
        <f t="shared" si="29"/>
        <v>0</v>
      </c>
      <c r="K146" s="679"/>
      <c r="L146" s="1002"/>
      <c r="M146" s="1428">
        <f t="shared" si="30"/>
        <v>0</v>
      </c>
      <c r="N146" s="1111"/>
      <c r="O146" s="674">
        <f t="shared" si="31"/>
        <v>0</v>
      </c>
      <c r="P146" s="682"/>
      <c r="Q146" s="286"/>
      <c r="R146" s="287"/>
      <c r="S146" s="280"/>
      <c r="T146" s="280"/>
      <c r="U146" s="280"/>
      <c r="V146" s="280"/>
      <c r="W146" s="280"/>
      <c r="X146" s="280"/>
      <c r="Y146" s="280"/>
      <c r="Z146" s="284"/>
      <c r="AA146" s="284"/>
      <c r="AB146" s="284"/>
      <c r="AC146" s="284"/>
      <c r="AD146" s="284"/>
      <c r="AE146" s="284"/>
      <c r="AF146" s="447"/>
      <c r="AG146" s="447"/>
      <c r="AH146" s="447"/>
      <c r="AI146" s="382"/>
      <c r="AJ146" s="382"/>
      <c r="AK146" s="382"/>
      <c r="AL146" s="382"/>
      <c r="AM146" s="382"/>
      <c r="AN146" s="382"/>
      <c r="AO146" s="382"/>
      <c r="AP146" s="382"/>
      <c r="AQ146" s="382"/>
      <c r="AR146" s="382"/>
      <c r="AS146" s="382"/>
      <c r="AT146" s="382"/>
      <c r="AU146" s="382"/>
      <c r="AV146" s="382"/>
      <c r="AW146" s="382"/>
      <c r="AX146" s="382"/>
      <c r="AY146" s="382"/>
      <c r="AZ146" s="382"/>
      <c r="BA146" s="382"/>
      <c r="BB146" s="382"/>
      <c r="BC146" s="382"/>
      <c r="BD146" s="382"/>
      <c r="BE146" s="382"/>
      <c r="BF146" s="382"/>
      <c r="BG146" s="382"/>
      <c r="BH146" s="382"/>
      <c r="BI146" s="382"/>
      <c r="BJ146" s="382"/>
      <c r="BK146" s="382"/>
      <c r="BL146" s="382"/>
      <c r="BM146" s="382"/>
      <c r="BN146" s="382"/>
      <c r="BO146" s="382"/>
    </row>
    <row r="147" spans="1:67" s="88" customFormat="1" ht="10.55" customHeight="1" x14ac:dyDescent="0.2">
      <c r="A147" s="675"/>
      <c r="B147" s="2807"/>
      <c r="C147" s="2808"/>
      <c r="D147" s="2809"/>
      <c r="E147" s="2561"/>
      <c r="F147" s="2562"/>
      <c r="G147" s="1015"/>
      <c r="H147" s="524"/>
      <c r="I147" s="1409">
        <f t="shared" si="28"/>
        <v>0</v>
      </c>
      <c r="J147" s="1421">
        <f t="shared" si="29"/>
        <v>0</v>
      </c>
      <c r="K147" s="679"/>
      <c r="L147" s="1002"/>
      <c r="M147" s="1428">
        <f t="shared" si="30"/>
        <v>0</v>
      </c>
      <c r="N147" s="1111"/>
      <c r="O147" s="674">
        <f t="shared" si="31"/>
        <v>0</v>
      </c>
      <c r="P147" s="682"/>
      <c r="Q147" s="286"/>
      <c r="R147" s="287"/>
      <c r="S147" s="280"/>
      <c r="T147" s="280"/>
      <c r="U147" s="280"/>
      <c r="V147" s="280"/>
      <c r="W147" s="280"/>
      <c r="X147" s="280"/>
      <c r="Y147" s="280"/>
      <c r="Z147" s="284"/>
      <c r="AA147" s="284"/>
      <c r="AB147" s="284"/>
      <c r="AC147" s="284"/>
      <c r="AD147" s="284"/>
      <c r="AE147" s="284"/>
      <c r="AF147" s="447"/>
      <c r="AG147" s="447"/>
      <c r="AH147" s="447"/>
      <c r="AI147" s="382"/>
      <c r="AJ147" s="382"/>
      <c r="AK147" s="382"/>
      <c r="AL147" s="382"/>
      <c r="AM147" s="382"/>
      <c r="AN147" s="382"/>
      <c r="AO147" s="382"/>
      <c r="AP147" s="382"/>
      <c r="AQ147" s="382"/>
      <c r="AR147" s="382"/>
      <c r="AS147" s="382"/>
      <c r="AT147" s="382"/>
      <c r="AU147" s="382"/>
      <c r="AV147" s="382"/>
      <c r="AW147" s="382"/>
      <c r="AX147" s="382"/>
      <c r="AY147" s="382"/>
      <c r="AZ147" s="382"/>
      <c r="BA147" s="382"/>
      <c r="BB147" s="382"/>
      <c r="BC147" s="382"/>
      <c r="BD147" s="382"/>
      <c r="BE147" s="382"/>
      <c r="BF147" s="382"/>
      <c r="BG147" s="382"/>
      <c r="BH147" s="382"/>
      <c r="BI147" s="382"/>
      <c r="BJ147" s="382"/>
      <c r="BK147" s="382"/>
      <c r="BL147" s="382"/>
      <c r="BM147" s="382"/>
      <c r="BN147" s="382"/>
      <c r="BO147" s="382"/>
    </row>
    <row r="148" spans="1:67" s="88" customFormat="1" ht="10.55" customHeight="1" x14ac:dyDescent="0.2">
      <c r="A148" s="675"/>
      <c r="B148" s="2807"/>
      <c r="C148" s="2808"/>
      <c r="D148" s="2809"/>
      <c r="E148" s="2561"/>
      <c r="F148" s="2562"/>
      <c r="G148" s="1015"/>
      <c r="H148" s="524"/>
      <c r="I148" s="1409">
        <f t="shared" si="28"/>
        <v>0</v>
      </c>
      <c r="J148" s="1421">
        <f t="shared" si="29"/>
        <v>0</v>
      </c>
      <c r="K148" s="679"/>
      <c r="L148" s="1002"/>
      <c r="M148" s="1428">
        <f t="shared" si="30"/>
        <v>0</v>
      </c>
      <c r="N148" s="1111"/>
      <c r="O148" s="674">
        <f t="shared" si="31"/>
        <v>0</v>
      </c>
      <c r="P148" s="682"/>
      <c r="Q148" s="286"/>
      <c r="R148" s="287"/>
      <c r="S148" s="280"/>
      <c r="T148" s="280"/>
      <c r="U148" s="280"/>
      <c r="V148" s="280"/>
      <c r="W148" s="280"/>
      <c r="X148" s="280"/>
      <c r="Y148" s="280"/>
      <c r="Z148" s="284"/>
      <c r="AA148" s="284"/>
      <c r="AB148" s="284"/>
      <c r="AC148" s="284"/>
      <c r="AD148" s="284"/>
      <c r="AE148" s="284"/>
      <c r="AF148" s="447"/>
      <c r="AG148" s="447"/>
      <c r="AH148" s="447"/>
      <c r="AI148" s="382"/>
      <c r="AJ148" s="382"/>
      <c r="AK148" s="382"/>
      <c r="AL148" s="382"/>
      <c r="AM148" s="382"/>
      <c r="AN148" s="382"/>
      <c r="AO148" s="382"/>
      <c r="AP148" s="382"/>
      <c r="AQ148" s="382"/>
      <c r="AR148" s="382"/>
      <c r="AS148" s="382"/>
      <c r="AT148" s="382"/>
      <c r="AU148" s="382"/>
      <c r="AV148" s="382"/>
      <c r="AW148" s="382"/>
      <c r="AX148" s="382"/>
      <c r="AY148" s="382"/>
      <c r="AZ148" s="382"/>
      <c r="BA148" s="382"/>
      <c r="BB148" s="382"/>
      <c r="BC148" s="382"/>
      <c r="BD148" s="382"/>
      <c r="BE148" s="382"/>
      <c r="BF148" s="382"/>
      <c r="BG148" s="382"/>
      <c r="BH148" s="382"/>
      <c r="BI148" s="382"/>
      <c r="BJ148" s="382"/>
      <c r="BK148" s="382"/>
      <c r="BL148" s="382"/>
      <c r="BM148" s="382"/>
      <c r="BN148" s="382"/>
      <c r="BO148" s="382"/>
    </row>
    <row r="149" spans="1:67" s="88" customFormat="1" ht="10.55" customHeight="1" x14ac:dyDescent="0.2">
      <c r="A149" s="675"/>
      <c r="B149" s="2807"/>
      <c r="C149" s="2808"/>
      <c r="D149" s="2809"/>
      <c r="E149" s="2561"/>
      <c r="F149" s="2562"/>
      <c r="G149" s="1015"/>
      <c r="H149" s="524"/>
      <c r="I149" s="1409">
        <f t="shared" si="28"/>
        <v>0</v>
      </c>
      <c r="J149" s="1421">
        <f t="shared" si="29"/>
        <v>0</v>
      </c>
      <c r="K149" s="679"/>
      <c r="L149" s="1002"/>
      <c r="M149" s="1428">
        <f t="shared" si="30"/>
        <v>0</v>
      </c>
      <c r="N149" s="1111"/>
      <c r="O149" s="674">
        <f t="shared" si="31"/>
        <v>0</v>
      </c>
      <c r="P149" s="682"/>
      <c r="Q149" s="286"/>
      <c r="R149" s="287"/>
      <c r="S149" s="280"/>
      <c r="T149" s="280"/>
      <c r="U149" s="280"/>
      <c r="V149" s="280"/>
      <c r="W149" s="280"/>
      <c r="X149" s="280"/>
      <c r="Y149" s="280"/>
      <c r="Z149" s="284"/>
      <c r="AA149" s="284"/>
      <c r="AB149" s="284"/>
      <c r="AC149" s="284"/>
      <c r="AD149" s="284"/>
      <c r="AE149" s="284"/>
      <c r="AF149" s="447"/>
      <c r="AG149" s="447"/>
      <c r="AH149" s="447"/>
      <c r="AI149" s="382"/>
      <c r="AJ149" s="382"/>
      <c r="AK149" s="382"/>
      <c r="AL149" s="382"/>
      <c r="AM149" s="382"/>
      <c r="AN149" s="382"/>
      <c r="AO149" s="382"/>
      <c r="AP149" s="382"/>
      <c r="AQ149" s="382"/>
      <c r="AR149" s="382"/>
      <c r="AS149" s="382"/>
      <c r="AT149" s="382"/>
      <c r="AU149" s="382"/>
      <c r="AV149" s="382"/>
      <c r="AW149" s="382"/>
      <c r="AX149" s="382"/>
      <c r="AY149" s="382"/>
      <c r="AZ149" s="382"/>
      <c r="BA149" s="382"/>
      <c r="BB149" s="382"/>
      <c r="BC149" s="382"/>
      <c r="BD149" s="382"/>
      <c r="BE149" s="382"/>
      <c r="BF149" s="382"/>
      <c r="BG149" s="382"/>
      <c r="BH149" s="382"/>
      <c r="BI149" s="382"/>
      <c r="BJ149" s="382"/>
      <c r="BK149" s="382"/>
      <c r="BL149" s="382"/>
      <c r="BM149" s="382"/>
      <c r="BN149" s="382"/>
      <c r="BO149" s="382"/>
    </row>
    <row r="150" spans="1:67" s="88" customFormat="1" ht="10.55" customHeight="1" x14ac:dyDescent="0.2">
      <c r="A150" s="1085"/>
      <c r="B150" s="2804"/>
      <c r="C150" s="2805"/>
      <c r="D150" s="2806"/>
      <c r="E150" s="2793"/>
      <c r="F150" s="2794"/>
      <c r="G150" s="1086"/>
      <c r="H150" s="1087"/>
      <c r="I150" s="1437">
        <f t="shared" si="28"/>
        <v>0</v>
      </c>
      <c r="J150" s="1413"/>
      <c r="K150" s="1088"/>
      <c r="L150" s="1089"/>
      <c r="M150" s="1431">
        <f t="shared" si="30"/>
        <v>0</v>
      </c>
      <c r="N150" s="1111"/>
      <c r="O150" s="674">
        <f t="shared" si="31"/>
        <v>0</v>
      </c>
      <c r="P150" s="682"/>
      <c r="Q150" s="286"/>
      <c r="R150" s="287"/>
      <c r="S150" s="280"/>
      <c r="T150" s="280"/>
      <c r="U150" s="280"/>
      <c r="V150" s="280"/>
      <c r="W150" s="280"/>
      <c r="X150" s="280"/>
      <c r="Y150" s="280"/>
      <c r="Z150" s="284"/>
      <c r="AA150" s="284"/>
      <c r="AB150" s="284"/>
      <c r="AC150" s="284"/>
      <c r="AD150" s="284"/>
      <c r="AE150" s="284"/>
      <c r="AF150" s="447"/>
      <c r="AG150" s="447"/>
      <c r="AH150" s="447"/>
      <c r="AI150" s="382"/>
      <c r="AJ150" s="382"/>
      <c r="AK150" s="382"/>
      <c r="AL150" s="382"/>
      <c r="AM150" s="382"/>
      <c r="AN150" s="382"/>
      <c r="AO150" s="382"/>
      <c r="AP150" s="382"/>
      <c r="AQ150" s="382"/>
      <c r="AR150" s="382"/>
      <c r="AS150" s="382"/>
      <c r="AT150" s="382"/>
      <c r="AU150" s="382"/>
      <c r="AV150" s="382"/>
      <c r="AW150" s="382"/>
      <c r="AX150" s="382"/>
      <c r="AY150" s="382"/>
      <c r="AZ150" s="382"/>
      <c r="BA150" s="382"/>
      <c r="BB150" s="382"/>
      <c r="BC150" s="382"/>
      <c r="BD150" s="382"/>
      <c r="BE150" s="382"/>
      <c r="BF150" s="382"/>
      <c r="BG150" s="382"/>
      <c r="BH150" s="382"/>
      <c r="BI150" s="382"/>
      <c r="BJ150" s="382"/>
      <c r="BK150" s="382"/>
      <c r="BL150" s="382"/>
      <c r="BM150" s="382"/>
      <c r="BN150" s="382"/>
      <c r="BO150" s="382"/>
    </row>
    <row r="151" spans="1:67" s="88" customFormat="1" ht="10.55" customHeight="1" x14ac:dyDescent="0.2">
      <c r="A151" s="1122" t="s">
        <v>363</v>
      </c>
      <c r="B151" s="2783"/>
      <c r="C151" s="2784"/>
      <c r="D151" s="2785"/>
      <c r="E151" s="2810">
        <f>SUM(E152:E164)</f>
        <v>0</v>
      </c>
      <c r="F151" s="2811"/>
      <c r="G151" s="2747"/>
      <c r="H151" s="2748"/>
      <c r="I151" s="1435">
        <f>IF(E151=0,0,J151/E151)</f>
        <v>0</v>
      </c>
      <c r="J151" s="1423">
        <f>SUM(J152:J164)</f>
        <v>0</v>
      </c>
      <c r="K151" s="2749">
        <f>IF(E151=0,0,M151/E151*100)</f>
        <v>0</v>
      </c>
      <c r="L151" s="2750"/>
      <c r="M151" s="1430">
        <f>SUM(M152:M164)</f>
        <v>0</v>
      </c>
      <c r="N151" s="1111"/>
      <c r="O151" s="387">
        <f>IF(H151="",G151,H151)</f>
        <v>0</v>
      </c>
      <c r="P151" s="682"/>
      <c r="Q151" s="286"/>
      <c r="R151" s="287"/>
      <c r="S151" s="280"/>
      <c r="T151" s="280"/>
      <c r="U151" s="280"/>
      <c r="V151" s="280"/>
      <c r="W151" s="280"/>
      <c r="X151" s="280"/>
      <c r="Y151" s="280"/>
      <c r="Z151" s="284"/>
      <c r="AA151" s="284"/>
      <c r="AB151" s="284"/>
      <c r="AC151" s="284"/>
      <c r="AD151" s="284"/>
      <c r="AE151" s="284"/>
      <c r="AF151" s="447"/>
      <c r="AG151" s="447"/>
      <c r="AH151" s="447"/>
      <c r="AI151" s="382"/>
      <c r="AJ151" s="382"/>
      <c r="AK151" s="382"/>
      <c r="AL151" s="382"/>
      <c r="AM151" s="382"/>
      <c r="AN151" s="382"/>
      <c r="AO151" s="382"/>
      <c r="AP151" s="382"/>
      <c r="AQ151" s="382"/>
      <c r="AR151" s="382"/>
      <c r="AS151" s="382"/>
      <c r="AT151" s="382"/>
      <c r="AU151" s="382"/>
      <c r="AV151" s="382"/>
      <c r="AW151" s="382"/>
      <c r="AX151" s="382"/>
      <c r="AY151" s="382"/>
      <c r="AZ151" s="382"/>
      <c r="BA151" s="382"/>
      <c r="BB151" s="382"/>
      <c r="BC151" s="382"/>
      <c r="BD151" s="382"/>
      <c r="BE151" s="382"/>
      <c r="BF151" s="382"/>
      <c r="BG151" s="382"/>
      <c r="BH151" s="382"/>
      <c r="BI151" s="382"/>
      <c r="BJ151" s="382"/>
      <c r="BK151" s="382"/>
      <c r="BL151" s="382"/>
      <c r="BM151" s="382"/>
      <c r="BN151" s="382"/>
      <c r="BO151" s="382"/>
    </row>
    <row r="152" spans="1:67" s="88" customFormat="1" ht="10.55" customHeight="1" x14ac:dyDescent="0.2">
      <c r="A152" s="1013" t="s">
        <v>364</v>
      </c>
      <c r="B152" s="2790"/>
      <c r="C152" s="2791"/>
      <c r="D152" s="2792"/>
      <c r="E152" s="2734"/>
      <c r="F152" s="2735"/>
      <c r="G152" s="1785">
        <v>15</v>
      </c>
      <c r="H152" s="524"/>
      <c r="I152" s="1409">
        <f t="shared" ref="I152:I165" si="32">IF($O152&gt;0,-PMT(($I$9),$O152,1),0)</f>
        <v>8.0766456051533542E-2</v>
      </c>
      <c r="J152" s="1421">
        <f t="shared" ref="J152:J164" si="33">ROUND(E152*I152,0)</f>
        <v>0</v>
      </c>
      <c r="K152" s="678">
        <v>3</v>
      </c>
      <c r="L152" s="1002"/>
      <c r="M152" s="1428">
        <f t="shared" ref="M152:M165" si="34">ROUND(E152/100*IF(ISBLANK(L152),K152,L152),0)</f>
        <v>0</v>
      </c>
      <c r="N152" s="1111"/>
      <c r="O152" s="674">
        <f t="shared" ref="O152:O165" si="35">IF(ISBLANK(H152),G152,H152)</f>
        <v>15</v>
      </c>
      <c r="P152" s="682"/>
      <c r="Q152" s="286"/>
      <c r="R152" s="287"/>
      <c r="S152" s="280"/>
      <c r="T152" s="280"/>
      <c r="U152" s="280"/>
      <c r="V152" s="280"/>
      <c r="W152" s="280"/>
      <c r="X152" s="280"/>
      <c r="Y152" s="280"/>
      <c r="Z152" s="284"/>
      <c r="AA152" s="284"/>
      <c r="AB152" s="284"/>
      <c r="AC152" s="284"/>
      <c r="AD152" s="284"/>
      <c r="AE152" s="284"/>
      <c r="AF152" s="447"/>
      <c r="AG152" s="447"/>
      <c r="AH152" s="447"/>
      <c r="AI152" s="382"/>
      <c r="AJ152" s="382"/>
      <c r="AK152" s="382"/>
      <c r="AL152" s="382"/>
      <c r="AM152" s="382"/>
      <c r="AN152" s="382"/>
      <c r="AO152" s="382"/>
      <c r="AP152" s="382"/>
      <c r="AQ152" s="382"/>
      <c r="AR152" s="382"/>
      <c r="AS152" s="382"/>
      <c r="AT152" s="382"/>
      <c r="AU152" s="382"/>
      <c r="AV152" s="382"/>
      <c r="AW152" s="382"/>
      <c r="AX152" s="382"/>
      <c r="AY152" s="382"/>
      <c r="AZ152" s="382"/>
      <c r="BA152" s="382"/>
      <c r="BB152" s="382"/>
      <c r="BC152" s="382"/>
      <c r="BD152" s="382"/>
      <c r="BE152" s="382"/>
      <c r="BF152" s="382"/>
      <c r="BG152" s="382"/>
      <c r="BH152" s="382"/>
      <c r="BI152" s="382"/>
      <c r="BJ152" s="382"/>
      <c r="BK152" s="382"/>
      <c r="BL152" s="382"/>
      <c r="BM152" s="382"/>
      <c r="BN152" s="382"/>
      <c r="BO152" s="382"/>
    </row>
    <row r="153" spans="1:67" s="88" customFormat="1" ht="10.55" customHeight="1" x14ac:dyDescent="0.2">
      <c r="A153" s="1013" t="s">
        <v>365</v>
      </c>
      <c r="B153" s="2807"/>
      <c r="C153" s="2808"/>
      <c r="D153" s="2809"/>
      <c r="E153" s="2561"/>
      <c r="F153" s="2562"/>
      <c r="G153" s="1785">
        <v>15</v>
      </c>
      <c r="H153" s="524"/>
      <c r="I153" s="1409">
        <f t="shared" si="32"/>
        <v>8.0766456051533542E-2</v>
      </c>
      <c r="J153" s="1421">
        <f t="shared" si="33"/>
        <v>0</v>
      </c>
      <c r="K153" s="678">
        <v>3</v>
      </c>
      <c r="L153" s="1002"/>
      <c r="M153" s="1428">
        <f t="shared" si="34"/>
        <v>0</v>
      </c>
      <c r="N153" s="1111"/>
      <c r="O153" s="674">
        <f t="shared" si="35"/>
        <v>15</v>
      </c>
      <c r="P153" s="682"/>
      <c r="Q153" s="286"/>
      <c r="R153" s="287"/>
      <c r="S153" s="280"/>
      <c r="T153" s="280"/>
      <c r="U153" s="280"/>
      <c r="V153" s="280"/>
      <c r="W153" s="280"/>
      <c r="X153" s="280"/>
      <c r="Y153" s="280"/>
      <c r="Z153" s="284"/>
      <c r="AA153" s="284"/>
      <c r="AB153" s="284"/>
      <c r="AC153" s="284"/>
      <c r="AD153" s="284"/>
      <c r="AE153" s="284"/>
      <c r="AF153" s="447"/>
      <c r="AG153" s="447"/>
      <c r="AH153" s="447"/>
      <c r="AI153" s="382"/>
      <c r="AJ153" s="382"/>
      <c r="AK153" s="382"/>
      <c r="AL153" s="382"/>
      <c r="AM153" s="382"/>
      <c r="AN153" s="382"/>
      <c r="AO153" s="382"/>
      <c r="AP153" s="382"/>
      <c r="AQ153" s="382"/>
      <c r="AR153" s="382"/>
      <c r="AS153" s="382"/>
      <c r="AT153" s="382"/>
      <c r="AU153" s="382"/>
      <c r="AV153" s="382"/>
      <c r="AW153" s="382"/>
      <c r="AX153" s="382"/>
      <c r="AY153" s="382"/>
      <c r="AZ153" s="382"/>
      <c r="BA153" s="382"/>
      <c r="BB153" s="382"/>
      <c r="BC153" s="382"/>
      <c r="BD153" s="382"/>
      <c r="BE153" s="382"/>
      <c r="BF153" s="382"/>
      <c r="BG153" s="382"/>
      <c r="BH153" s="382"/>
      <c r="BI153" s="382"/>
      <c r="BJ153" s="382"/>
      <c r="BK153" s="382"/>
      <c r="BL153" s="382"/>
      <c r="BM153" s="382"/>
      <c r="BN153" s="382"/>
      <c r="BO153" s="382"/>
    </row>
    <row r="154" spans="1:67" s="88" customFormat="1" ht="10.55" customHeight="1" x14ac:dyDescent="0.2">
      <c r="A154" s="1013" t="s">
        <v>366</v>
      </c>
      <c r="B154" s="2807"/>
      <c r="C154" s="2808"/>
      <c r="D154" s="2809"/>
      <c r="E154" s="2561"/>
      <c r="F154" s="2562"/>
      <c r="G154" s="1785">
        <v>15</v>
      </c>
      <c r="H154" s="524"/>
      <c r="I154" s="1409">
        <f t="shared" si="32"/>
        <v>8.0766456051533542E-2</v>
      </c>
      <c r="J154" s="1421">
        <f t="shared" si="33"/>
        <v>0</v>
      </c>
      <c r="K154" s="678">
        <v>3</v>
      </c>
      <c r="L154" s="1002"/>
      <c r="M154" s="1428">
        <f t="shared" si="34"/>
        <v>0</v>
      </c>
      <c r="N154" s="1111"/>
      <c r="O154" s="674">
        <f t="shared" si="35"/>
        <v>15</v>
      </c>
      <c r="P154" s="682"/>
      <c r="Q154" s="286"/>
      <c r="R154" s="287"/>
      <c r="S154" s="280"/>
      <c r="T154" s="280"/>
      <c r="U154" s="280"/>
      <c r="V154" s="280"/>
      <c r="W154" s="280"/>
      <c r="X154" s="280"/>
      <c r="Y154" s="280"/>
      <c r="Z154" s="284"/>
      <c r="AA154" s="284"/>
      <c r="AB154" s="284"/>
      <c r="AC154" s="284"/>
      <c r="AD154" s="284"/>
      <c r="AE154" s="284"/>
      <c r="AF154" s="447"/>
      <c r="AG154" s="447"/>
      <c r="AH154" s="447"/>
      <c r="AI154" s="382"/>
      <c r="AJ154" s="382"/>
      <c r="AK154" s="382"/>
      <c r="AL154" s="382"/>
      <c r="AM154" s="382"/>
      <c r="AN154" s="382"/>
      <c r="AO154" s="382"/>
      <c r="AP154" s="382"/>
      <c r="AQ154" s="382"/>
      <c r="AR154" s="382"/>
      <c r="AS154" s="382"/>
      <c r="AT154" s="382"/>
      <c r="AU154" s="382"/>
      <c r="AV154" s="382"/>
      <c r="AW154" s="382"/>
      <c r="AX154" s="382"/>
      <c r="AY154" s="382"/>
      <c r="AZ154" s="382"/>
      <c r="BA154" s="382"/>
      <c r="BB154" s="382"/>
      <c r="BC154" s="382"/>
      <c r="BD154" s="382"/>
      <c r="BE154" s="382"/>
      <c r="BF154" s="382"/>
      <c r="BG154" s="382"/>
      <c r="BH154" s="382"/>
      <c r="BI154" s="382"/>
      <c r="BJ154" s="382"/>
      <c r="BK154" s="382"/>
      <c r="BL154" s="382"/>
      <c r="BM154" s="382"/>
      <c r="BN154" s="382"/>
      <c r="BO154" s="382"/>
    </row>
    <row r="155" spans="1:67" s="88" customFormat="1" ht="10.55" customHeight="1" x14ac:dyDescent="0.2">
      <c r="A155" s="1013" t="s">
        <v>367</v>
      </c>
      <c r="B155" s="2807"/>
      <c r="C155" s="2808"/>
      <c r="D155" s="2809"/>
      <c r="E155" s="2561"/>
      <c r="F155" s="2562"/>
      <c r="G155" s="1785">
        <v>15</v>
      </c>
      <c r="H155" s="524"/>
      <c r="I155" s="1409">
        <f t="shared" si="32"/>
        <v>8.0766456051533542E-2</v>
      </c>
      <c r="J155" s="1421">
        <f t="shared" si="33"/>
        <v>0</v>
      </c>
      <c r="K155" s="678">
        <v>3</v>
      </c>
      <c r="L155" s="1002"/>
      <c r="M155" s="1428">
        <f t="shared" si="34"/>
        <v>0</v>
      </c>
      <c r="N155" s="1111"/>
      <c r="O155" s="674">
        <f t="shared" si="35"/>
        <v>15</v>
      </c>
      <c r="P155" s="682"/>
      <c r="Q155" s="286"/>
      <c r="R155" s="287"/>
      <c r="S155" s="280"/>
      <c r="T155" s="280"/>
      <c r="U155" s="280"/>
      <c r="V155" s="280"/>
      <c r="W155" s="280"/>
      <c r="X155" s="280"/>
      <c r="Y155" s="280"/>
      <c r="Z155" s="284"/>
      <c r="AA155" s="284"/>
      <c r="AB155" s="284"/>
      <c r="AC155" s="284"/>
      <c r="AD155" s="284"/>
      <c r="AE155" s="284"/>
      <c r="AF155" s="447"/>
      <c r="AG155" s="447"/>
      <c r="AH155" s="447"/>
      <c r="AI155" s="382"/>
      <c r="AJ155" s="382"/>
      <c r="AK155" s="382"/>
      <c r="AL155" s="382"/>
      <c r="AM155" s="382"/>
      <c r="AN155" s="382"/>
      <c r="AO155" s="382"/>
      <c r="AP155" s="382"/>
      <c r="AQ155" s="382"/>
      <c r="AR155" s="382"/>
      <c r="AS155" s="382"/>
      <c r="AT155" s="382"/>
      <c r="AU155" s="382"/>
      <c r="AV155" s="382"/>
      <c r="AW155" s="382"/>
      <c r="AX155" s="382"/>
      <c r="AY155" s="382"/>
      <c r="AZ155" s="382"/>
      <c r="BA155" s="382"/>
      <c r="BB155" s="382"/>
      <c r="BC155" s="382"/>
      <c r="BD155" s="382"/>
      <c r="BE155" s="382"/>
      <c r="BF155" s="382"/>
      <c r="BG155" s="382"/>
      <c r="BH155" s="382"/>
      <c r="BI155" s="382"/>
      <c r="BJ155" s="382"/>
      <c r="BK155" s="382"/>
      <c r="BL155" s="382"/>
      <c r="BM155" s="382"/>
      <c r="BN155" s="382"/>
      <c r="BO155" s="382"/>
    </row>
    <row r="156" spans="1:67" s="88" customFormat="1" ht="10.55" customHeight="1" x14ac:dyDescent="0.2">
      <c r="A156" s="675"/>
      <c r="B156" s="2807"/>
      <c r="C156" s="2808"/>
      <c r="D156" s="2809"/>
      <c r="E156" s="2561"/>
      <c r="F156" s="2562"/>
      <c r="G156" s="1015"/>
      <c r="H156" s="524"/>
      <c r="I156" s="1409">
        <f t="shared" si="32"/>
        <v>0</v>
      </c>
      <c r="J156" s="1421">
        <f t="shared" si="33"/>
        <v>0</v>
      </c>
      <c r="K156" s="679"/>
      <c r="L156" s="1002"/>
      <c r="M156" s="1428">
        <f t="shared" si="34"/>
        <v>0</v>
      </c>
      <c r="N156" s="1111"/>
      <c r="O156" s="674">
        <f t="shared" si="35"/>
        <v>0</v>
      </c>
      <c r="P156" s="682"/>
      <c r="Q156" s="286"/>
      <c r="R156" s="287"/>
      <c r="S156" s="280"/>
      <c r="T156" s="280"/>
      <c r="U156" s="280"/>
      <c r="V156" s="280"/>
      <c r="W156" s="280"/>
      <c r="X156" s="280"/>
      <c r="Y156" s="280"/>
      <c r="Z156" s="284"/>
      <c r="AA156" s="284"/>
      <c r="AB156" s="284"/>
      <c r="AC156" s="284"/>
      <c r="AD156" s="284"/>
      <c r="AE156" s="284"/>
      <c r="AF156" s="447"/>
      <c r="AG156" s="447"/>
      <c r="AH156" s="447"/>
      <c r="AI156" s="382"/>
      <c r="AJ156" s="382"/>
      <c r="AK156" s="382"/>
      <c r="AL156" s="382"/>
      <c r="AM156" s="382"/>
      <c r="AN156" s="382"/>
      <c r="AO156" s="382"/>
      <c r="AP156" s="382"/>
      <c r="AQ156" s="382"/>
      <c r="AR156" s="382"/>
      <c r="AS156" s="382"/>
      <c r="AT156" s="382"/>
      <c r="AU156" s="382"/>
      <c r="AV156" s="382"/>
      <c r="AW156" s="382"/>
      <c r="AX156" s="382"/>
      <c r="AY156" s="382"/>
      <c r="AZ156" s="382"/>
      <c r="BA156" s="382"/>
      <c r="BB156" s="382"/>
      <c r="BC156" s="382"/>
      <c r="BD156" s="382"/>
      <c r="BE156" s="382"/>
      <c r="BF156" s="382"/>
      <c r="BG156" s="382"/>
      <c r="BH156" s="382"/>
      <c r="BI156" s="382"/>
      <c r="BJ156" s="382"/>
      <c r="BK156" s="382"/>
      <c r="BL156" s="382"/>
      <c r="BM156" s="382"/>
      <c r="BN156" s="382"/>
      <c r="BO156" s="382"/>
    </row>
    <row r="157" spans="1:67" s="88" customFormat="1" ht="10.55" customHeight="1" x14ac:dyDescent="0.2">
      <c r="A157" s="675"/>
      <c r="B157" s="2807"/>
      <c r="C157" s="2808"/>
      <c r="D157" s="2809"/>
      <c r="E157" s="2561"/>
      <c r="F157" s="2562"/>
      <c r="G157" s="1015"/>
      <c r="H157" s="524"/>
      <c r="I157" s="1409">
        <f t="shared" si="32"/>
        <v>0</v>
      </c>
      <c r="J157" s="1421">
        <f t="shared" si="33"/>
        <v>0</v>
      </c>
      <c r="K157" s="679"/>
      <c r="L157" s="1002"/>
      <c r="M157" s="1428">
        <f t="shared" si="34"/>
        <v>0</v>
      </c>
      <c r="N157" s="1111"/>
      <c r="O157" s="674">
        <f t="shared" si="35"/>
        <v>0</v>
      </c>
      <c r="P157" s="682"/>
      <c r="Q157" s="286"/>
      <c r="R157" s="287"/>
      <c r="S157" s="280"/>
      <c r="T157" s="280"/>
      <c r="U157" s="280"/>
      <c r="V157" s="280"/>
      <c r="W157" s="280"/>
      <c r="X157" s="280"/>
      <c r="Y157" s="280"/>
      <c r="Z157" s="284"/>
      <c r="AA157" s="284"/>
      <c r="AB157" s="284"/>
      <c r="AC157" s="284"/>
      <c r="AD157" s="284"/>
      <c r="AE157" s="284"/>
      <c r="AF157" s="447"/>
      <c r="AG157" s="447"/>
      <c r="AH157" s="447"/>
      <c r="AI157" s="382"/>
      <c r="AJ157" s="382"/>
      <c r="AK157" s="382"/>
      <c r="AL157" s="382"/>
      <c r="AM157" s="382"/>
      <c r="AN157" s="382"/>
      <c r="AO157" s="382"/>
      <c r="AP157" s="382"/>
      <c r="AQ157" s="382"/>
      <c r="AR157" s="382"/>
      <c r="AS157" s="382"/>
      <c r="AT157" s="382"/>
      <c r="AU157" s="382"/>
      <c r="AV157" s="382"/>
      <c r="AW157" s="382"/>
      <c r="AX157" s="382"/>
      <c r="AY157" s="382"/>
      <c r="AZ157" s="382"/>
      <c r="BA157" s="382"/>
      <c r="BB157" s="382"/>
      <c r="BC157" s="382"/>
      <c r="BD157" s="382"/>
      <c r="BE157" s="382"/>
      <c r="BF157" s="382"/>
      <c r="BG157" s="382"/>
      <c r="BH157" s="382"/>
      <c r="BI157" s="382"/>
      <c r="BJ157" s="382"/>
      <c r="BK157" s="382"/>
      <c r="BL157" s="382"/>
      <c r="BM157" s="382"/>
      <c r="BN157" s="382"/>
      <c r="BO157" s="382"/>
    </row>
    <row r="158" spans="1:67" s="88" customFormat="1" ht="10.55" customHeight="1" x14ac:dyDescent="0.2">
      <c r="A158" s="675"/>
      <c r="B158" s="2807"/>
      <c r="C158" s="2808"/>
      <c r="D158" s="2809"/>
      <c r="E158" s="2561"/>
      <c r="F158" s="2562"/>
      <c r="G158" s="1015"/>
      <c r="H158" s="524"/>
      <c r="I158" s="1409">
        <f t="shared" si="32"/>
        <v>0</v>
      </c>
      <c r="J158" s="1421">
        <f t="shared" si="33"/>
        <v>0</v>
      </c>
      <c r="K158" s="679"/>
      <c r="L158" s="1002"/>
      <c r="M158" s="1428">
        <f t="shared" si="34"/>
        <v>0</v>
      </c>
      <c r="N158" s="1111"/>
      <c r="O158" s="674">
        <f t="shared" si="35"/>
        <v>0</v>
      </c>
      <c r="P158" s="682"/>
      <c r="Q158" s="286"/>
      <c r="R158" s="287"/>
      <c r="S158" s="280"/>
      <c r="T158" s="280"/>
      <c r="U158" s="280"/>
      <c r="V158" s="280"/>
      <c r="W158" s="280"/>
      <c r="X158" s="280"/>
      <c r="Y158" s="280"/>
      <c r="Z158" s="284"/>
      <c r="AA158" s="284"/>
      <c r="AB158" s="284"/>
      <c r="AC158" s="284"/>
      <c r="AD158" s="284"/>
      <c r="AE158" s="284"/>
      <c r="AF158" s="447"/>
      <c r="AG158" s="447"/>
      <c r="AH158" s="447"/>
      <c r="AI158" s="382"/>
      <c r="AJ158" s="382"/>
      <c r="AK158" s="382"/>
      <c r="AL158" s="382"/>
      <c r="AM158" s="382"/>
      <c r="AN158" s="382"/>
      <c r="AO158" s="382"/>
      <c r="AP158" s="382"/>
      <c r="AQ158" s="382"/>
      <c r="AR158" s="382"/>
      <c r="AS158" s="382"/>
      <c r="AT158" s="382"/>
      <c r="AU158" s="382"/>
      <c r="AV158" s="382"/>
      <c r="AW158" s="382"/>
      <c r="AX158" s="382"/>
      <c r="AY158" s="382"/>
      <c r="AZ158" s="382"/>
      <c r="BA158" s="382"/>
      <c r="BB158" s="382"/>
      <c r="BC158" s="382"/>
      <c r="BD158" s="382"/>
      <c r="BE158" s="382"/>
      <c r="BF158" s="382"/>
      <c r="BG158" s="382"/>
      <c r="BH158" s="382"/>
      <c r="BI158" s="382"/>
      <c r="BJ158" s="382"/>
      <c r="BK158" s="382"/>
      <c r="BL158" s="382"/>
      <c r="BM158" s="382"/>
      <c r="BN158" s="382"/>
      <c r="BO158" s="382"/>
    </row>
    <row r="159" spans="1:67" s="88" customFormat="1" ht="10.55" customHeight="1" x14ac:dyDescent="0.2">
      <c r="A159" s="675"/>
      <c r="B159" s="2807"/>
      <c r="C159" s="2808"/>
      <c r="D159" s="2809"/>
      <c r="E159" s="2561"/>
      <c r="F159" s="2562"/>
      <c r="G159" s="1015"/>
      <c r="H159" s="524"/>
      <c r="I159" s="1409">
        <f t="shared" si="32"/>
        <v>0</v>
      </c>
      <c r="J159" s="1421">
        <f t="shared" si="33"/>
        <v>0</v>
      </c>
      <c r="K159" s="679"/>
      <c r="L159" s="1002"/>
      <c r="M159" s="1428">
        <f t="shared" si="34"/>
        <v>0</v>
      </c>
      <c r="N159" s="1111"/>
      <c r="O159" s="674">
        <f t="shared" si="35"/>
        <v>0</v>
      </c>
      <c r="P159" s="682"/>
      <c r="Q159" s="286"/>
      <c r="R159" s="287"/>
      <c r="S159" s="280"/>
      <c r="T159" s="280"/>
      <c r="U159" s="280"/>
      <c r="V159" s="280"/>
      <c r="W159" s="280"/>
      <c r="X159" s="280"/>
      <c r="Y159" s="280"/>
      <c r="Z159" s="284"/>
      <c r="AA159" s="284"/>
      <c r="AB159" s="284"/>
      <c r="AC159" s="284"/>
      <c r="AD159" s="284"/>
      <c r="AE159" s="284"/>
      <c r="AF159" s="447"/>
      <c r="AG159" s="447"/>
      <c r="AH159" s="447"/>
      <c r="AI159" s="382"/>
      <c r="AJ159" s="382"/>
      <c r="AK159" s="382"/>
      <c r="AL159" s="382"/>
      <c r="AM159" s="382"/>
      <c r="AN159" s="382"/>
      <c r="AO159" s="382"/>
      <c r="AP159" s="382"/>
      <c r="AQ159" s="382"/>
      <c r="AR159" s="382"/>
      <c r="AS159" s="382"/>
      <c r="AT159" s="382"/>
      <c r="AU159" s="382"/>
      <c r="AV159" s="382"/>
      <c r="AW159" s="382"/>
      <c r="AX159" s="382"/>
      <c r="AY159" s="382"/>
      <c r="AZ159" s="382"/>
      <c r="BA159" s="382"/>
      <c r="BB159" s="382"/>
      <c r="BC159" s="382"/>
      <c r="BD159" s="382"/>
      <c r="BE159" s="382"/>
      <c r="BF159" s="382"/>
      <c r="BG159" s="382"/>
      <c r="BH159" s="382"/>
      <c r="BI159" s="382"/>
      <c r="BJ159" s="382"/>
      <c r="BK159" s="382"/>
      <c r="BL159" s="382"/>
      <c r="BM159" s="382"/>
      <c r="BN159" s="382"/>
      <c r="BO159" s="382"/>
    </row>
    <row r="160" spans="1:67" s="88" customFormat="1" ht="10.55" customHeight="1" x14ac:dyDescent="0.2">
      <c r="A160" s="675"/>
      <c r="B160" s="2807"/>
      <c r="C160" s="2808"/>
      <c r="D160" s="2809"/>
      <c r="E160" s="2561"/>
      <c r="F160" s="2562"/>
      <c r="G160" s="1015"/>
      <c r="H160" s="524"/>
      <c r="I160" s="1409">
        <f t="shared" si="32"/>
        <v>0</v>
      </c>
      <c r="J160" s="1421">
        <f t="shared" si="33"/>
        <v>0</v>
      </c>
      <c r="K160" s="679"/>
      <c r="L160" s="1002"/>
      <c r="M160" s="1428">
        <f t="shared" si="34"/>
        <v>0</v>
      </c>
      <c r="N160" s="1111"/>
      <c r="O160" s="674">
        <f t="shared" si="35"/>
        <v>0</v>
      </c>
      <c r="P160" s="682"/>
      <c r="Q160" s="286"/>
      <c r="R160" s="287"/>
      <c r="S160" s="280"/>
      <c r="T160" s="280"/>
      <c r="U160" s="280"/>
      <c r="V160" s="280"/>
      <c r="W160" s="280"/>
      <c r="X160" s="280"/>
      <c r="Y160" s="280"/>
      <c r="Z160" s="284"/>
      <c r="AA160" s="284"/>
      <c r="AB160" s="284"/>
      <c r="AC160" s="284"/>
      <c r="AD160" s="284"/>
      <c r="AE160" s="284"/>
      <c r="AF160" s="447"/>
      <c r="AG160" s="447"/>
      <c r="AH160" s="447"/>
      <c r="AI160" s="382"/>
      <c r="AJ160" s="382"/>
      <c r="AK160" s="382"/>
      <c r="AL160" s="382"/>
      <c r="AM160" s="382"/>
      <c r="AN160" s="382"/>
      <c r="AO160" s="382"/>
      <c r="AP160" s="382"/>
      <c r="AQ160" s="382"/>
      <c r="AR160" s="382"/>
      <c r="AS160" s="382"/>
      <c r="AT160" s="382"/>
      <c r="AU160" s="382"/>
      <c r="AV160" s="382"/>
      <c r="AW160" s="382"/>
      <c r="AX160" s="382"/>
      <c r="AY160" s="382"/>
      <c r="AZ160" s="382"/>
      <c r="BA160" s="382"/>
      <c r="BB160" s="382"/>
      <c r="BC160" s="382"/>
      <c r="BD160" s="382"/>
      <c r="BE160" s="382"/>
      <c r="BF160" s="382"/>
      <c r="BG160" s="382"/>
      <c r="BH160" s="382"/>
      <c r="BI160" s="382"/>
      <c r="BJ160" s="382"/>
      <c r="BK160" s="382"/>
      <c r="BL160" s="382"/>
      <c r="BM160" s="382"/>
      <c r="BN160" s="382"/>
      <c r="BO160" s="382"/>
    </row>
    <row r="161" spans="1:67" s="88" customFormat="1" ht="10.55" customHeight="1" x14ac:dyDescent="0.2">
      <c r="A161" s="675"/>
      <c r="B161" s="2807"/>
      <c r="C161" s="2808"/>
      <c r="D161" s="2809"/>
      <c r="E161" s="2561"/>
      <c r="F161" s="2562"/>
      <c r="G161" s="1015"/>
      <c r="H161" s="524"/>
      <c r="I161" s="1409">
        <f t="shared" si="32"/>
        <v>0</v>
      </c>
      <c r="J161" s="1421">
        <f t="shared" si="33"/>
        <v>0</v>
      </c>
      <c r="K161" s="679"/>
      <c r="L161" s="1002"/>
      <c r="M161" s="1428">
        <f t="shared" si="34"/>
        <v>0</v>
      </c>
      <c r="N161" s="1111"/>
      <c r="O161" s="674">
        <f t="shared" si="35"/>
        <v>0</v>
      </c>
      <c r="P161" s="682"/>
      <c r="Q161" s="286"/>
      <c r="R161" s="287"/>
      <c r="S161" s="280"/>
      <c r="T161" s="280"/>
      <c r="U161" s="280"/>
      <c r="V161" s="280"/>
      <c r="W161" s="280"/>
      <c r="X161" s="280"/>
      <c r="Y161" s="280"/>
      <c r="Z161" s="284"/>
      <c r="AA161" s="284"/>
      <c r="AB161" s="284"/>
      <c r="AC161" s="284"/>
      <c r="AD161" s="284"/>
      <c r="AE161" s="284"/>
      <c r="AF161" s="447"/>
      <c r="AG161" s="447"/>
      <c r="AH161" s="447"/>
      <c r="AI161" s="382"/>
      <c r="AJ161" s="382"/>
      <c r="AK161" s="382"/>
      <c r="AL161" s="382"/>
      <c r="AM161" s="382"/>
      <c r="AN161" s="382"/>
      <c r="AO161" s="382"/>
      <c r="AP161" s="382"/>
      <c r="AQ161" s="382"/>
      <c r="AR161" s="382"/>
      <c r="AS161" s="382"/>
      <c r="AT161" s="382"/>
      <c r="AU161" s="382"/>
      <c r="AV161" s="382"/>
      <c r="AW161" s="382"/>
      <c r="AX161" s="382"/>
      <c r="AY161" s="382"/>
      <c r="AZ161" s="382"/>
      <c r="BA161" s="382"/>
      <c r="BB161" s="382"/>
      <c r="BC161" s="382"/>
      <c r="BD161" s="382"/>
      <c r="BE161" s="382"/>
      <c r="BF161" s="382"/>
      <c r="BG161" s="382"/>
      <c r="BH161" s="382"/>
      <c r="BI161" s="382"/>
      <c r="BJ161" s="382"/>
      <c r="BK161" s="382"/>
      <c r="BL161" s="382"/>
      <c r="BM161" s="382"/>
      <c r="BN161" s="382"/>
      <c r="BO161" s="382"/>
    </row>
    <row r="162" spans="1:67" s="88" customFormat="1" ht="10.55" customHeight="1" x14ac:dyDescent="0.2">
      <c r="A162" s="675"/>
      <c r="B162" s="2807"/>
      <c r="C162" s="2808"/>
      <c r="D162" s="2809"/>
      <c r="E162" s="2561"/>
      <c r="F162" s="2562"/>
      <c r="G162" s="1015"/>
      <c r="H162" s="524"/>
      <c r="I162" s="1409">
        <f t="shared" si="32"/>
        <v>0</v>
      </c>
      <c r="J162" s="1421">
        <f t="shared" si="33"/>
        <v>0</v>
      </c>
      <c r="K162" s="679"/>
      <c r="L162" s="1002"/>
      <c r="M162" s="1428">
        <f t="shared" si="34"/>
        <v>0</v>
      </c>
      <c r="N162" s="1111"/>
      <c r="O162" s="674">
        <f t="shared" si="35"/>
        <v>0</v>
      </c>
      <c r="P162" s="682"/>
      <c r="Q162" s="286"/>
      <c r="R162" s="287"/>
      <c r="S162" s="280"/>
      <c r="T162" s="280"/>
      <c r="U162" s="280"/>
      <c r="V162" s="280"/>
      <c r="W162" s="280"/>
      <c r="X162" s="280"/>
      <c r="Y162" s="280"/>
      <c r="Z162" s="284"/>
      <c r="AA162" s="284"/>
      <c r="AB162" s="284"/>
      <c r="AC162" s="284"/>
      <c r="AD162" s="284"/>
      <c r="AE162" s="284"/>
      <c r="AF162" s="447"/>
      <c r="AG162" s="447"/>
      <c r="AH162" s="447"/>
      <c r="AI162" s="382"/>
      <c r="AJ162" s="382"/>
      <c r="AK162" s="382"/>
      <c r="AL162" s="382"/>
      <c r="AM162" s="382"/>
      <c r="AN162" s="382"/>
      <c r="AO162" s="382"/>
      <c r="AP162" s="382"/>
      <c r="AQ162" s="382"/>
      <c r="AR162" s="382"/>
      <c r="AS162" s="382"/>
      <c r="AT162" s="382"/>
      <c r="AU162" s="382"/>
      <c r="AV162" s="382"/>
      <c r="AW162" s="382"/>
      <c r="AX162" s="382"/>
      <c r="AY162" s="382"/>
      <c r="AZ162" s="382"/>
      <c r="BA162" s="382"/>
      <c r="BB162" s="382"/>
      <c r="BC162" s="382"/>
      <c r="BD162" s="382"/>
      <c r="BE162" s="382"/>
      <c r="BF162" s="382"/>
      <c r="BG162" s="382"/>
      <c r="BH162" s="382"/>
      <c r="BI162" s="382"/>
      <c r="BJ162" s="382"/>
      <c r="BK162" s="382"/>
      <c r="BL162" s="382"/>
      <c r="BM162" s="382"/>
      <c r="BN162" s="382"/>
      <c r="BO162" s="382"/>
    </row>
    <row r="163" spans="1:67" s="88" customFormat="1" ht="10.55" customHeight="1" x14ac:dyDescent="0.2">
      <c r="A163" s="675"/>
      <c r="B163" s="2807"/>
      <c r="C163" s="2808"/>
      <c r="D163" s="2809"/>
      <c r="E163" s="2561"/>
      <c r="F163" s="2562"/>
      <c r="G163" s="1015"/>
      <c r="H163" s="524"/>
      <c r="I163" s="1409">
        <f t="shared" si="32"/>
        <v>0</v>
      </c>
      <c r="J163" s="1421">
        <f t="shared" si="33"/>
        <v>0</v>
      </c>
      <c r="K163" s="679"/>
      <c r="L163" s="1002"/>
      <c r="M163" s="1428">
        <f t="shared" si="34"/>
        <v>0</v>
      </c>
      <c r="N163" s="1111"/>
      <c r="O163" s="674">
        <f t="shared" si="35"/>
        <v>0</v>
      </c>
      <c r="P163" s="682"/>
      <c r="Q163" s="286"/>
      <c r="R163" s="287"/>
      <c r="S163" s="280"/>
      <c r="T163" s="280"/>
      <c r="U163" s="280"/>
      <c r="V163" s="280"/>
      <c r="W163" s="280"/>
      <c r="X163" s="280"/>
      <c r="Y163" s="280"/>
      <c r="Z163" s="284"/>
      <c r="AA163" s="284"/>
      <c r="AB163" s="284"/>
      <c r="AC163" s="284"/>
      <c r="AD163" s="284"/>
      <c r="AE163" s="284"/>
      <c r="AF163" s="447"/>
      <c r="AG163" s="447"/>
      <c r="AH163" s="447"/>
      <c r="AI163" s="382"/>
      <c r="AJ163" s="382"/>
      <c r="AK163" s="382"/>
      <c r="AL163" s="382"/>
      <c r="AM163" s="382"/>
      <c r="AN163" s="382"/>
      <c r="AO163" s="382"/>
      <c r="AP163" s="382"/>
      <c r="AQ163" s="382"/>
      <c r="AR163" s="382"/>
      <c r="AS163" s="382"/>
      <c r="AT163" s="382"/>
      <c r="AU163" s="382"/>
      <c r="AV163" s="382"/>
      <c r="AW163" s="382"/>
      <c r="AX163" s="382"/>
      <c r="AY163" s="382"/>
      <c r="AZ163" s="382"/>
      <c r="BA163" s="382"/>
      <c r="BB163" s="382"/>
      <c r="BC163" s="382"/>
      <c r="BD163" s="382"/>
      <c r="BE163" s="382"/>
      <c r="BF163" s="382"/>
      <c r="BG163" s="382"/>
      <c r="BH163" s="382"/>
      <c r="BI163" s="382"/>
      <c r="BJ163" s="382"/>
      <c r="BK163" s="382"/>
      <c r="BL163" s="382"/>
      <c r="BM163" s="382"/>
      <c r="BN163" s="382"/>
      <c r="BO163" s="382"/>
    </row>
    <row r="164" spans="1:67" s="88" customFormat="1" ht="10.55" customHeight="1" x14ac:dyDescent="0.2">
      <c r="A164" s="675"/>
      <c r="B164" s="2807"/>
      <c r="C164" s="2808"/>
      <c r="D164" s="2809"/>
      <c r="E164" s="2561"/>
      <c r="F164" s="2562"/>
      <c r="G164" s="1015"/>
      <c r="H164" s="524"/>
      <c r="I164" s="1409">
        <f t="shared" si="32"/>
        <v>0</v>
      </c>
      <c r="J164" s="1421">
        <f t="shared" si="33"/>
        <v>0</v>
      </c>
      <c r="K164" s="679"/>
      <c r="L164" s="1002"/>
      <c r="M164" s="1428">
        <f t="shared" si="34"/>
        <v>0</v>
      </c>
      <c r="N164" s="1111"/>
      <c r="O164" s="674">
        <f t="shared" si="35"/>
        <v>0</v>
      </c>
      <c r="P164" s="682"/>
      <c r="Q164" s="286"/>
      <c r="R164" s="287"/>
      <c r="S164" s="280"/>
      <c r="T164" s="280"/>
      <c r="U164" s="280"/>
      <c r="V164" s="280"/>
      <c r="W164" s="280"/>
      <c r="X164" s="280"/>
      <c r="Y164" s="280"/>
      <c r="Z164" s="284"/>
      <c r="AA164" s="284"/>
      <c r="AB164" s="284"/>
      <c r="AC164" s="284"/>
      <c r="AD164" s="284"/>
      <c r="AE164" s="284"/>
      <c r="AF164" s="447"/>
      <c r="AG164" s="447"/>
      <c r="AH164" s="447"/>
      <c r="AI164" s="382"/>
      <c r="AJ164" s="382"/>
      <c r="AK164" s="382"/>
      <c r="AL164" s="382"/>
      <c r="AM164" s="382"/>
      <c r="AN164" s="382"/>
      <c r="AO164" s="382"/>
      <c r="AP164" s="382"/>
      <c r="AQ164" s="382"/>
      <c r="AR164" s="382"/>
      <c r="AS164" s="382"/>
      <c r="AT164" s="382"/>
      <c r="AU164" s="382"/>
      <c r="AV164" s="382"/>
      <c r="AW164" s="382"/>
      <c r="AX164" s="382"/>
      <c r="AY164" s="382"/>
      <c r="AZ164" s="382"/>
      <c r="BA164" s="382"/>
      <c r="BB164" s="382"/>
      <c r="BC164" s="382"/>
      <c r="BD164" s="382"/>
      <c r="BE164" s="382"/>
      <c r="BF164" s="382"/>
      <c r="BG164" s="382"/>
      <c r="BH164" s="382"/>
      <c r="BI164" s="382"/>
      <c r="BJ164" s="382"/>
      <c r="BK164" s="382"/>
      <c r="BL164" s="382"/>
      <c r="BM164" s="382"/>
      <c r="BN164" s="382"/>
      <c r="BO164" s="382"/>
    </row>
    <row r="165" spans="1:67" s="88" customFormat="1" ht="10.55" customHeight="1" x14ac:dyDescent="0.2">
      <c r="A165" s="1085"/>
      <c r="B165" s="2804"/>
      <c r="C165" s="2805"/>
      <c r="D165" s="2806"/>
      <c r="E165" s="2793"/>
      <c r="F165" s="2794"/>
      <c r="G165" s="1086"/>
      <c r="H165" s="1087"/>
      <c r="I165" s="1437">
        <f t="shared" si="32"/>
        <v>0</v>
      </c>
      <c r="J165" s="1413"/>
      <c r="K165" s="1088"/>
      <c r="L165" s="1089"/>
      <c r="M165" s="1431">
        <f t="shared" si="34"/>
        <v>0</v>
      </c>
      <c r="N165" s="1111"/>
      <c r="O165" s="674">
        <f t="shared" si="35"/>
        <v>0</v>
      </c>
      <c r="P165" s="682"/>
      <c r="Q165" s="286"/>
      <c r="R165" s="287"/>
      <c r="S165" s="280"/>
      <c r="T165" s="280"/>
      <c r="U165" s="280"/>
      <c r="V165" s="280"/>
      <c r="W165" s="280"/>
      <c r="X165" s="280"/>
      <c r="Y165" s="280"/>
      <c r="Z165" s="284"/>
      <c r="AA165" s="284"/>
      <c r="AB165" s="284"/>
      <c r="AC165" s="284"/>
      <c r="AD165" s="284"/>
      <c r="AE165" s="284"/>
      <c r="AF165" s="447"/>
      <c r="AG165" s="447"/>
      <c r="AH165" s="447"/>
      <c r="AI165" s="382"/>
      <c r="AJ165" s="382"/>
      <c r="AK165" s="382"/>
      <c r="AL165" s="382"/>
      <c r="AM165" s="382"/>
      <c r="AN165" s="382"/>
      <c r="AO165" s="382"/>
      <c r="AP165" s="382"/>
      <c r="AQ165" s="382"/>
      <c r="AR165" s="382"/>
      <c r="AS165" s="382"/>
      <c r="AT165" s="382"/>
      <c r="AU165" s="382"/>
      <c r="AV165" s="382"/>
      <c r="AW165" s="382"/>
      <c r="AX165" s="382"/>
      <c r="AY165" s="382"/>
      <c r="AZ165" s="382"/>
      <c r="BA165" s="382"/>
      <c r="BB165" s="382"/>
      <c r="BC165" s="382"/>
      <c r="BD165" s="382"/>
      <c r="BE165" s="382"/>
      <c r="BF165" s="382"/>
      <c r="BG165" s="382"/>
      <c r="BH165" s="382"/>
      <c r="BI165" s="382"/>
      <c r="BJ165" s="382"/>
      <c r="BK165" s="382"/>
      <c r="BL165" s="382"/>
      <c r="BM165" s="382"/>
      <c r="BN165" s="382"/>
      <c r="BO165" s="382"/>
    </row>
    <row r="166" spans="1:67" s="88" customFormat="1" ht="10.55" customHeight="1" x14ac:dyDescent="0.2">
      <c r="A166" s="1122" t="s">
        <v>368</v>
      </c>
      <c r="B166" s="2783"/>
      <c r="C166" s="2784"/>
      <c r="D166" s="2785"/>
      <c r="E166" s="2810">
        <f>SUM(E167:E179)</f>
        <v>0</v>
      </c>
      <c r="F166" s="2811"/>
      <c r="G166" s="2747"/>
      <c r="H166" s="2748"/>
      <c r="I166" s="1435">
        <f>IF(E166=0,0,J166/E166)</f>
        <v>0</v>
      </c>
      <c r="J166" s="1423">
        <f>SUM(J167:J179)</f>
        <v>0</v>
      </c>
      <c r="K166" s="2749">
        <f>IF(E166=0,0,M166/E166*100)</f>
        <v>0</v>
      </c>
      <c r="L166" s="2750"/>
      <c r="M166" s="1430">
        <f>SUM(M167:M179)</f>
        <v>0</v>
      </c>
      <c r="N166" s="1111"/>
      <c r="O166" s="387">
        <f>IF(H166="",G166,H166)</f>
        <v>0</v>
      </c>
      <c r="P166" s="682"/>
      <c r="Q166" s="286"/>
      <c r="R166" s="287"/>
      <c r="S166" s="280"/>
      <c r="T166" s="280"/>
      <c r="U166" s="280"/>
      <c r="V166" s="280"/>
      <c r="W166" s="280"/>
      <c r="X166" s="280"/>
      <c r="Y166" s="280"/>
      <c r="Z166" s="284"/>
      <c r="AA166" s="284"/>
      <c r="AB166" s="284"/>
      <c r="AC166" s="284"/>
      <c r="AD166" s="284"/>
      <c r="AE166" s="284"/>
      <c r="AF166" s="447"/>
      <c r="AG166" s="447"/>
      <c r="AH166" s="447"/>
      <c r="AI166" s="382"/>
      <c r="AJ166" s="382"/>
      <c r="AK166" s="382"/>
      <c r="AL166" s="382"/>
      <c r="AM166" s="382"/>
      <c r="AN166" s="382"/>
      <c r="AO166" s="382"/>
      <c r="AP166" s="382"/>
      <c r="AQ166" s="382"/>
      <c r="AR166" s="382"/>
      <c r="AS166" s="382"/>
      <c r="AT166" s="382"/>
      <c r="AU166" s="382"/>
      <c r="AV166" s="382"/>
      <c r="AW166" s="382"/>
      <c r="AX166" s="382"/>
      <c r="AY166" s="382"/>
      <c r="AZ166" s="382"/>
      <c r="BA166" s="382"/>
      <c r="BB166" s="382"/>
      <c r="BC166" s="382"/>
      <c r="BD166" s="382"/>
      <c r="BE166" s="382"/>
      <c r="BF166" s="382"/>
      <c r="BG166" s="382"/>
      <c r="BH166" s="382"/>
      <c r="BI166" s="382"/>
      <c r="BJ166" s="382"/>
      <c r="BK166" s="382"/>
      <c r="BL166" s="382"/>
      <c r="BM166" s="382"/>
      <c r="BN166" s="382"/>
      <c r="BO166" s="382"/>
    </row>
    <row r="167" spans="1:67" s="88" customFormat="1" ht="10.55" customHeight="1" x14ac:dyDescent="0.2">
      <c r="A167" s="1013" t="s">
        <v>369</v>
      </c>
      <c r="B167" s="2790"/>
      <c r="C167" s="2791"/>
      <c r="D167" s="2792"/>
      <c r="E167" s="2734"/>
      <c r="F167" s="2735"/>
      <c r="G167" s="1785">
        <v>30</v>
      </c>
      <c r="H167" s="524"/>
      <c r="I167" s="1409">
        <f t="shared" ref="I167:I180" si="36">IF($O167&gt;0,-PMT(($I$9),$O167,1),0)</f>
        <v>4.7777640736176463E-2</v>
      </c>
      <c r="J167" s="1421">
        <f t="shared" ref="J167:J179" si="37">ROUND(E167*I167,0)</f>
        <v>0</v>
      </c>
      <c r="K167" s="678">
        <v>1</v>
      </c>
      <c r="L167" s="1002"/>
      <c r="M167" s="1428">
        <f t="shared" ref="M167:M180" si="38">ROUND(E167/100*IF(ISBLANK(L167),K167,L167),0)</f>
        <v>0</v>
      </c>
      <c r="N167" s="1111"/>
      <c r="O167" s="674">
        <f t="shared" ref="O167:O180" si="39">IF(ISBLANK(H167),G167,H167)</f>
        <v>30</v>
      </c>
      <c r="P167" s="682"/>
      <c r="Q167" s="286"/>
      <c r="R167" s="287"/>
      <c r="S167" s="280"/>
      <c r="T167" s="280"/>
      <c r="U167" s="280"/>
      <c r="V167" s="280"/>
      <c r="W167" s="280"/>
      <c r="X167" s="280"/>
      <c r="Y167" s="280"/>
      <c r="Z167" s="284"/>
      <c r="AA167" s="284"/>
      <c r="AB167" s="284"/>
      <c r="AC167" s="284"/>
      <c r="AD167" s="284"/>
      <c r="AE167" s="284"/>
      <c r="AF167" s="447"/>
      <c r="AG167" s="447"/>
      <c r="AH167" s="447"/>
      <c r="AI167" s="382"/>
      <c r="AJ167" s="382"/>
      <c r="AK167" s="382"/>
      <c r="AL167" s="382"/>
      <c r="AM167" s="382"/>
      <c r="AN167" s="382"/>
      <c r="AO167" s="382"/>
      <c r="AP167" s="382"/>
      <c r="AQ167" s="382"/>
      <c r="AR167" s="382"/>
      <c r="AS167" s="382"/>
      <c r="AT167" s="382"/>
      <c r="AU167" s="382"/>
      <c r="AV167" s="382"/>
      <c r="AW167" s="382"/>
      <c r="AX167" s="382"/>
      <c r="AY167" s="382"/>
      <c r="AZ167" s="382"/>
      <c r="BA167" s="382"/>
      <c r="BB167" s="382"/>
      <c r="BC167" s="382"/>
      <c r="BD167" s="382"/>
      <c r="BE167" s="382"/>
      <c r="BF167" s="382"/>
      <c r="BG167" s="382"/>
      <c r="BH167" s="382"/>
      <c r="BI167" s="382"/>
      <c r="BJ167" s="382"/>
      <c r="BK167" s="382"/>
      <c r="BL167" s="382"/>
      <c r="BM167" s="382"/>
      <c r="BN167" s="382"/>
      <c r="BO167" s="382"/>
    </row>
    <row r="168" spans="1:67" s="88" customFormat="1" ht="10.55" customHeight="1" x14ac:dyDescent="0.2">
      <c r="A168" s="1013" t="s">
        <v>370</v>
      </c>
      <c r="B168" s="2807"/>
      <c r="C168" s="2808"/>
      <c r="D168" s="2809"/>
      <c r="E168" s="2561"/>
      <c r="F168" s="2562"/>
      <c r="G168" s="1785">
        <v>40</v>
      </c>
      <c r="H168" s="524"/>
      <c r="I168" s="1409">
        <f t="shared" si="36"/>
        <v>3.9836233162469814E-2</v>
      </c>
      <c r="J168" s="1421">
        <f t="shared" si="37"/>
        <v>0</v>
      </c>
      <c r="K168" s="678">
        <v>1.5</v>
      </c>
      <c r="L168" s="1002"/>
      <c r="M168" s="1428">
        <f t="shared" si="38"/>
        <v>0</v>
      </c>
      <c r="N168" s="1111"/>
      <c r="O168" s="674">
        <f t="shared" si="39"/>
        <v>40</v>
      </c>
      <c r="P168" s="682"/>
      <c r="Q168" s="286"/>
      <c r="R168" s="287"/>
      <c r="S168" s="280"/>
      <c r="T168" s="280"/>
      <c r="U168" s="280"/>
      <c r="V168" s="280"/>
      <c r="W168" s="280"/>
      <c r="X168" s="280"/>
      <c r="Y168" s="280"/>
      <c r="Z168" s="284"/>
      <c r="AA168" s="284"/>
      <c r="AB168" s="284"/>
      <c r="AC168" s="284"/>
      <c r="AD168" s="284"/>
      <c r="AE168" s="284"/>
      <c r="AF168" s="447"/>
      <c r="AG168" s="447"/>
      <c r="AH168" s="447"/>
      <c r="AI168" s="382"/>
      <c r="AJ168" s="382"/>
      <c r="AK168" s="382"/>
      <c r="AL168" s="382"/>
      <c r="AM168" s="382"/>
      <c r="AN168" s="382"/>
      <c r="AO168" s="382"/>
      <c r="AP168" s="382"/>
      <c r="AQ168" s="382"/>
      <c r="AR168" s="382"/>
      <c r="AS168" s="382"/>
      <c r="AT168" s="382"/>
      <c r="AU168" s="382"/>
      <c r="AV168" s="382"/>
      <c r="AW168" s="382"/>
      <c r="AX168" s="382"/>
      <c r="AY168" s="382"/>
      <c r="AZ168" s="382"/>
      <c r="BA168" s="382"/>
      <c r="BB168" s="382"/>
      <c r="BC168" s="382"/>
      <c r="BD168" s="382"/>
      <c r="BE168" s="382"/>
      <c r="BF168" s="382"/>
      <c r="BG168" s="382"/>
      <c r="BH168" s="382"/>
      <c r="BI168" s="382"/>
      <c r="BJ168" s="382"/>
      <c r="BK168" s="382"/>
      <c r="BL168" s="382"/>
      <c r="BM168" s="382"/>
      <c r="BN168" s="382"/>
      <c r="BO168" s="382"/>
    </row>
    <row r="169" spans="1:67" s="88" customFormat="1" ht="10.55" customHeight="1" x14ac:dyDescent="0.2">
      <c r="A169" s="1013" t="s">
        <v>371</v>
      </c>
      <c r="B169" s="2807"/>
      <c r="C169" s="2808"/>
      <c r="D169" s="2809"/>
      <c r="E169" s="2561"/>
      <c r="F169" s="2562"/>
      <c r="G169" s="1785">
        <v>40</v>
      </c>
      <c r="H169" s="524"/>
      <c r="I169" s="1409">
        <f t="shared" si="36"/>
        <v>3.9836233162469814E-2</v>
      </c>
      <c r="J169" s="1421">
        <f t="shared" si="37"/>
        <v>0</v>
      </c>
      <c r="K169" s="678">
        <v>1.5</v>
      </c>
      <c r="L169" s="1002"/>
      <c r="M169" s="1428">
        <f t="shared" si="38"/>
        <v>0</v>
      </c>
      <c r="N169" s="1111"/>
      <c r="O169" s="674">
        <f t="shared" si="39"/>
        <v>40</v>
      </c>
      <c r="P169" s="682"/>
      <c r="Q169" s="286"/>
      <c r="R169" s="287"/>
      <c r="S169" s="280"/>
      <c r="T169" s="280"/>
      <c r="U169" s="280"/>
      <c r="V169" s="280"/>
      <c r="W169" s="280"/>
      <c r="X169" s="280"/>
      <c r="Y169" s="280"/>
      <c r="Z169" s="284"/>
      <c r="AA169" s="284"/>
      <c r="AB169" s="284"/>
      <c r="AC169" s="284"/>
      <c r="AD169" s="284"/>
      <c r="AE169" s="284"/>
      <c r="AF169" s="447"/>
      <c r="AG169" s="447"/>
      <c r="AH169" s="447"/>
      <c r="AI169" s="382"/>
      <c r="AJ169" s="382"/>
      <c r="AK169" s="382"/>
      <c r="AL169" s="382"/>
      <c r="AM169" s="382"/>
      <c r="AN169" s="382"/>
      <c r="AO169" s="382"/>
      <c r="AP169" s="382"/>
      <c r="AQ169" s="382"/>
      <c r="AR169" s="382"/>
      <c r="AS169" s="382"/>
      <c r="AT169" s="382"/>
      <c r="AU169" s="382"/>
      <c r="AV169" s="382"/>
      <c r="AW169" s="382"/>
      <c r="AX169" s="382"/>
      <c r="AY169" s="382"/>
      <c r="AZ169" s="382"/>
      <c r="BA169" s="382"/>
      <c r="BB169" s="382"/>
      <c r="BC169" s="382"/>
      <c r="BD169" s="382"/>
      <c r="BE169" s="382"/>
      <c r="BF169" s="382"/>
      <c r="BG169" s="382"/>
      <c r="BH169" s="382"/>
      <c r="BI169" s="382"/>
      <c r="BJ169" s="382"/>
      <c r="BK169" s="382"/>
      <c r="BL169" s="382"/>
      <c r="BM169" s="382"/>
      <c r="BN169" s="382"/>
      <c r="BO169" s="382"/>
    </row>
    <row r="170" spans="1:67" s="88" customFormat="1" ht="10.55" customHeight="1" x14ac:dyDescent="0.2">
      <c r="A170" s="1013" t="s">
        <v>372</v>
      </c>
      <c r="B170" s="2807"/>
      <c r="C170" s="2808"/>
      <c r="D170" s="2809"/>
      <c r="E170" s="2561"/>
      <c r="F170" s="2562"/>
      <c r="G170" s="1785">
        <v>40</v>
      </c>
      <c r="H170" s="524"/>
      <c r="I170" s="1409">
        <f t="shared" si="36"/>
        <v>3.9836233162469814E-2</v>
      </c>
      <c r="J170" s="1421">
        <f t="shared" si="37"/>
        <v>0</v>
      </c>
      <c r="K170" s="678">
        <v>1</v>
      </c>
      <c r="L170" s="1002"/>
      <c r="M170" s="1428">
        <f t="shared" si="38"/>
        <v>0</v>
      </c>
      <c r="N170" s="1111"/>
      <c r="O170" s="674">
        <f t="shared" si="39"/>
        <v>40</v>
      </c>
      <c r="P170" s="682"/>
      <c r="Q170" s="286"/>
      <c r="R170" s="287"/>
      <c r="S170" s="280"/>
      <c r="T170" s="280"/>
      <c r="U170" s="280"/>
      <c r="V170" s="280"/>
      <c r="W170" s="280"/>
      <c r="X170" s="280"/>
      <c r="Y170" s="280"/>
      <c r="Z170" s="284"/>
      <c r="AA170" s="284"/>
      <c r="AB170" s="284"/>
      <c r="AC170" s="284"/>
      <c r="AD170" s="284"/>
      <c r="AE170" s="284"/>
      <c r="AF170" s="447"/>
      <c r="AG170" s="447"/>
      <c r="AH170" s="447"/>
      <c r="AI170" s="382"/>
      <c r="AJ170" s="382"/>
      <c r="AK170" s="382"/>
      <c r="AL170" s="382"/>
      <c r="AM170" s="382"/>
      <c r="AN170" s="382"/>
      <c r="AO170" s="382"/>
      <c r="AP170" s="382"/>
      <c r="AQ170" s="382"/>
      <c r="AR170" s="382"/>
      <c r="AS170" s="382"/>
      <c r="AT170" s="382"/>
      <c r="AU170" s="382"/>
      <c r="AV170" s="382"/>
      <c r="AW170" s="382"/>
      <c r="AX170" s="382"/>
      <c r="AY170" s="382"/>
      <c r="AZ170" s="382"/>
      <c r="BA170" s="382"/>
      <c r="BB170" s="382"/>
      <c r="BC170" s="382"/>
      <c r="BD170" s="382"/>
      <c r="BE170" s="382"/>
      <c r="BF170" s="382"/>
      <c r="BG170" s="382"/>
      <c r="BH170" s="382"/>
      <c r="BI170" s="382"/>
      <c r="BJ170" s="382"/>
      <c r="BK170" s="382"/>
      <c r="BL170" s="382"/>
      <c r="BM170" s="382"/>
      <c r="BN170" s="382"/>
      <c r="BO170" s="382"/>
    </row>
    <row r="171" spans="1:67" s="88" customFormat="1" ht="10.55" customHeight="1" x14ac:dyDescent="0.2">
      <c r="A171" s="1013" t="s">
        <v>373</v>
      </c>
      <c r="B171" s="2807"/>
      <c r="C171" s="2808"/>
      <c r="D171" s="2809"/>
      <c r="E171" s="2561"/>
      <c r="F171" s="2562"/>
      <c r="G171" s="1785">
        <v>40</v>
      </c>
      <c r="H171" s="524"/>
      <c r="I171" s="1409">
        <f t="shared" si="36"/>
        <v>3.9836233162469814E-2</v>
      </c>
      <c r="J171" s="1421">
        <f t="shared" si="37"/>
        <v>0</v>
      </c>
      <c r="K171" s="678">
        <v>1.5</v>
      </c>
      <c r="L171" s="1002"/>
      <c r="M171" s="1428">
        <f t="shared" si="38"/>
        <v>0</v>
      </c>
      <c r="N171" s="1111"/>
      <c r="O171" s="674">
        <f t="shared" si="39"/>
        <v>40</v>
      </c>
      <c r="P171" s="682"/>
      <c r="Q171" s="286"/>
      <c r="R171" s="287"/>
      <c r="S171" s="280"/>
      <c r="T171" s="280"/>
      <c r="U171" s="280"/>
      <c r="V171" s="280"/>
      <c r="W171" s="280"/>
      <c r="X171" s="280"/>
      <c r="Y171" s="280"/>
      <c r="Z171" s="284"/>
      <c r="AA171" s="284"/>
      <c r="AB171" s="284"/>
      <c r="AC171" s="284"/>
      <c r="AD171" s="284"/>
      <c r="AE171" s="284"/>
      <c r="AF171" s="447"/>
      <c r="AG171" s="447"/>
      <c r="AH171" s="447"/>
      <c r="AI171" s="382"/>
      <c r="AJ171" s="382"/>
      <c r="AK171" s="382"/>
      <c r="AL171" s="382"/>
      <c r="AM171" s="382"/>
      <c r="AN171" s="382"/>
      <c r="AO171" s="382"/>
      <c r="AP171" s="382"/>
      <c r="AQ171" s="382"/>
      <c r="AR171" s="382"/>
      <c r="AS171" s="382"/>
      <c r="AT171" s="382"/>
      <c r="AU171" s="382"/>
      <c r="AV171" s="382"/>
      <c r="AW171" s="382"/>
      <c r="AX171" s="382"/>
      <c r="AY171" s="382"/>
      <c r="AZ171" s="382"/>
      <c r="BA171" s="382"/>
      <c r="BB171" s="382"/>
      <c r="BC171" s="382"/>
      <c r="BD171" s="382"/>
      <c r="BE171" s="382"/>
      <c r="BF171" s="382"/>
      <c r="BG171" s="382"/>
      <c r="BH171" s="382"/>
      <c r="BI171" s="382"/>
      <c r="BJ171" s="382"/>
      <c r="BK171" s="382"/>
      <c r="BL171" s="382"/>
      <c r="BM171" s="382"/>
      <c r="BN171" s="382"/>
      <c r="BO171" s="382"/>
    </row>
    <row r="172" spans="1:67" s="88" customFormat="1" ht="10.55" customHeight="1" x14ac:dyDescent="0.2">
      <c r="A172" s="1013" t="s">
        <v>374</v>
      </c>
      <c r="B172" s="2807"/>
      <c r="C172" s="2808"/>
      <c r="D172" s="2809"/>
      <c r="E172" s="2561"/>
      <c r="F172" s="2562"/>
      <c r="G172" s="1785">
        <v>20</v>
      </c>
      <c r="H172" s="524"/>
      <c r="I172" s="1409">
        <f t="shared" si="36"/>
        <v>6.4147128734474465E-2</v>
      </c>
      <c r="J172" s="1421">
        <f t="shared" si="37"/>
        <v>0</v>
      </c>
      <c r="K172" s="678">
        <v>1.5</v>
      </c>
      <c r="L172" s="1002"/>
      <c r="M172" s="1428">
        <f t="shared" si="38"/>
        <v>0</v>
      </c>
      <c r="N172" s="1111"/>
      <c r="O172" s="674">
        <f t="shared" si="39"/>
        <v>20</v>
      </c>
      <c r="P172" s="682"/>
      <c r="Q172" s="286"/>
      <c r="R172" s="287"/>
      <c r="S172" s="280"/>
      <c r="T172" s="280"/>
      <c r="U172" s="280"/>
      <c r="V172" s="280"/>
      <c r="W172" s="280"/>
      <c r="X172" s="280"/>
      <c r="Y172" s="280"/>
      <c r="Z172" s="284"/>
      <c r="AA172" s="284"/>
      <c r="AB172" s="284"/>
      <c r="AC172" s="284"/>
      <c r="AD172" s="284"/>
      <c r="AE172" s="284"/>
      <c r="AF172" s="447"/>
      <c r="AG172" s="447"/>
      <c r="AH172" s="447"/>
      <c r="AI172" s="382"/>
      <c r="AJ172" s="382"/>
      <c r="AK172" s="382"/>
      <c r="AL172" s="382"/>
      <c r="AM172" s="382"/>
      <c r="AN172" s="382"/>
      <c r="AO172" s="382"/>
      <c r="AP172" s="382"/>
      <c r="AQ172" s="382"/>
      <c r="AR172" s="382"/>
      <c r="AS172" s="382"/>
      <c r="AT172" s="382"/>
      <c r="AU172" s="382"/>
      <c r="AV172" s="382"/>
      <c r="AW172" s="382"/>
      <c r="AX172" s="382"/>
      <c r="AY172" s="382"/>
      <c r="AZ172" s="382"/>
      <c r="BA172" s="382"/>
      <c r="BB172" s="382"/>
      <c r="BC172" s="382"/>
      <c r="BD172" s="382"/>
      <c r="BE172" s="382"/>
      <c r="BF172" s="382"/>
      <c r="BG172" s="382"/>
      <c r="BH172" s="382"/>
      <c r="BI172" s="382"/>
      <c r="BJ172" s="382"/>
      <c r="BK172" s="382"/>
      <c r="BL172" s="382"/>
      <c r="BM172" s="382"/>
      <c r="BN172" s="382"/>
      <c r="BO172" s="382"/>
    </row>
    <row r="173" spans="1:67" s="88" customFormat="1" ht="10.55" customHeight="1" x14ac:dyDescent="0.2">
      <c r="A173" s="1013" t="s">
        <v>375</v>
      </c>
      <c r="B173" s="2807"/>
      <c r="C173" s="2808"/>
      <c r="D173" s="2809"/>
      <c r="E173" s="2561"/>
      <c r="F173" s="2562"/>
      <c r="G173" s="1785">
        <v>40</v>
      </c>
      <c r="H173" s="524"/>
      <c r="I173" s="1409">
        <f t="shared" si="36"/>
        <v>3.9836233162469814E-2</v>
      </c>
      <c r="J173" s="1421">
        <f t="shared" si="37"/>
        <v>0</v>
      </c>
      <c r="K173" s="678">
        <v>1</v>
      </c>
      <c r="L173" s="1002"/>
      <c r="M173" s="1428">
        <f t="shared" si="38"/>
        <v>0</v>
      </c>
      <c r="N173" s="1111"/>
      <c r="O173" s="674">
        <f t="shared" si="39"/>
        <v>40</v>
      </c>
      <c r="P173" s="682"/>
      <c r="Q173" s="286"/>
      <c r="R173" s="287"/>
      <c r="S173" s="280"/>
      <c r="T173" s="280"/>
      <c r="U173" s="280"/>
      <c r="V173" s="280"/>
      <c r="W173" s="280"/>
      <c r="X173" s="280"/>
      <c r="Y173" s="280"/>
      <c r="Z173" s="284"/>
      <c r="AA173" s="284"/>
      <c r="AB173" s="284"/>
      <c r="AC173" s="284"/>
      <c r="AD173" s="284"/>
      <c r="AE173" s="284"/>
      <c r="AF173" s="447"/>
      <c r="AG173" s="447"/>
      <c r="AH173" s="447"/>
      <c r="AI173" s="382"/>
      <c r="AJ173" s="382"/>
      <c r="AK173" s="382"/>
      <c r="AL173" s="382"/>
      <c r="AM173" s="382"/>
      <c r="AN173" s="382"/>
      <c r="AO173" s="382"/>
      <c r="AP173" s="382"/>
      <c r="AQ173" s="382"/>
      <c r="AR173" s="382"/>
      <c r="AS173" s="382"/>
      <c r="AT173" s="382"/>
      <c r="AU173" s="382"/>
      <c r="AV173" s="382"/>
      <c r="AW173" s="382"/>
      <c r="AX173" s="382"/>
      <c r="AY173" s="382"/>
      <c r="AZ173" s="382"/>
      <c r="BA173" s="382"/>
      <c r="BB173" s="382"/>
      <c r="BC173" s="382"/>
      <c r="BD173" s="382"/>
      <c r="BE173" s="382"/>
      <c r="BF173" s="382"/>
      <c r="BG173" s="382"/>
      <c r="BH173" s="382"/>
      <c r="BI173" s="382"/>
      <c r="BJ173" s="382"/>
      <c r="BK173" s="382"/>
      <c r="BL173" s="382"/>
      <c r="BM173" s="382"/>
      <c r="BN173" s="382"/>
      <c r="BO173" s="382"/>
    </row>
    <row r="174" spans="1:67" s="88" customFormat="1" ht="10.55" customHeight="1" x14ac:dyDescent="0.2">
      <c r="A174" s="1013" t="s">
        <v>333</v>
      </c>
      <c r="B174" s="2807"/>
      <c r="C174" s="2808"/>
      <c r="D174" s="2809"/>
      <c r="E174" s="2561"/>
      <c r="F174" s="2562"/>
      <c r="G174" s="1785">
        <v>20</v>
      </c>
      <c r="H174" s="524"/>
      <c r="I174" s="1409">
        <f t="shared" si="36"/>
        <v>6.4147128734474465E-2</v>
      </c>
      <c r="J174" s="1421">
        <f t="shared" si="37"/>
        <v>0</v>
      </c>
      <c r="K174" s="678">
        <v>8</v>
      </c>
      <c r="L174" s="1002"/>
      <c r="M174" s="1428">
        <f t="shared" si="38"/>
        <v>0</v>
      </c>
      <c r="N174" s="1111"/>
      <c r="O174" s="674">
        <f t="shared" si="39"/>
        <v>20</v>
      </c>
      <c r="P174" s="682"/>
      <c r="Q174" s="286"/>
      <c r="R174" s="287"/>
      <c r="S174" s="280"/>
      <c r="T174" s="280"/>
      <c r="U174" s="280"/>
      <c r="V174" s="280"/>
      <c r="W174" s="280"/>
      <c r="X174" s="280"/>
      <c r="Y174" s="280"/>
      <c r="Z174" s="284"/>
      <c r="AA174" s="284"/>
      <c r="AB174" s="284"/>
      <c r="AC174" s="284"/>
      <c r="AD174" s="284"/>
      <c r="AE174" s="284"/>
      <c r="AF174" s="447"/>
      <c r="AG174" s="447"/>
      <c r="AH174" s="447"/>
      <c r="AI174" s="382"/>
      <c r="AJ174" s="382"/>
      <c r="AK174" s="382"/>
      <c r="AL174" s="382"/>
      <c r="AM174" s="382"/>
      <c r="AN174" s="382"/>
      <c r="AO174" s="382"/>
      <c r="AP174" s="382"/>
      <c r="AQ174" s="382"/>
      <c r="AR174" s="382"/>
      <c r="AS174" s="382"/>
      <c r="AT174" s="382"/>
      <c r="AU174" s="382"/>
      <c r="AV174" s="382"/>
      <c r="AW174" s="382"/>
      <c r="AX174" s="382"/>
      <c r="AY174" s="382"/>
      <c r="AZ174" s="382"/>
      <c r="BA174" s="382"/>
      <c r="BB174" s="382"/>
      <c r="BC174" s="382"/>
      <c r="BD174" s="382"/>
      <c r="BE174" s="382"/>
      <c r="BF174" s="382"/>
      <c r="BG174" s="382"/>
      <c r="BH174" s="382"/>
      <c r="BI174" s="382"/>
      <c r="BJ174" s="382"/>
      <c r="BK174" s="382"/>
      <c r="BL174" s="382"/>
      <c r="BM174" s="382"/>
      <c r="BN174" s="382"/>
      <c r="BO174" s="382"/>
    </row>
    <row r="175" spans="1:67" s="88" customFormat="1" ht="10.55" customHeight="1" x14ac:dyDescent="0.2">
      <c r="A175" s="1013" t="s">
        <v>334</v>
      </c>
      <c r="B175" s="2807"/>
      <c r="C175" s="2808"/>
      <c r="D175" s="2809"/>
      <c r="E175" s="2561"/>
      <c r="F175" s="2562"/>
      <c r="G175" s="1785">
        <v>30</v>
      </c>
      <c r="H175" s="524"/>
      <c r="I175" s="1409">
        <f t="shared" si="36"/>
        <v>4.7777640736176463E-2</v>
      </c>
      <c r="J175" s="1421">
        <f t="shared" si="37"/>
        <v>0</v>
      </c>
      <c r="K175" s="678"/>
      <c r="L175" s="1002"/>
      <c r="M175" s="1428">
        <f t="shared" si="38"/>
        <v>0</v>
      </c>
      <c r="N175" s="1111"/>
      <c r="O175" s="674">
        <f t="shared" si="39"/>
        <v>30</v>
      </c>
      <c r="P175" s="682"/>
      <c r="Q175" s="286"/>
      <c r="R175" s="287"/>
      <c r="S175" s="280"/>
      <c r="T175" s="280"/>
      <c r="U175" s="280"/>
      <c r="V175" s="280"/>
      <c r="W175" s="280"/>
      <c r="X175" s="280"/>
      <c r="Y175" s="280"/>
      <c r="Z175" s="284"/>
      <c r="AA175" s="284"/>
      <c r="AB175" s="284"/>
      <c r="AC175" s="284"/>
      <c r="AD175" s="284"/>
      <c r="AE175" s="284"/>
      <c r="AF175" s="447"/>
      <c r="AG175" s="447"/>
      <c r="AH175" s="447"/>
      <c r="AI175" s="382"/>
      <c r="AJ175" s="382"/>
      <c r="AK175" s="382"/>
      <c r="AL175" s="382"/>
      <c r="AM175" s="382"/>
      <c r="AN175" s="382"/>
      <c r="AO175" s="382"/>
      <c r="AP175" s="382"/>
      <c r="AQ175" s="382"/>
      <c r="AR175" s="382"/>
      <c r="AS175" s="382"/>
      <c r="AT175" s="382"/>
      <c r="AU175" s="382"/>
      <c r="AV175" s="382"/>
      <c r="AW175" s="382"/>
      <c r="AX175" s="382"/>
      <c r="AY175" s="382"/>
      <c r="AZ175" s="382"/>
      <c r="BA175" s="382"/>
      <c r="BB175" s="382"/>
      <c r="BC175" s="382"/>
      <c r="BD175" s="382"/>
      <c r="BE175" s="382"/>
      <c r="BF175" s="382"/>
      <c r="BG175" s="382"/>
      <c r="BH175" s="382"/>
      <c r="BI175" s="382"/>
      <c r="BJ175" s="382"/>
      <c r="BK175" s="382"/>
      <c r="BL175" s="382"/>
      <c r="BM175" s="382"/>
      <c r="BN175" s="382"/>
      <c r="BO175" s="382"/>
    </row>
    <row r="176" spans="1:67" s="88" customFormat="1" ht="10.55" customHeight="1" x14ac:dyDescent="0.2">
      <c r="A176" s="675"/>
      <c r="B176" s="2807"/>
      <c r="C176" s="2808"/>
      <c r="D176" s="2809"/>
      <c r="E176" s="2561"/>
      <c r="F176" s="2562"/>
      <c r="G176" s="1015"/>
      <c r="H176" s="524"/>
      <c r="I176" s="1409">
        <f t="shared" si="36"/>
        <v>0</v>
      </c>
      <c r="J176" s="1421">
        <f t="shared" si="37"/>
        <v>0</v>
      </c>
      <c r="K176" s="679"/>
      <c r="L176" s="1002"/>
      <c r="M176" s="1428">
        <f t="shared" si="38"/>
        <v>0</v>
      </c>
      <c r="N176" s="1111"/>
      <c r="O176" s="674">
        <f t="shared" si="39"/>
        <v>0</v>
      </c>
      <c r="P176" s="682"/>
      <c r="Q176" s="286"/>
      <c r="R176" s="287"/>
      <c r="S176" s="280"/>
      <c r="T176" s="280"/>
      <c r="U176" s="280"/>
      <c r="V176" s="280"/>
      <c r="W176" s="280"/>
      <c r="X176" s="280"/>
      <c r="Y176" s="280"/>
      <c r="Z176" s="284"/>
      <c r="AA176" s="284"/>
      <c r="AB176" s="284"/>
      <c r="AC176" s="284"/>
      <c r="AD176" s="284"/>
      <c r="AE176" s="284"/>
      <c r="AF176" s="447"/>
      <c r="AG176" s="447"/>
      <c r="AH176" s="447"/>
      <c r="AI176" s="382"/>
      <c r="AJ176" s="382"/>
      <c r="AK176" s="382"/>
      <c r="AL176" s="382"/>
      <c r="AM176" s="382"/>
      <c r="AN176" s="382"/>
      <c r="AO176" s="382"/>
      <c r="AP176" s="382"/>
      <c r="AQ176" s="382"/>
      <c r="AR176" s="382"/>
      <c r="AS176" s="382"/>
      <c r="AT176" s="382"/>
      <c r="AU176" s="382"/>
      <c r="AV176" s="382"/>
      <c r="AW176" s="382"/>
      <c r="AX176" s="382"/>
      <c r="AY176" s="382"/>
      <c r="AZ176" s="382"/>
      <c r="BA176" s="382"/>
      <c r="BB176" s="382"/>
      <c r="BC176" s="382"/>
      <c r="BD176" s="382"/>
      <c r="BE176" s="382"/>
      <c r="BF176" s="382"/>
      <c r="BG176" s="382"/>
      <c r="BH176" s="382"/>
      <c r="BI176" s="382"/>
      <c r="BJ176" s="382"/>
      <c r="BK176" s="382"/>
      <c r="BL176" s="382"/>
      <c r="BM176" s="382"/>
      <c r="BN176" s="382"/>
      <c r="BO176" s="382"/>
    </row>
    <row r="177" spans="1:67" s="88" customFormat="1" ht="10.55" customHeight="1" x14ac:dyDescent="0.2">
      <c r="A177" s="675"/>
      <c r="B177" s="2807"/>
      <c r="C177" s="2808"/>
      <c r="D177" s="2809"/>
      <c r="E177" s="2561"/>
      <c r="F177" s="2562"/>
      <c r="G177" s="1015"/>
      <c r="H177" s="524"/>
      <c r="I177" s="1409">
        <f t="shared" si="36"/>
        <v>0</v>
      </c>
      <c r="J177" s="1421">
        <f t="shared" si="37"/>
        <v>0</v>
      </c>
      <c r="K177" s="679"/>
      <c r="L177" s="1002"/>
      <c r="M177" s="1428">
        <f t="shared" si="38"/>
        <v>0</v>
      </c>
      <c r="N177" s="1111"/>
      <c r="O177" s="674">
        <f t="shared" si="39"/>
        <v>0</v>
      </c>
      <c r="P177" s="682"/>
      <c r="Q177" s="286"/>
      <c r="R177" s="287"/>
      <c r="S177" s="280"/>
      <c r="T177" s="280"/>
      <c r="U177" s="280"/>
      <c r="V177" s="280"/>
      <c r="W177" s="280"/>
      <c r="X177" s="280"/>
      <c r="Y177" s="280"/>
      <c r="Z177" s="284"/>
      <c r="AA177" s="284"/>
      <c r="AB177" s="284"/>
      <c r="AC177" s="284"/>
      <c r="AD177" s="284"/>
      <c r="AE177" s="284"/>
      <c r="AF177" s="447"/>
      <c r="AG177" s="447"/>
      <c r="AH177" s="447"/>
      <c r="AI177" s="382"/>
      <c r="AJ177" s="382"/>
      <c r="AK177" s="382"/>
      <c r="AL177" s="382"/>
      <c r="AM177" s="382"/>
      <c r="AN177" s="382"/>
      <c r="AO177" s="382"/>
      <c r="AP177" s="382"/>
      <c r="AQ177" s="382"/>
      <c r="AR177" s="382"/>
      <c r="AS177" s="382"/>
      <c r="AT177" s="382"/>
      <c r="AU177" s="382"/>
      <c r="AV177" s="382"/>
      <c r="AW177" s="382"/>
      <c r="AX177" s="382"/>
      <c r="AY177" s="382"/>
      <c r="AZ177" s="382"/>
      <c r="BA177" s="382"/>
      <c r="BB177" s="382"/>
      <c r="BC177" s="382"/>
      <c r="BD177" s="382"/>
      <c r="BE177" s="382"/>
      <c r="BF177" s="382"/>
      <c r="BG177" s="382"/>
      <c r="BH177" s="382"/>
      <c r="BI177" s="382"/>
      <c r="BJ177" s="382"/>
      <c r="BK177" s="382"/>
      <c r="BL177" s="382"/>
      <c r="BM177" s="382"/>
      <c r="BN177" s="382"/>
      <c r="BO177" s="382"/>
    </row>
    <row r="178" spans="1:67" s="88" customFormat="1" ht="10.55" customHeight="1" x14ac:dyDescent="0.2">
      <c r="A178" s="675"/>
      <c r="B178" s="2807"/>
      <c r="C178" s="2808"/>
      <c r="D178" s="2809"/>
      <c r="E178" s="2561"/>
      <c r="F178" s="2562"/>
      <c r="G178" s="1015"/>
      <c r="H178" s="524"/>
      <c r="I178" s="1409">
        <f t="shared" si="36"/>
        <v>0</v>
      </c>
      <c r="J178" s="1421">
        <f t="shared" si="37"/>
        <v>0</v>
      </c>
      <c r="K178" s="679"/>
      <c r="L178" s="1002"/>
      <c r="M178" s="1428">
        <f t="shared" si="38"/>
        <v>0</v>
      </c>
      <c r="N178" s="1111"/>
      <c r="O178" s="674">
        <f t="shared" si="39"/>
        <v>0</v>
      </c>
      <c r="P178" s="682"/>
      <c r="Q178" s="286"/>
      <c r="R178" s="287"/>
      <c r="S178" s="280"/>
      <c r="T178" s="280"/>
      <c r="U178" s="280"/>
      <c r="V178" s="280"/>
      <c r="W178" s="280"/>
      <c r="X178" s="280"/>
      <c r="Y178" s="280"/>
      <c r="Z178" s="284"/>
      <c r="AA178" s="284"/>
      <c r="AB178" s="284"/>
      <c r="AC178" s="284"/>
      <c r="AD178" s="284"/>
      <c r="AE178" s="284"/>
      <c r="AF178" s="447"/>
      <c r="AG178" s="447"/>
      <c r="AH178" s="447"/>
      <c r="AI178" s="382"/>
      <c r="AJ178" s="382"/>
      <c r="AK178" s="382"/>
      <c r="AL178" s="382"/>
      <c r="AM178" s="382"/>
      <c r="AN178" s="382"/>
      <c r="AO178" s="382"/>
      <c r="AP178" s="382"/>
      <c r="AQ178" s="382"/>
      <c r="AR178" s="382"/>
      <c r="AS178" s="382"/>
      <c r="AT178" s="382"/>
      <c r="AU178" s="382"/>
      <c r="AV178" s="382"/>
      <c r="AW178" s="382"/>
      <c r="AX178" s="382"/>
      <c r="AY178" s="382"/>
      <c r="AZ178" s="382"/>
      <c r="BA178" s="382"/>
      <c r="BB178" s="382"/>
      <c r="BC178" s="382"/>
      <c r="BD178" s="382"/>
      <c r="BE178" s="382"/>
      <c r="BF178" s="382"/>
      <c r="BG178" s="382"/>
      <c r="BH178" s="382"/>
      <c r="BI178" s="382"/>
      <c r="BJ178" s="382"/>
      <c r="BK178" s="382"/>
      <c r="BL178" s="382"/>
      <c r="BM178" s="382"/>
      <c r="BN178" s="382"/>
      <c r="BO178" s="382"/>
    </row>
    <row r="179" spans="1:67" s="88" customFormat="1" ht="10.55" customHeight="1" x14ac:dyDescent="0.2">
      <c r="A179" s="675"/>
      <c r="B179" s="2807"/>
      <c r="C179" s="2808"/>
      <c r="D179" s="2809"/>
      <c r="E179" s="2561"/>
      <c r="F179" s="2562"/>
      <c r="G179" s="1015"/>
      <c r="H179" s="524"/>
      <c r="I179" s="1409">
        <f t="shared" si="36"/>
        <v>0</v>
      </c>
      <c r="J179" s="1421">
        <f t="shared" si="37"/>
        <v>0</v>
      </c>
      <c r="K179" s="679"/>
      <c r="L179" s="1002"/>
      <c r="M179" s="1428">
        <f t="shared" si="38"/>
        <v>0</v>
      </c>
      <c r="N179" s="1111"/>
      <c r="O179" s="674">
        <f t="shared" si="39"/>
        <v>0</v>
      </c>
      <c r="P179" s="682"/>
      <c r="Q179" s="286"/>
      <c r="R179" s="287"/>
      <c r="S179" s="280"/>
      <c r="T179" s="280"/>
      <c r="U179" s="280"/>
      <c r="V179" s="280"/>
      <c r="W179" s="280"/>
      <c r="X179" s="280"/>
      <c r="Y179" s="280"/>
      <c r="Z179" s="284"/>
      <c r="AA179" s="284"/>
      <c r="AB179" s="284"/>
      <c r="AC179" s="284"/>
      <c r="AD179" s="284"/>
      <c r="AE179" s="284"/>
      <c r="AF179" s="447"/>
      <c r="AG179" s="447"/>
      <c r="AH179" s="447"/>
      <c r="AI179" s="382"/>
      <c r="AJ179" s="382"/>
      <c r="AK179" s="382"/>
      <c r="AL179" s="382"/>
      <c r="AM179" s="382"/>
      <c r="AN179" s="382"/>
      <c r="AO179" s="382"/>
      <c r="AP179" s="382"/>
      <c r="AQ179" s="382"/>
      <c r="AR179" s="382"/>
      <c r="AS179" s="382"/>
      <c r="AT179" s="382"/>
      <c r="AU179" s="382"/>
      <c r="AV179" s="382"/>
      <c r="AW179" s="382"/>
      <c r="AX179" s="382"/>
      <c r="AY179" s="382"/>
      <c r="AZ179" s="382"/>
      <c r="BA179" s="382"/>
      <c r="BB179" s="382"/>
      <c r="BC179" s="382"/>
      <c r="BD179" s="382"/>
      <c r="BE179" s="382"/>
      <c r="BF179" s="382"/>
      <c r="BG179" s="382"/>
      <c r="BH179" s="382"/>
      <c r="BI179" s="382"/>
      <c r="BJ179" s="382"/>
      <c r="BK179" s="382"/>
      <c r="BL179" s="382"/>
      <c r="BM179" s="382"/>
      <c r="BN179" s="382"/>
      <c r="BO179" s="382"/>
    </row>
    <row r="180" spans="1:67" s="88" customFormat="1" ht="10.55" customHeight="1" x14ac:dyDescent="0.2">
      <c r="A180" s="1017"/>
      <c r="B180" s="2804"/>
      <c r="C180" s="2805"/>
      <c r="D180" s="2806"/>
      <c r="E180" s="2793"/>
      <c r="F180" s="2794"/>
      <c r="G180" s="1018"/>
      <c r="H180" s="1019"/>
      <c r="I180" s="1436">
        <f t="shared" si="36"/>
        <v>0</v>
      </c>
      <c r="J180" s="1422"/>
      <c r="K180" s="680"/>
      <c r="L180" s="1020"/>
      <c r="M180" s="1429">
        <f t="shared" si="38"/>
        <v>0</v>
      </c>
      <c r="N180" s="1111"/>
      <c r="O180" s="674">
        <f t="shared" si="39"/>
        <v>0</v>
      </c>
      <c r="P180" s="682"/>
      <c r="Q180" s="286"/>
      <c r="R180" s="287"/>
      <c r="S180" s="280"/>
      <c r="T180" s="280"/>
      <c r="U180" s="280"/>
      <c r="V180" s="280"/>
      <c r="W180" s="280"/>
      <c r="X180" s="280"/>
      <c r="Y180" s="280"/>
      <c r="Z180" s="284"/>
      <c r="AA180" s="284"/>
      <c r="AB180" s="284"/>
      <c r="AC180" s="284"/>
      <c r="AD180" s="284"/>
      <c r="AE180" s="284"/>
      <c r="AF180" s="447"/>
      <c r="AG180" s="447"/>
      <c r="AH180" s="447"/>
      <c r="AI180" s="382"/>
      <c r="AJ180" s="382"/>
      <c r="AK180" s="382"/>
      <c r="AL180" s="382"/>
      <c r="AM180" s="382"/>
      <c r="AN180" s="382"/>
      <c r="AO180" s="382"/>
      <c r="AP180" s="382"/>
      <c r="AQ180" s="382"/>
      <c r="AR180" s="382"/>
      <c r="AS180" s="382"/>
      <c r="AT180" s="382"/>
      <c r="AU180" s="382"/>
      <c r="AV180" s="382"/>
      <c r="AW180" s="382"/>
      <c r="AX180" s="382"/>
      <c r="AY180" s="382"/>
      <c r="AZ180" s="382"/>
      <c r="BA180" s="382"/>
      <c r="BB180" s="382"/>
      <c r="BC180" s="382"/>
      <c r="BD180" s="382"/>
      <c r="BE180" s="382"/>
      <c r="BF180" s="382"/>
      <c r="BG180" s="382"/>
      <c r="BH180" s="382"/>
      <c r="BI180" s="382"/>
      <c r="BJ180" s="382"/>
      <c r="BK180" s="382"/>
      <c r="BL180" s="382"/>
      <c r="BM180" s="382"/>
      <c r="BN180" s="382"/>
      <c r="BO180" s="382"/>
    </row>
    <row r="181" spans="1:67" s="88" customFormat="1" ht="10.55" customHeight="1" x14ac:dyDescent="0.2">
      <c r="A181" s="1122" t="s">
        <v>376</v>
      </c>
      <c r="B181" s="2783"/>
      <c r="C181" s="2784"/>
      <c r="D181" s="2785"/>
      <c r="E181" s="2810">
        <f>SUM(E182:E194)</f>
        <v>0</v>
      </c>
      <c r="F181" s="2811"/>
      <c r="G181" s="2747"/>
      <c r="H181" s="2748"/>
      <c r="I181" s="1435">
        <f>IF(E181=0,0,J181/E181)</f>
        <v>0</v>
      </c>
      <c r="J181" s="1423">
        <f>SUM(J182:J194)</f>
        <v>0</v>
      </c>
      <c r="K181" s="2749">
        <f>IF(E181=0,0,M181/E181*100)</f>
        <v>0</v>
      </c>
      <c r="L181" s="2750"/>
      <c r="M181" s="1430">
        <f>SUM(M182:M194)</f>
        <v>0</v>
      </c>
      <c r="N181" s="1111"/>
      <c r="O181" s="387">
        <f>IF(H181="",G181,H181)</f>
        <v>0</v>
      </c>
      <c r="P181" s="682"/>
      <c r="Q181" s="286"/>
      <c r="R181" s="287"/>
      <c r="S181" s="280"/>
      <c r="T181" s="280"/>
      <c r="U181" s="280"/>
      <c r="V181" s="280"/>
      <c r="W181" s="280"/>
      <c r="X181" s="280"/>
      <c r="Y181" s="280"/>
      <c r="Z181" s="284"/>
      <c r="AA181" s="284"/>
      <c r="AB181" s="284"/>
      <c r="AC181" s="284"/>
      <c r="AD181" s="284"/>
      <c r="AE181" s="284"/>
      <c r="AF181" s="447"/>
      <c r="AG181" s="447"/>
      <c r="AH181" s="447"/>
      <c r="AI181" s="382"/>
      <c r="AJ181" s="382"/>
      <c r="AK181" s="382"/>
      <c r="AL181" s="382"/>
      <c r="AM181" s="382"/>
      <c r="AN181" s="382"/>
      <c r="AO181" s="382"/>
      <c r="AP181" s="382"/>
      <c r="AQ181" s="382"/>
      <c r="AR181" s="382"/>
      <c r="AS181" s="382"/>
      <c r="AT181" s="382"/>
      <c r="AU181" s="382"/>
      <c r="AV181" s="382"/>
      <c r="AW181" s="382"/>
      <c r="AX181" s="382"/>
      <c r="AY181" s="382"/>
      <c r="AZ181" s="382"/>
      <c r="BA181" s="382"/>
      <c r="BB181" s="382"/>
      <c r="BC181" s="382"/>
      <c r="BD181" s="382"/>
      <c r="BE181" s="382"/>
      <c r="BF181" s="382"/>
      <c r="BG181" s="382"/>
      <c r="BH181" s="382"/>
      <c r="BI181" s="382"/>
      <c r="BJ181" s="382"/>
      <c r="BK181" s="382"/>
      <c r="BL181" s="382"/>
      <c r="BM181" s="382"/>
      <c r="BN181" s="382"/>
      <c r="BO181" s="382"/>
    </row>
    <row r="182" spans="1:67" s="88" customFormat="1" ht="10.55" customHeight="1" x14ac:dyDescent="0.2">
      <c r="A182" s="1013" t="s">
        <v>836</v>
      </c>
      <c r="B182" s="2790"/>
      <c r="C182" s="2791"/>
      <c r="D182" s="2792"/>
      <c r="E182" s="2734"/>
      <c r="F182" s="2735"/>
      <c r="G182" s="1785">
        <v>25</v>
      </c>
      <c r="H182" s="524"/>
      <c r="I182" s="1409">
        <f t="shared" ref="I182:I195" si="40">IF($O182&gt;0,-PMT(($I$9),$O182,1),0)</f>
        <v>5.4275921045792611E-2</v>
      </c>
      <c r="J182" s="1421">
        <f t="shared" ref="J182:J194" si="41">ROUND(E182*I182,0)</f>
        <v>0</v>
      </c>
      <c r="K182" s="678">
        <v>4</v>
      </c>
      <c r="L182" s="1002"/>
      <c r="M182" s="1428">
        <f t="shared" ref="M182:M195" si="42">ROUND(E182/100*IF(ISBLANK(L182),K182,L182),0)</f>
        <v>0</v>
      </c>
      <c r="N182" s="1111"/>
      <c r="O182" s="674">
        <f t="shared" ref="O182:O195" si="43">IF(ISBLANK(H182),G182,H182)</f>
        <v>25</v>
      </c>
      <c r="P182" s="682"/>
      <c r="Q182" s="286"/>
      <c r="R182" s="287"/>
      <c r="S182" s="280"/>
      <c r="T182" s="280"/>
      <c r="U182" s="280"/>
      <c r="V182" s="280"/>
      <c r="W182" s="280"/>
      <c r="X182" s="280"/>
      <c r="Y182" s="280"/>
      <c r="Z182" s="284"/>
      <c r="AA182" s="284"/>
      <c r="AB182" s="284"/>
      <c r="AC182" s="284"/>
      <c r="AD182" s="284"/>
      <c r="AE182" s="284"/>
      <c r="AF182" s="447"/>
      <c r="AG182" s="447"/>
      <c r="AH182" s="447"/>
      <c r="AI182" s="382"/>
      <c r="AJ182" s="382"/>
      <c r="AK182" s="382"/>
      <c r="AL182" s="382"/>
      <c r="AM182" s="382"/>
      <c r="AN182" s="382"/>
      <c r="AO182" s="382"/>
      <c r="AP182" s="382"/>
      <c r="AQ182" s="382"/>
      <c r="AR182" s="382"/>
      <c r="AS182" s="382"/>
      <c r="AT182" s="382"/>
      <c r="AU182" s="382"/>
      <c r="AV182" s="382"/>
      <c r="AW182" s="382"/>
      <c r="AX182" s="382"/>
      <c r="AY182" s="382"/>
      <c r="AZ182" s="382"/>
      <c r="BA182" s="382"/>
      <c r="BB182" s="382"/>
      <c r="BC182" s="382"/>
      <c r="BD182" s="382"/>
      <c r="BE182" s="382"/>
      <c r="BF182" s="382"/>
      <c r="BG182" s="382"/>
      <c r="BH182" s="382"/>
      <c r="BI182" s="382"/>
      <c r="BJ182" s="382"/>
      <c r="BK182" s="382"/>
      <c r="BL182" s="382"/>
      <c r="BM182" s="382"/>
      <c r="BN182" s="382"/>
      <c r="BO182" s="382"/>
    </row>
    <row r="183" spans="1:67" s="88" customFormat="1" ht="10.55" customHeight="1" x14ac:dyDescent="0.2">
      <c r="A183" s="1013" t="s">
        <v>377</v>
      </c>
      <c r="B183" s="2807"/>
      <c r="C183" s="2808"/>
      <c r="D183" s="2809"/>
      <c r="E183" s="2561"/>
      <c r="F183" s="2562"/>
      <c r="G183" s="1785">
        <v>25</v>
      </c>
      <c r="H183" s="524"/>
      <c r="I183" s="1409">
        <f t="shared" si="40"/>
        <v>5.4275921045792611E-2</v>
      </c>
      <c r="J183" s="1421">
        <f t="shared" si="41"/>
        <v>0</v>
      </c>
      <c r="K183" s="678">
        <v>2</v>
      </c>
      <c r="L183" s="1002"/>
      <c r="M183" s="1428">
        <f t="shared" si="42"/>
        <v>0</v>
      </c>
      <c r="N183" s="1111"/>
      <c r="O183" s="674">
        <f t="shared" si="43"/>
        <v>25</v>
      </c>
      <c r="P183" s="682"/>
      <c r="Q183" s="286"/>
      <c r="R183" s="287"/>
      <c r="S183" s="280"/>
      <c r="T183" s="280"/>
      <c r="U183" s="280"/>
      <c r="V183" s="280"/>
      <c r="W183" s="280"/>
      <c r="X183" s="280"/>
      <c r="Y183" s="280"/>
      <c r="Z183" s="284"/>
      <c r="AA183" s="284"/>
      <c r="AB183" s="284"/>
      <c r="AC183" s="284"/>
      <c r="AD183" s="284"/>
      <c r="AE183" s="284"/>
      <c r="AF183" s="447"/>
      <c r="AG183" s="447"/>
      <c r="AH183" s="447"/>
      <c r="AI183" s="382"/>
      <c r="AJ183" s="382"/>
      <c r="AK183" s="382"/>
      <c r="AL183" s="382"/>
      <c r="AM183" s="382"/>
      <c r="AN183" s="382"/>
      <c r="AO183" s="382"/>
      <c r="AP183" s="382"/>
      <c r="AQ183" s="382"/>
      <c r="AR183" s="382"/>
      <c r="AS183" s="382"/>
      <c r="AT183" s="382"/>
      <c r="AU183" s="382"/>
      <c r="AV183" s="382"/>
      <c r="AW183" s="382"/>
      <c r="AX183" s="382"/>
      <c r="AY183" s="382"/>
      <c r="AZ183" s="382"/>
      <c r="BA183" s="382"/>
      <c r="BB183" s="382"/>
      <c r="BC183" s="382"/>
      <c r="BD183" s="382"/>
      <c r="BE183" s="382"/>
      <c r="BF183" s="382"/>
      <c r="BG183" s="382"/>
      <c r="BH183" s="382"/>
      <c r="BI183" s="382"/>
      <c r="BJ183" s="382"/>
      <c r="BK183" s="382"/>
      <c r="BL183" s="382"/>
      <c r="BM183" s="382"/>
      <c r="BN183" s="382"/>
      <c r="BO183" s="382"/>
    </row>
    <row r="184" spans="1:67" s="88" customFormat="1" ht="10.55" customHeight="1" x14ac:dyDescent="0.2">
      <c r="A184" s="1013" t="s">
        <v>378</v>
      </c>
      <c r="B184" s="2807"/>
      <c r="C184" s="2808"/>
      <c r="D184" s="2809"/>
      <c r="E184" s="2561"/>
      <c r="F184" s="2562"/>
      <c r="G184" s="1785">
        <v>15</v>
      </c>
      <c r="H184" s="524"/>
      <c r="I184" s="1409">
        <f t="shared" si="40"/>
        <v>8.0766456051533542E-2</v>
      </c>
      <c r="J184" s="1421">
        <f t="shared" si="41"/>
        <v>0</v>
      </c>
      <c r="K184" s="678">
        <v>1</v>
      </c>
      <c r="L184" s="1002"/>
      <c r="M184" s="1428">
        <f t="shared" si="42"/>
        <v>0</v>
      </c>
      <c r="N184" s="1111"/>
      <c r="O184" s="674">
        <f t="shared" si="43"/>
        <v>15</v>
      </c>
      <c r="P184" s="682"/>
      <c r="Q184" s="286"/>
      <c r="R184" s="287"/>
      <c r="S184" s="280"/>
      <c r="T184" s="280"/>
      <c r="U184" s="280"/>
      <c r="V184" s="280"/>
      <c r="W184" s="280"/>
      <c r="X184" s="280"/>
      <c r="Y184" s="280"/>
      <c r="Z184" s="284"/>
      <c r="AA184" s="284"/>
      <c r="AB184" s="284"/>
      <c r="AC184" s="284"/>
      <c r="AD184" s="284"/>
      <c r="AE184" s="284"/>
      <c r="AF184" s="447"/>
      <c r="AG184" s="447"/>
      <c r="AH184" s="447"/>
      <c r="AI184" s="382"/>
      <c r="AJ184" s="382"/>
      <c r="AK184" s="382"/>
      <c r="AL184" s="382"/>
      <c r="AM184" s="382"/>
      <c r="AN184" s="382"/>
      <c r="AO184" s="382"/>
      <c r="AP184" s="382"/>
      <c r="AQ184" s="382"/>
      <c r="AR184" s="382"/>
      <c r="AS184" s="382"/>
      <c r="AT184" s="382"/>
      <c r="AU184" s="382"/>
      <c r="AV184" s="382"/>
      <c r="AW184" s="382"/>
      <c r="AX184" s="382"/>
      <c r="AY184" s="382"/>
      <c r="AZ184" s="382"/>
      <c r="BA184" s="382"/>
      <c r="BB184" s="382"/>
      <c r="BC184" s="382"/>
      <c r="BD184" s="382"/>
      <c r="BE184" s="382"/>
      <c r="BF184" s="382"/>
      <c r="BG184" s="382"/>
      <c r="BH184" s="382"/>
      <c r="BI184" s="382"/>
      <c r="BJ184" s="382"/>
      <c r="BK184" s="382"/>
      <c r="BL184" s="382"/>
      <c r="BM184" s="382"/>
      <c r="BN184" s="382"/>
      <c r="BO184" s="382"/>
    </row>
    <row r="185" spans="1:67" s="88" customFormat="1" ht="10.55" customHeight="1" x14ac:dyDescent="0.2">
      <c r="A185" s="1013" t="s">
        <v>379</v>
      </c>
      <c r="B185" s="2807"/>
      <c r="C185" s="2808"/>
      <c r="D185" s="2809"/>
      <c r="E185" s="2561"/>
      <c r="F185" s="2562"/>
      <c r="G185" s="1785">
        <v>40</v>
      </c>
      <c r="H185" s="524"/>
      <c r="I185" s="1409">
        <f t="shared" si="40"/>
        <v>3.9836233162469814E-2</v>
      </c>
      <c r="J185" s="1421">
        <f t="shared" si="41"/>
        <v>0</v>
      </c>
      <c r="K185" s="678">
        <v>1</v>
      </c>
      <c r="L185" s="1002"/>
      <c r="M185" s="1428">
        <f t="shared" si="42"/>
        <v>0</v>
      </c>
      <c r="N185" s="1111"/>
      <c r="O185" s="674">
        <f t="shared" si="43"/>
        <v>40</v>
      </c>
      <c r="P185" s="682"/>
      <c r="Q185" s="286"/>
      <c r="R185" s="287"/>
      <c r="S185" s="280"/>
      <c r="T185" s="280"/>
      <c r="U185" s="280"/>
      <c r="V185" s="280"/>
      <c r="W185" s="280"/>
      <c r="X185" s="280"/>
      <c r="Y185" s="280"/>
      <c r="Z185" s="284"/>
      <c r="AA185" s="284"/>
      <c r="AB185" s="284"/>
      <c r="AC185" s="284"/>
      <c r="AD185" s="284"/>
      <c r="AE185" s="284"/>
      <c r="AF185" s="447"/>
      <c r="AG185" s="447"/>
      <c r="AH185" s="447"/>
      <c r="AI185" s="382"/>
      <c r="AJ185" s="382"/>
      <c r="AK185" s="382"/>
      <c r="AL185" s="382"/>
      <c r="AM185" s="382"/>
      <c r="AN185" s="382"/>
      <c r="AO185" s="382"/>
      <c r="AP185" s="382"/>
      <c r="AQ185" s="382"/>
      <c r="AR185" s="382"/>
      <c r="AS185" s="382"/>
      <c r="AT185" s="382"/>
      <c r="AU185" s="382"/>
      <c r="AV185" s="382"/>
      <c r="AW185" s="382"/>
      <c r="AX185" s="382"/>
      <c r="AY185" s="382"/>
      <c r="AZ185" s="382"/>
      <c r="BA185" s="382"/>
      <c r="BB185" s="382"/>
      <c r="BC185" s="382"/>
      <c r="BD185" s="382"/>
      <c r="BE185" s="382"/>
      <c r="BF185" s="382"/>
      <c r="BG185" s="382"/>
      <c r="BH185" s="382"/>
      <c r="BI185" s="382"/>
      <c r="BJ185" s="382"/>
      <c r="BK185" s="382"/>
      <c r="BL185" s="382"/>
      <c r="BM185" s="382"/>
      <c r="BN185" s="382"/>
      <c r="BO185" s="382"/>
    </row>
    <row r="186" spans="1:67" s="88" customFormat="1" ht="10.55" customHeight="1" x14ac:dyDescent="0.2">
      <c r="A186" s="1013" t="s">
        <v>334</v>
      </c>
      <c r="B186" s="2807"/>
      <c r="C186" s="2808"/>
      <c r="D186" s="2809"/>
      <c r="E186" s="2561"/>
      <c r="F186" s="2562"/>
      <c r="G186" s="1785">
        <v>30</v>
      </c>
      <c r="H186" s="524"/>
      <c r="I186" s="1409">
        <f t="shared" si="40"/>
        <v>4.7777640736176463E-2</v>
      </c>
      <c r="J186" s="1421">
        <f t="shared" si="41"/>
        <v>0</v>
      </c>
      <c r="K186" s="678"/>
      <c r="L186" s="1002"/>
      <c r="M186" s="1428">
        <f t="shared" si="42"/>
        <v>0</v>
      </c>
      <c r="N186" s="1111"/>
      <c r="O186" s="674">
        <f t="shared" si="43"/>
        <v>30</v>
      </c>
      <c r="P186" s="682"/>
      <c r="Q186" s="286"/>
      <c r="R186" s="287"/>
      <c r="S186" s="280"/>
      <c r="T186" s="280"/>
      <c r="U186" s="280"/>
      <c r="V186" s="280"/>
      <c r="W186" s="280"/>
      <c r="X186" s="280"/>
      <c r="Y186" s="280"/>
      <c r="Z186" s="284"/>
      <c r="AA186" s="284"/>
      <c r="AB186" s="284"/>
      <c r="AC186" s="284"/>
      <c r="AD186" s="284"/>
      <c r="AE186" s="284"/>
      <c r="AF186" s="447"/>
      <c r="AG186" s="447"/>
      <c r="AH186" s="447"/>
      <c r="AI186" s="382"/>
      <c r="AJ186" s="382"/>
      <c r="AK186" s="382"/>
      <c r="AL186" s="382"/>
      <c r="AM186" s="382"/>
      <c r="AN186" s="382"/>
      <c r="AO186" s="382"/>
      <c r="AP186" s="382"/>
      <c r="AQ186" s="382"/>
      <c r="AR186" s="382"/>
      <c r="AS186" s="382"/>
      <c r="AT186" s="382"/>
      <c r="AU186" s="382"/>
      <c r="AV186" s="382"/>
      <c r="AW186" s="382"/>
      <c r="AX186" s="382"/>
      <c r="AY186" s="382"/>
      <c r="AZ186" s="382"/>
      <c r="BA186" s="382"/>
      <c r="BB186" s="382"/>
      <c r="BC186" s="382"/>
      <c r="BD186" s="382"/>
      <c r="BE186" s="382"/>
      <c r="BF186" s="382"/>
      <c r="BG186" s="382"/>
      <c r="BH186" s="382"/>
      <c r="BI186" s="382"/>
      <c r="BJ186" s="382"/>
      <c r="BK186" s="382"/>
      <c r="BL186" s="382"/>
      <c r="BM186" s="382"/>
      <c r="BN186" s="382"/>
      <c r="BO186" s="382"/>
    </row>
    <row r="187" spans="1:67" s="88" customFormat="1" ht="10.55" customHeight="1" x14ac:dyDescent="0.2">
      <c r="A187" s="675"/>
      <c r="B187" s="2807"/>
      <c r="C187" s="2808"/>
      <c r="D187" s="2809"/>
      <c r="E187" s="2561"/>
      <c r="F187" s="2562"/>
      <c r="G187" s="1015"/>
      <c r="H187" s="524"/>
      <c r="I187" s="1409">
        <f t="shared" si="40"/>
        <v>0</v>
      </c>
      <c r="J187" s="1421">
        <f t="shared" si="41"/>
        <v>0</v>
      </c>
      <c r="K187" s="679"/>
      <c r="L187" s="1002"/>
      <c r="M187" s="1428">
        <f t="shared" si="42"/>
        <v>0</v>
      </c>
      <c r="N187" s="1111"/>
      <c r="O187" s="674">
        <f t="shared" si="43"/>
        <v>0</v>
      </c>
      <c r="P187" s="682"/>
      <c r="Q187" s="286"/>
      <c r="R187" s="287"/>
      <c r="S187" s="280"/>
      <c r="T187" s="280"/>
      <c r="U187" s="280"/>
      <c r="V187" s="280"/>
      <c r="W187" s="280"/>
      <c r="X187" s="280"/>
      <c r="Y187" s="280"/>
      <c r="Z187" s="284"/>
      <c r="AA187" s="284"/>
      <c r="AB187" s="284"/>
      <c r="AC187" s="284"/>
      <c r="AD187" s="284"/>
      <c r="AE187" s="284"/>
      <c r="AF187" s="447"/>
      <c r="AG187" s="447"/>
      <c r="AH187" s="447"/>
      <c r="AI187" s="382"/>
      <c r="AJ187" s="382"/>
      <c r="AK187" s="382"/>
      <c r="AL187" s="382"/>
      <c r="AM187" s="382"/>
      <c r="AN187" s="382"/>
      <c r="AO187" s="382"/>
      <c r="AP187" s="382"/>
      <c r="AQ187" s="382"/>
      <c r="AR187" s="382"/>
      <c r="AS187" s="382"/>
      <c r="AT187" s="382"/>
      <c r="AU187" s="382"/>
      <c r="AV187" s="382"/>
      <c r="AW187" s="382"/>
      <c r="AX187" s="382"/>
      <c r="AY187" s="382"/>
      <c r="AZ187" s="382"/>
      <c r="BA187" s="382"/>
      <c r="BB187" s="382"/>
      <c r="BC187" s="382"/>
      <c r="BD187" s="382"/>
      <c r="BE187" s="382"/>
      <c r="BF187" s="382"/>
      <c r="BG187" s="382"/>
      <c r="BH187" s="382"/>
      <c r="BI187" s="382"/>
      <c r="BJ187" s="382"/>
      <c r="BK187" s="382"/>
      <c r="BL187" s="382"/>
      <c r="BM187" s="382"/>
      <c r="BN187" s="382"/>
      <c r="BO187" s="382"/>
    </row>
    <row r="188" spans="1:67" s="88" customFormat="1" ht="10.55" customHeight="1" x14ac:dyDescent="0.2">
      <c r="A188" s="675"/>
      <c r="B188" s="2807"/>
      <c r="C188" s="2808"/>
      <c r="D188" s="2809"/>
      <c r="E188" s="2561"/>
      <c r="F188" s="2562"/>
      <c r="G188" s="1015"/>
      <c r="H188" s="524"/>
      <c r="I188" s="1409">
        <f t="shared" si="40"/>
        <v>0</v>
      </c>
      <c r="J188" s="1421">
        <f t="shared" si="41"/>
        <v>0</v>
      </c>
      <c r="K188" s="679"/>
      <c r="L188" s="1002"/>
      <c r="M188" s="1428">
        <f t="shared" si="42"/>
        <v>0</v>
      </c>
      <c r="N188" s="1111"/>
      <c r="O188" s="674">
        <f t="shared" si="43"/>
        <v>0</v>
      </c>
      <c r="P188" s="682"/>
      <c r="Q188" s="286"/>
      <c r="R188" s="287"/>
      <c r="S188" s="280"/>
      <c r="T188" s="280"/>
      <c r="U188" s="280"/>
      <c r="V188" s="280"/>
      <c r="W188" s="280"/>
      <c r="X188" s="280"/>
      <c r="Y188" s="280"/>
      <c r="Z188" s="284"/>
      <c r="AA188" s="284"/>
      <c r="AB188" s="284"/>
      <c r="AC188" s="284"/>
      <c r="AD188" s="284"/>
      <c r="AE188" s="284"/>
      <c r="AF188" s="447"/>
      <c r="AG188" s="447"/>
      <c r="AH188" s="447"/>
      <c r="AI188" s="382"/>
      <c r="AJ188" s="382"/>
      <c r="AK188" s="382"/>
      <c r="AL188" s="382"/>
      <c r="AM188" s="382"/>
      <c r="AN188" s="382"/>
      <c r="AO188" s="382"/>
      <c r="AP188" s="382"/>
      <c r="AQ188" s="382"/>
      <c r="AR188" s="382"/>
      <c r="AS188" s="382"/>
      <c r="AT188" s="382"/>
      <c r="AU188" s="382"/>
      <c r="AV188" s="382"/>
      <c r="AW188" s="382"/>
      <c r="AX188" s="382"/>
      <c r="AY188" s="382"/>
      <c r="AZ188" s="382"/>
      <c r="BA188" s="382"/>
      <c r="BB188" s="382"/>
      <c r="BC188" s="382"/>
      <c r="BD188" s="382"/>
      <c r="BE188" s="382"/>
      <c r="BF188" s="382"/>
      <c r="BG188" s="382"/>
      <c r="BH188" s="382"/>
      <c r="BI188" s="382"/>
      <c r="BJ188" s="382"/>
      <c r="BK188" s="382"/>
      <c r="BL188" s="382"/>
      <c r="BM188" s="382"/>
      <c r="BN188" s="382"/>
      <c r="BO188" s="382"/>
    </row>
    <row r="189" spans="1:67" s="88" customFormat="1" ht="10.55" customHeight="1" x14ac:dyDescent="0.2">
      <c r="A189" s="675"/>
      <c r="B189" s="2807"/>
      <c r="C189" s="2808"/>
      <c r="D189" s="2809"/>
      <c r="E189" s="2561"/>
      <c r="F189" s="2562"/>
      <c r="G189" s="1015"/>
      <c r="H189" s="524"/>
      <c r="I189" s="1409">
        <f t="shared" si="40"/>
        <v>0</v>
      </c>
      <c r="J189" s="1421">
        <f t="shared" si="41"/>
        <v>0</v>
      </c>
      <c r="K189" s="679"/>
      <c r="L189" s="1002"/>
      <c r="M189" s="1428">
        <f t="shared" si="42"/>
        <v>0</v>
      </c>
      <c r="N189" s="1111"/>
      <c r="O189" s="674">
        <f t="shared" si="43"/>
        <v>0</v>
      </c>
      <c r="P189" s="682"/>
      <c r="Q189" s="286"/>
      <c r="R189" s="287"/>
      <c r="S189" s="280"/>
      <c r="T189" s="280"/>
      <c r="U189" s="280"/>
      <c r="V189" s="280"/>
      <c r="W189" s="280"/>
      <c r="X189" s="280"/>
      <c r="Y189" s="280"/>
      <c r="Z189" s="284"/>
      <c r="AA189" s="284"/>
      <c r="AB189" s="284"/>
      <c r="AC189" s="284"/>
      <c r="AD189" s="284"/>
      <c r="AE189" s="284"/>
      <c r="AF189" s="447"/>
      <c r="AG189" s="447"/>
      <c r="AH189" s="447"/>
      <c r="AI189" s="382"/>
      <c r="AJ189" s="382"/>
      <c r="AK189" s="382"/>
      <c r="AL189" s="382"/>
      <c r="AM189" s="382"/>
      <c r="AN189" s="382"/>
      <c r="AO189" s="382"/>
      <c r="AP189" s="382"/>
      <c r="AQ189" s="382"/>
      <c r="AR189" s="382"/>
      <c r="AS189" s="382"/>
      <c r="AT189" s="382"/>
      <c r="AU189" s="382"/>
      <c r="AV189" s="382"/>
      <c r="AW189" s="382"/>
      <c r="AX189" s="382"/>
      <c r="AY189" s="382"/>
      <c r="AZ189" s="382"/>
      <c r="BA189" s="382"/>
      <c r="BB189" s="382"/>
      <c r="BC189" s="382"/>
      <c r="BD189" s="382"/>
      <c r="BE189" s="382"/>
      <c r="BF189" s="382"/>
      <c r="BG189" s="382"/>
      <c r="BH189" s="382"/>
      <c r="BI189" s="382"/>
      <c r="BJ189" s="382"/>
      <c r="BK189" s="382"/>
      <c r="BL189" s="382"/>
      <c r="BM189" s="382"/>
      <c r="BN189" s="382"/>
      <c r="BO189" s="382"/>
    </row>
    <row r="190" spans="1:67" s="88" customFormat="1" ht="10.55" customHeight="1" x14ac:dyDescent="0.2">
      <c r="A190" s="675"/>
      <c r="B190" s="2807"/>
      <c r="C190" s="2808"/>
      <c r="D190" s="2809"/>
      <c r="E190" s="2561"/>
      <c r="F190" s="2562"/>
      <c r="G190" s="1015"/>
      <c r="H190" s="524"/>
      <c r="I190" s="1409">
        <f t="shared" si="40"/>
        <v>0</v>
      </c>
      <c r="J190" s="1421">
        <f t="shared" si="41"/>
        <v>0</v>
      </c>
      <c r="K190" s="679"/>
      <c r="L190" s="1002"/>
      <c r="M190" s="1428">
        <f t="shared" si="42"/>
        <v>0</v>
      </c>
      <c r="N190" s="1111"/>
      <c r="O190" s="674">
        <f t="shared" si="43"/>
        <v>0</v>
      </c>
      <c r="P190" s="682"/>
      <c r="Q190" s="286"/>
      <c r="R190" s="287"/>
      <c r="S190" s="280"/>
      <c r="T190" s="280"/>
      <c r="U190" s="280"/>
      <c r="V190" s="280"/>
      <c r="W190" s="280"/>
      <c r="X190" s="280"/>
      <c r="Y190" s="280"/>
      <c r="Z190" s="284"/>
      <c r="AA190" s="284"/>
      <c r="AB190" s="284"/>
      <c r="AC190" s="284"/>
      <c r="AD190" s="284"/>
      <c r="AE190" s="284"/>
      <c r="AF190" s="447"/>
      <c r="AG190" s="447"/>
      <c r="AH190" s="447"/>
      <c r="AI190" s="382"/>
      <c r="AJ190" s="382"/>
      <c r="AK190" s="382"/>
      <c r="AL190" s="382"/>
      <c r="AM190" s="382"/>
      <c r="AN190" s="382"/>
      <c r="AO190" s="382"/>
      <c r="AP190" s="382"/>
      <c r="AQ190" s="382"/>
      <c r="AR190" s="382"/>
      <c r="AS190" s="382"/>
      <c r="AT190" s="382"/>
      <c r="AU190" s="382"/>
      <c r="AV190" s="382"/>
      <c r="AW190" s="382"/>
      <c r="AX190" s="382"/>
      <c r="AY190" s="382"/>
      <c r="AZ190" s="382"/>
      <c r="BA190" s="382"/>
      <c r="BB190" s="382"/>
      <c r="BC190" s="382"/>
      <c r="BD190" s="382"/>
      <c r="BE190" s="382"/>
      <c r="BF190" s="382"/>
      <c r="BG190" s="382"/>
      <c r="BH190" s="382"/>
      <c r="BI190" s="382"/>
      <c r="BJ190" s="382"/>
      <c r="BK190" s="382"/>
      <c r="BL190" s="382"/>
      <c r="BM190" s="382"/>
      <c r="BN190" s="382"/>
      <c r="BO190" s="382"/>
    </row>
    <row r="191" spans="1:67" s="88" customFormat="1" ht="10.55" customHeight="1" x14ac:dyDescent="0.2">
      <c r="A191" s="675"/>
      <c r="B191" s="2807"/>
      <c r="C191" s="2808"/>
      <c r="D191" s="2809"/>
      <c r="E191" s="2561"/>
      <c r="F191" s="2562"/>
      <c r="G191" s="1015"/>
      <c r="H191" s="524"/>
      <c r="I191" s="1409">
        <f t="shared" si="40"/>
        <v>0</v>
      </c>
      <c r="J191" s="1421">
        <f t="shared" si="41"/>
        <v>0</v>
      </c>
      <c r="K191" s="679"/>
      <c r="L191" s="1002"/>
      <c r="M191" s="1428">
        <f t="shared" si="42"/>
        <v>0</v>
      </c>
      <c r="N191" s="1111"/>
      <c r="O191" s="674">
        <f t="shared" si="43"/>
        <v>0</v>
      </c>
      <c r="P191" s="682"/>
      <c r="Q191" s="286"/>
      <c r="R191" s="287"/>
      <c r="S191" s="280"/>
      <c r="T191" s="280"/>
      <c r="U191" s="280"/>
      <c r="V191" s="280"/>
      <c r="W191" s="280"/>
      <c r="X191" s="280"/>
      <c r="Y191" s="280"/>
      <c r="Z191" s="284"/>
      <c r="AA191" s="284"/>
      <c r="AB191" s="284"/>
      <c r="AC191" s="284"/>
      <c r="AD191" s="284"/>
      <c r="AE191" s="284"/>
      <c r="AF191" s="447"/>
      <c r="AG191" s="447"/>
      <c r="AH191" s="447"/>
      <c r="AI191" s="382"/>
      <c r="AJ191" s="382"/>
      <c r="AK191" s="382"/>
      <c r="AL191" s="382"/>
      <c r="AM191" s="382"/>
      <c r="AN191" s="382"/>
      <c r="AO191" s="382"/>
      <c r="AP191" s="382"/>
      <c r="AQ191" s="382"/>
      <c r="AR191" s="382"/>
      <c r="AS191" s="382"/>
      <c r="AT191" s="382"/>
      <c r="AU191" s="382"/>
      <c r="AV191" s="382"/>
      <c r="AW191" s="382"/>
      <c r="AX191" s="382"/>
      <c r="AY191" s="382"/>
      <c r="AZ191" s="382"/>
      <c r="BA191" s="382"/>
      <c r="BB191" s="382"/>
      <c r="BC191" s="382"/>
      <c r="BD191" s="382"/>
      <c r="BE191" s="382"/>
      <c r="BF191" s="382"/>
      <c r="BG191" s="382"/>
      <c r="BH191" s="382"/>
      <c r="BI191" s="382"/>
      <c r="BJ191" s="382"/>
      <c r="BK191" s="382"/>
      <c r="BL191" s="382"/>
      <c r="BM191" s="382"/>
      <c r="BN191" s="382"/>
      <c r="BO191" s="382"/>
    </row>
    <row r="192" spans="1:67" s="88" customFormat="1" ht="10.55" customHeight="1" x14ac:dyDescent="0.2">
      <c r="A192" s="675"/>
      <c r="B192" s="2807"/>
      <c r="C192" s="2808"/>
      <c r="D192" s="2809"/>
      <c r="E192" s="2561"/>
      <c r="F192" s="2562"/>
      <c r="G192" s="1015"/>
      <c r="H192" s="524"/>
      <c r="I192" s="1409">
        <f t="shared" si="40"/>
        <v>0</v>
      </c>
      <c r="J192" s="1421">
        <f t="shared" si="41"/>
        <v>0</v>
      </c>
      <c r="K192" s="679"/>
      <c r="L192" s="1002"/>
      <c r="M192" s="1428">
        <f t="shared" si="42"/>
        <v>0</v>
      </c>
      <c r="N192" s="1111"/>
      <c r="O192" s="674">
        <f t="shared" si="43"/>
        <v>0</v>
      </c>
      <c r="P192" s="682"/>
      <c r="Q192" s="286"/>
      <c r="R192" s="287"/>
      <c r="S192" s="280"/>
      <c r="T192" s="280"/>
      <c r="U192" s="280"/>
      <c r="V192" s="280"/>
      <c r="W192" s="280"/>
      <c r="X192" s="280"/>
      <c r="Y192" s="280"/>
      <c r="Z192" s="284"/>
      <c r="AA192" s="284"/>
      <c r="AB192" s="284"/>
      <c r="AC192" s="284"/>
      <c r="AD192" s="284"/>
      <c r="AE192" s="284"/>
      <c r="AF192" s="447"/>
      <c r="AG192" s="447"/>
      <c r="AH192" s="447"/>
      <c r="AI192" s="382"/>
      <c r="AJ192" s="382"/>
      <c r="AK192" s="382"/>
      <c r="AL192" s="382"/>
      <c r="AM192" s="382"/>
      <c r="AN192" s="382"/>
      <c r="AO192" s="382"/>
      <c r="AP192" s="382"/>
      <c r="AQ192" s="382"/>
      <c r="AR192" s="382"/>
      <c r="AS192" s="382"/>
      <c r="AT192" s="382"/>
      <c r="AU192" s="382"/>
      <c r="AV192" s="382"/>
      <c r="AW192" s="382"/>
      <c r="AX192" s="382"/>
      <c r="AY192" s="382"/>
      <c r="AZ192" s="382"/>
      <c r="BA192" s="382"/>
      <c r="BB192" s="382"/>
      <c r="BC192" s="382"/>
      <c r="BD192" s="382"/>
      <c r="BE192" s="382"/>
      <c r="BF192" s="382"/>
      <c r="BG192" s="382"/>
      <c r="BH192" s="382"/>
      <c r="BI192" s="382"/>
      <c r="BJ192" s="382"/>
      <c r="BK192" s="382"/>
      <c r="BL192" s="382"/>
      <c r="BM192" s="382"/>
      <c r="BN192" s="382"/>
      <c r="BO192" s="382"/>
    </row>
    <row r="193" spans="1:67" s="88" customFormat="1" ht="10.55" customHeight="1" x14ac:dyDescent="0.2">
      <c r="A193" s="675"/>
      <c r="B193" s="2807"/>
      <c r="C193" s="2808"/>
      <c r="D193" s="2809"/>
      <c r="E193" s="2561"/>
      <c r="F193" s="2562"/>
      <c r="G193" s="1015"/>
      <c r="H193" s="524"/>
      <c r="I193" s="1409">
        <f t="shared" si="40"/>
        <v>0</v>
      </c>
      <c r="J193" s="1421">
        <f t="shared" si="41"/>
        <v>0</v>
      </c>
      <c r="K193" s="679"/>
      <c r="L193" s="1002"/>
      <c r="M193" s="1428">
        <f t="shared" si="42"/>
        <v>0</v>
      </c>
      <c r="N193" s="1111"/>
      <c r="O193" s="674">
        <f t="shared" si="43"/>
        <v>0</v>
      </c>
      <c r="P193" s="682"/>
      <c r="Q193" s="286"/>
      <c r="R193" s="287"/>
      <c r="S193" s="280"/>
      <c r="T193" s="280"/>
      <c r="U193" s="280"/>
      <c r="V193" s="280"/>
      <c r="W193" s="280"/>
      <c r="X193" s="280"/>
      <c r="Y193" s="280"/>
      <c r="Z193" s="284"/>
      <c r="AA193" s="284"/>
      <c r="AB193" s="284"/>
      <c r="AC193" s="284"/>
      <c r="AD193" s="284"/>
      <c r="AE193" s="284"/>
      <c r="AF193" s="447"/>
      <c r="AG193" s="447"/>
      <c r="AH193" s="447"/>
      <c r="AI193" s="382"/>
      <c r="AJ193" s="382"/>
      <c r="AK193" s="382"/>
      <c r="AL193" s="382"/>
      <c r="AM193" s="382"/>
      <c r="AN193" s="382"/>
      <c r="AO193" s="382"/>
      <c r="AP193" s="382"/>
      <c r="AQ193" s="382"/>
      <c r="AR193" s="382"/>
      <c r="AS193" s="382"/>
      <c r="AT193" s="382"/>
      <c r="AU193" s="382"/>
      <c r="AV193" s="382"/>
      <c r="AW193" s="382"/>
      <c r="AX193" s="382"/>
      <c r="AY193" s="382"/>
      <c r="AZ193" s="382"/>
      <c r="BA193" s="382"/>
      <c r="BB193" s="382"/>
      <c r="BC193" s="382"/>
      <c r="BD193" s="382"/>
      <c r="BE193" s="382"/>
      <c r="BF193" s="382"/>
      <c r="BG193" s="382"/>
      <c r="BH193" s="382"/>
      <c r="BI193" s="382"/>
      <c r="BJ193" s="382"/>
      <c r="BK193" s="382"/>
      <c r="BL193" s="382"/>
      <c r="BM193" s="382"/>
      <c r="BN193" s="382"/>
      <c r="BO193" s="382"/>
    </row>
    <row r="194" spans="1:67" s="88" customFormat="1" ht="10.55" customHeight="1" x14ac:dyDescent="0.2">
      <c r="A194" s="675"/>
      <c r="B194" s="2807"/>
      <c r="C194" s="2808"/>
      <c r="D194" s="2809"/>
      <c r="E194" s="2561"/>
      <c r="F194" s="2562"/>
      <c r="G194" s="1015"/>
      <c r="H194" s="524"/>
      <c r="I194" s="1409">
        <f t="shared" si="40"/>
        <v>0</v>
      </c>
      <c r="J194" s="1421">
        <f t="shared" si="41"/>
        <v>0</v>
      </c>
      <c r="K194" s="679"/>
      <c r="L194" s="1002"/>
      <c r="M194" s="1428">
        <f t="shared" si="42"/>
        <v>0</v>
      </c>
      <c r="N194" s="1111"/>
      <c r="O194" s="674">
        <f t="shared" si="43"/>
        <v>0</v>
      </c>
      <c r="P194" s="682"/>
      <c r="Q194" s="286"/>
      <c r="R194" s="287"/>
      <c r="S194" s="280"/>
      <c r="T194" s="280"/>
      <c r="U194" s="280"/>
      <c r="V194" s="280"/>
      <c r="W194" s="280"/>
      <c r="X194" s="280"/>
      <c r="Y194" s="280"/>
      <c r="Z194" s="284"/>
      <c r="AA194" s="284"/>
      <c r="AB194" s="284"/>
      <c r="AC194" s="284"/>
      <c r="AD194" s="284"/>
      <c r="AE194" s="284"/>
      <c r="AF194" s="447"/>
      <c r="AG194" s="447"/>
      <c r="AH194" s="447"/>
      <c r="AI194" s="382"/>
      <c r="AJ194" s="382"/>
      <c r="AK194" s="382"/>
      <c r="AL194" s="382"/>
      <c r="AM194" s="382"/>
      <c r="AN194" s="382"/>
      <c r="AO194" s="382"/>
      <c r="AP194" s="382"/>
      <c r="AQ194" s="382"/>
      <c r="AR194" s="382"/>
      <c r="AS194" s="382"/>
      <c r="AT194" s="382"/>
      <c r="AU194" s="382"/>
      <c r="AV194" s="382"/>
      <c r="AW194" s="382"/>
      <c r="AX194" s="382"/>
      <c r="AY194" s="382"/>
      <c r="AZ194" s="382"/>
      <c r="BA194" s="382"/>
      <c r="BB194" s="382"/>
      <c r="BC194" s="382"/>
      <c r="BD194" s="382"/>
      <c r="BE194" s="382"/>
      <c r="BF194" s="382"/>
      <c r="BG194" s="382"/>
      <c r="BH194" s="382"/>
      <c r="BI194" s="382"/>
      <c r="BJ194" s="382"/>
      <c r="BK194" s="382"/>
      <c r="BL194" s="382"/>
      <c r="BM194" s="382"/>
      <c r="BN194" s="382"/>
      <c r="BO194" s="382"/>
    </row>
    <row r="195" spans="1:67" s="88" customFormat="1" ht="10.55" customHeight="1" x14ac:dyDescent="0.2">
      <c r="A195" s="1017"/>
      <c r="B195" s="2804"/>
      <c r="C195" s="2805"/>
      <c r="D195" s="2806"/>
      <c r="E195" s="2793"/>
      <c r="F195" s="2794"/>
      <c r="G195" s="1018"/>
      <c r="H195" s="1019"/>
      <c r="I195" s="1436">
        <f t="shared" si="40"/>
        <v>0</v>
      </c>
      <c r="J195" s="1422"/>
      <c r="K195" s="680"/>
      <c r="L195" s="1020"/>
      <c r="M195" s="1429">
        <f t="shared" si="42"/>
        <v>0</v>
      </c>
      <c r="N195" s="1111"/>
      <c r="O195" s="674">
        <f t="shared" si="43"/>
        <v>0</v>
      </c>
      <c r="P195" s="682"/>
      <c r="Q195" s="286"/>
      <c r="R195" s="287"/>
      <c r="S195" s="280"/>
      <c r="T195" s="280"/>
      <c r="U195" s="280"/>
      <c r="V195" s="280"/>
      <c r="W195" s="280"/>
      <c r="X195" s="280"/>
      <c r="Y195" s="280"/>
      <c r="Z195" s="284"/>
      <c r="AA195" s="284"/>
      <c r="AB195" s="284"/>
      <c r="AC195" s="284"/>
      <c r="AD195" s="284"/>
      <c r="AE195" s="284"/>
      <c r="AF195" s="447"/>
      <c r="AG195" s="447"/>
      <c r="AH195" s="447"/>
      <c r="AI195" s="382"/>
      <c r="AJ195" s="382"/>
      <c r="AK195" s="382"/>
      <c r="AL195" s="382"/>
      <c r="AM195" s="382"/>
      <c r="AN195" s="382"/>
      <c r="AO195" s="382"/>
      <c r="AP195" s="382"/>
      <c r="AQ195" s="382"/>
      <c r="AR195" s="382"/>
      <c r="AS195" s="382"/>
      <c r="AT195" s="382"/>
      <c r="AU195" s="382"/>
      <c r="AV195" s="382"/>
      <c r="AW195" s="382"/>
      <c r="AX195" s="382"/>
      <c r="AY195" s="382"/>
      <c r="AZ195" s="382"/>
      <c r="BA195" s="382"/>
      <c r="BB195" s="382"/>
      <c r="BC195" s="382"/>
      <c r="BD195" s="382"/>
      <c r="BE195" s="382"/>
      <c r="BF195" s="382"/>
      <c r="BG195" s="382"/>
      <c r="BH195" s="382"/>
      <c r="BI195" s="382"/>
      <c r="BJ195" s="382"/>
      <c r="BK195" s="382"/>
      <c r="BL195" s="382"/>
      <c r="BM195" s="382"/>
      <c r="BN195" s="382"/>
      <c r="BO195" s="382"/>
    </row>
    <row r="196" spans="1:67" s="88" customFormat="1" ht="10.55" customHeight="1" x14ac:dyDescent="0.2">
      <c r="A196" s="1122" t="s">
        <v>380</v>
      </c>
      <c r="B196" s="2783"/>
      <c r="C196" s="2784"/>
      <c r="D196" s="2785"/>
      <c r="E196" s="2810">
        <f>SUM(E197:E209)</f>
        <v>0</v>
      </c>
      <c r="F196" s="2811"/>
      <c r="G196" s="2747"/>
      <c r="H196" s="2748"/>
      <c r="I196" s="1435">
        <f>IF(E196=0,0,J196/E196)</f>
        <v>0</v>
      </c>
      <c r="J196" s="1423">
        <f>SUM(J197:J209)</f>
        <v>0</v>
      </c>
      <c r="K196" s="2749">
        <f>IF(E196=0,0,M196/E196*100)</f>
        <v>0</v>
      </c>
      <c r="L196" s="2750"/>
      <c r="M196" s="1430">
        <f>SUM(M197:M209)</f>
        <v>0</v>
      </c>
      <c r="N196" s="1111"/>
      <c r="O196" s="387">
        <f>IF(H196="",G196,H196)</f>
        <v>0</v>
      </c>
      <c r="P196" s="682"/>
      <c r="Q196" s="286"/>
      <c r="R196" s="287"/>
      <c r="S196" s="280"/>
      <c r="T196" s="280"/>
      <c r="U196" s="280"/>
      <c r="V196" s="280"/>
      <c r="W196" s="280"/>
      <c r="X196" s="280"/>
      <c r="Y196" s="280"/>
      <c r="Z196" s="284"/>
      <c r="AA196" s="284"/>
      <c r="AB196" s="284"/>
      <c r="AC196" s="284"/>
      <c r="AD196" s="284"/>
      <c r="AE196" s="284"/>
      <c r="AF196" s="447"/>
      <c r="AG196" s="447"/>
      <c r="AH196" s="447"/>
      <c r="AI196" s="382"/>
      <c r="AJ196" s="382"/>
      <c r="AK196" s="382"/>
      <c r="AL196" s="382"/>
      <c r="AM196" s="382"/>
      <c r="AN196" s="382"/>
      <c r="AO196" s="382"/>
      <c r="AP196" s="382"/>
      <c r="AQ196" s="382"/>
      <c r="AR196" s="382"/>
      <c r="AS196" s="382"/>
      <c r="AT196" s="382"/>
      <c r="AU196" s="382"/>
      <c r="AV196" s="382"/>
      <c r="AW196" s="382"/>
      <c r="AX196" s="382"/>
      <c r="AY196" s="382"/>
      <c r="AZ196" s="382"/>
      <c r="BA196" s="382"/>
      <c r="BB196" s="382"/>
      <c r="BC196" s="382"/>
      <c r="BD196" s="382"/>
      <c r="BE196" s="382"/>
      <c r="BF196" s="382"/>
      <c r="BG196" s="382"/>
      <c r="BH196" s="382"/>
      <c r="BI196" s="382"/>
      <c r="BJ196" s="382"/>
      <c r="BK196" s="382"/>
      <c r="BL196" s="382"/>
      <c r="BM196" s="382"/>
      <c r="BN196" s="382"/>
      <c r="BO196" s="382"/>
    </row>
    <row r="197" spans="1:67" s="88" customFormat="1" ht="10.55" customHeight="1" x14ac:dyDescent="0.2">
      <c r="A197" s="1013" t="s">
        <v>381</v>
      </c>
      <c r="B197" s="2790"/>
      <c r="C197" s="2791"/>
      <c r="D197" s="2792"/>
      <c r="E197" s="2734"/>
      <c r="F197" s="2735"/>
      <c r="G197" s="1785">
        <v>30</v>
      </c>
      <c r="H197" s="524"/>
      <c r="I197" s="1409">
        <f t="shared" ref="I197:I210" si="44">IF($O197&gt;0,-PMT(($I$9),$O197,1),0)</f>
        <v>4.7777640736176463E-2</v>
      </c>
      <c r="J197" s="1421">
        <f t="shared" ref="J197:J209" si="45">ROUND(E197*I197,0)</f>
        <v>0</v>
      </c>
      <c r="K197" s="678">
        <v>1.5</v>
      </c>
      <c r="L197" s="1002"/>
      <c r="M197" s="1428">
        <f t="shared" ref="M197:M210" si="46">ROUND(E197/100*IF(ISBLANK(L197),K197,L197),0)</f>
        <v>0</v>
      </c>
      <c r="N197" s="1111"/>
      <c r="O197" s="674">
        <f t="shared" ref="O197:O210" si="47">IF(ISBLANK(H197),G197,H197)</f>
        <v>30</v>
      </c>
      <c r="P197" s="682"/>
      <c r="Q197" s="286"/>
      <c r="R197" s="287"/>
      <c r="S197" s="280"/>
      <c r="T197" s="280"/>
      <c r="U197" s="280"/>
      <c r="V197" s="280"/>
      <c r="W197" s="280"/>
      <c r="X197" s="280"/>
      <c r="Y197" s="280"/>
      <c r="Z197" s="284"/>
      <c r="AA197" s="284"/>
      <c r="AB197" s="284"/>
      <c r="AC197" s="284"/>
      <c r="AD197" s="284"/>
      <c r="AE197" s="284"/>
      <c r="AF197" s="447"/>
      <c r="AG197" s="447"/>
      <c r="AH197" s="447"/>
      <c r="AI197" s="382"/>
      <c r="AJ197" s="382"/>
      <c r="AK197" s="382"/>
      <c r="AL197" s="382"/>
      <c r="AM197" s="382"/>
      <c r="AN197" s="382"/>
      <c r="AO197" s="382"/>
      <c r="AP197" s="382"/>
      <c r="AQ197" s="382"/>
      <c r="AR197" s="382"/>
      <c r="AS197" s="382"/>
      <c r="AT197" s="382"/>
      <c r="AU197" s="382"/>
      <c r="AV197" s="382"/>
      <c r="AW197" s="382"/>
      <c r="AX197" s="382"/>
      <c r="AY197" s="382"/>
      <c r="AZ197" s="382"/>
      <c r="BA197" s="382"/>
      <c r="BB197" s="382"/>
      <c r="BC197" s="382"/>
      <c r="BD197" s="382"/>
      <c r="BE197" s="382"/>
      <c r="BF197" s="382"/>
      <c r="BG197" s="382"/>
      <c r="BH197" s="382"/>
      <c r="BI197" s="382"/>
      <c r="BJ197" s="382"/>
      <c r="BK197" s="382"/>
      <c r="BL197" s="382"/>
      <c r="BM197" s="382"/>
      <c r="BN197" s="382"/>
      <c r="BO197" s="382"/>
    </row>
    <row r="198" spans="1:67" s="88" customFormat="1" ht="10.55" customHeight="1" x14ac:dyDescent="0.2">
      <c r="A198" s="1013" t="s">
        <v>382</v>
      </c>
      <c r="B198" s="2807"/>
      <c r="C198" s="2808"/>
      <c r="D198" s="2809"/>
      <c r="E198" s="2561"/>
      <c r="F198" s="2562"/>
      <c r="G198" s="1785">
        <v>30</v>
      </c>
      <c r="H198" s="524"/>
      <c r="I198" s="1409">
        <f t="shared" si="44"/>
        <v>4.7777640736176463E-2</v>
      </c>
      <c r="J198" s="1421">
        <f t="shared" si="45"/>
        <v>0</v>
      </c>
      <c r="K198" s="678">
        <v>1</v>
      </c>
      <c r="L198" s="1002"/>
      <c r="M198" s="1428">
        <f t="shared" si="46"/>
        <v>0</v>
      </c>
      <c r="N198" s="1111"/>
      <c r="O198" s="674">
        <f t="shared" si="47"/>
        <v>30</v>
      </c>
      <c r="P198" s="682"/>
      <c r="Q198" s="286"/>
      <c r="R198" s="287"/>
      <c r="S198" s="280"/>
      <c r="T198" s="280"/>
      <c r="U198" s="280"/>
      <c r="V198" s="280"/>
      <c r="W198" s="280"/>
      <c r="X198" s="280"/>
      <c r="Y198" s="280"/>
      <c r="Z198" s="284"/>
      <c r="AA198" s="284"/>
      <c r="AB198" s="284"/>
      <c r="AC198" s="284"/>
      <c r="AD198" s="284"/>
      <c r="AE198" s="284"/>
      <c r="AF198" s="447"/>
      <c r="AG198" s="447"/>
      <c r="AH198" s="447"/>
      <c r="AI198" s="382"/>
      <c r="AJ198" s="382"/>
      <c r="AK198" s="382"/>
      <c r="AL198" s="382"/>
      <c r="AM198" s="382"/>
      <c r="AN198" s="382"/>
      <c r="AO198" s="382"/>
      <c r="AP198" s="382"/>
      <c r="AQ198" s="382"/>
      <c r="AR198" s="382"/>
      <c r="AS198" s="382"/>
      <c r="AT198" s="382"/>
      <c r="AU198" s="382"/>
      <c r="AV198" s="382"/>
      <c r="AW198" s="382"/>
      <c r="AX198" s="382"/>
      <c r="AY198" s="382"/>
      <c r="AZ198" s="382"/>
      <c r="BA198" s="382"/>
      <c r="BB198" s="382"/>
      <c r="BC198" s="382"/>
      <c r="BD198" s="382"/>
      <c r="BE198" s="382"/>
      <c r="BF198" s="382"/>
      <c r="BG198" s="382"/>
      <c r="BH198" s="382"/>
      <c r="BI198" s="382"/>
      <c r="BJ198" s="382"/>
      <c r="BK198" s="382"/>
      <c r="BL198" s="382"/>
      <c r="BM198" s="382"/>
      <c r="BN198" s="382"/>
      <c r="BO198" s="382"/>
    </row>
    <row r="199" spans="1:67" s="88" customFormat="1" ht="10.55" customHeight="1" x14ac:dyDescent="0.2">
      <c r="A199" s="1013" t="s">
        <v>383</v>
      </c>
      <c r="B199" s="2807"/>
      <c r="C199" s="2808"/>
      <c r="D199" s="2809"/>
      <c r="E199" s="2561"/>
      <c r="F199" s="2562"/>
      <c r="G199" s="1785">
        <v>30</v>
      </c>
      <c r="H199" s="524"/>
      <c r="I199" s="1409">
        <f t="shared" si="44"/>
        <v>4.7777640736176463E-2</v>
      </c>
      <c r="J199" s="1421">
        <f t="shared" si="45"/>
        <v>0</v>
      </c>
      <c r="K199" s="678">
        <v>0.5</v>
      </c>
      <c r="L199" s="1002"/>
      <c r="M199" s="1428">
        <f t="shared" si="46"/>
        <v>0</v>
      </c>
      <c r="N199" s="1111"/>
      <c r="O199" s="674">
        <f t="shared" si="47"/>
        <v>30</v>
      </c>
      <c r="P199" s="682"/>
      <c r="Q199" s="286"/>
      <c r="R199" s="287"/>
      <c r="S199" s="280"/>
      <c r="T199" s="280"/>
      <c r="U199" s="280"/>
      <c r="V199" s="280"/>
      <c r="W199" s="280"/>
      <c r="X199" s="280"/>
      <c r="Y199" s="280"/>
      <c r="Z199" s="284"/>
      <c r="AA199" s="284"/>
      <c r="AB199" s="284"/>
      <c r="AC199" s="284"/>
      <c r="AD199" s="284"/>
      <c r="AE199" s="284"/>
      <c r="AF199" s="447"/>
      <c r="AG199" s="447"/>
      <c r="AH199" s="447"/>
      <c r="AI199" s="382"/>
      <c r="AJ199" s="382"/>
      <c r="AK199" s="382"/>
      <c r="AL199" s="382"/>
      <c r="AM199" s="382"/>
      <c r="AN199" s="382"/>
      <c r="AO199" s="382"/>
      <c r="AP199" s="382"/>
      <c r="AQ199" s="382"/>
      <c r="AR199" s="382"/>
      <c r="AS199" s="382"/>
      <c r="AT199" s="382"/>
      <c r="AU199" s="382"/>
      <c r="AV199" s="382"/>
      <c r="AW199" s="382"/>
      <c r="AX199" s="382"/>
      <c r="AY199" s="382"/>
      <c r="AZ199" s="382"/>
      <c r="BA199" s="382"/>
      <c r="BB199" s="382"/>
      <c r="BC199" s="382"/>
      <c r="BD199" s="382"/>
      <c r="BE199" s="382"/>
      <c r="BF199" s="382"/>
      <c r="BG199" s="382"/>
      <c r="BH199" s="382"/>
      <c r="BI199" s="382"/>
      <c r="BJ199" s="382"/>
      <c r="BK199" s="382"/>
      <c r="BL199" s="382"/>
      <c r="BM199" s="382"/>
      <c r="BN199" s="382"/>
      <c r="BO199" s="382"/>
    </row>
    <row r="200" spans="1:67" s="88" customFormat="1" ht="10.55" customHeight="1" x14ac:dyDescent="0.2">
      <c r="A200" s="1013" t="s">
        <v>384</v>
      </c>
      <c r="B200" s="2807"/>
      <c r="C200" s="2808"/>
      <c r="D200" s="2809"/>
      <c r="E200" s="2561"/>
      <c r="F200" s="2562"/>
      <c r="G200" s="1785">
        <v>30</v>
      </c>
      <c r="H200" s="524"/>
      <c r="I200" s="1409">
        <f t="shared" si="44"/>
        <v>4.7777640736176463E-2</v>
      </c>
      <c r="J200" s="1421">
        <f t="shared" si="45"/>
        <v>0</v>
      </c>
      <c r="K200" s="678">
        <v>0.5</v>
      </c>
      <c r="L200" s="1002"/>
      <c r="M200" s="1428">
        <f t="shared" si="46"/>
        <v>0</v>
      </c>
      <c r="N200" s="1111"/>
      <c r="O200" s="674">
        <f t="shared" si="47"/>
        <v>30</v>
      </c>
      <c r="P200" s="682"/>
      <c r="Q200" s="286"/>
      <c r="R200" s="287"/>
      <c r="S200" s="280"/>
      <c r="T200" s="280"/>
      <c r="U200" s="280"/>
      <c r="V200" s="280"/>
      <c r="W200" s="280"/>
      <c r="X200" s="280"/>
      <c r="Y200" s="280"/>
      <c r="Z200" s="284"/>
      <c r="AA200" s="284"/>
      <c r="AB200" s="284"/>
      <c r="AC200" s="284"/>
      <c r="AD200" s="284"/>
      <c r="AE200" s="284"/>
      <c r="AF200" s="447"/>
      <c r="AG200" s="447"/>
      <c r="AH200" s="447"/>
      <c r="AI200" s="382"/>
      <c r="AJ200" s="382"/>
      <c r="AK200" s="382"/>
      <c r="AL200" s="382"/>
      <c r="AM200" s="382"/>
      <c r="AN200" s="382"/>
      <c r="AO200" s="382"/>
      <c r="AP200" s="382"/>
      <c r="AQ200" s="382"/>
      <c r="AR200" s="382"/>
      <c r="AS200" s="382"/>
      <c r="AT200" s="382"/>
      <c r="AU200" s="382"/>
      <c r="AV200" s="382"/>
      <c r="AW200" s="382"/>
      <c r="AX200" s="382"/>
      <c r="AY200" s="382"/>
      <c r="AZ200" s="382"/>
      <c r="BA200" s="382"/>
      <c r="BB200" s="382"/>
      <c r="BC200" s="382"/>
      <c r="BD200" s="382"/>
      <c r="BE200" s="382"/>
      <c r="BF200" s="382"/>
      <c r="BG200" s="382"/>
      <c r="BH200" s="382"/>
      <c r="BI200" s="382"/>
      <c r="BJ200" s="382"/>
      <c r="BK200" s="382"/>
      <c r="BL200" s="382"/>
      <c r="BM200" s="382"/>
      <c r="BN200" s="382"/>
      <c r="BO200" s="382"/>
    </row>
    <row r="201" spans="1:67" s="88" customFormat="1" ht="10.55" customHeight="1" x14ac:dyDescent="0.2">
      <c r="A201" s="1013" t="s">
        <v>385</v>
      </c>
      <c r="B201" s="2807"/>
      <c r="C201" s="2808"/>
      <c r="D201" s="2809"/>
      <c r="E201" s="2561"/>
      <c r="F201" s="2562"/>
      <c r="G201" s="1785">
        <v>15</v>
      </c>
      <c r="H201" s="524"/>
      <c r="I201" s="1409">
        <f t="shared" si="44"/>
        <v>8.0766456051533542E-2</v>
      </c>
      <c r="J201" s="1421">
        <f t="shared" si="45"/>
        <v>0</v>
      </c>
      <c r="K201" s="678">
        <v>2</v>
      </c>
      <c r="L201" s="1002"/>
      <c r="M201" s="1428">
        <f t="shared" si="46"/>
        <v>0</v>
      </c>
      <c r="N201" s="1111"/>
      <c r="O201" s="674">
        <f t="shared" si="47"/>
        <v>15</v>
      </c>
      <c r="P201" s="682"/>
      <c r="Q201" s="286"/>
      <c r="R201" s="287"/>
      <c r="S201" s="280"/>
      <c r="T201" s="280"/>
      <c r="U201" s="280"/>
      <c r="V201" s="280"/>
      <c r="W201" s="280"/>
      <c r="X201" s="280"/>
      <c r="Y201" s="280"/>
      <c r="Z201" s="284"/>
      <c r="AA201" s="284"/>
      <c r="AB201" s="284"/>
      <c r="AC201" s="284"/>
      <c r="AD201" s="284"/>
      <c r="AE201" s="284"/>
      <c r="AF201" s="447"/>
      <c r="AG201" s="447"/>
      <c r="AH201" s="447"/>
      <c r="AI201" s="382"/>
      <c r="AJ201" s="382"/>
      <c r="AK201" s="382"/>
      <c r="AL201" s="382"/>
      <c r="AM201" s="382"/>
      <c r="AN201" s="382"/>
      <c r="AO201" s="382"/>
      <c r="AP201" s="382"/>
      <c r="AQ201" s="382"/>
      <c r="AR201" s="382"/>
      <c r="AS201" s="382"/>
      <c r="AT201" s="382"/>
      <c r="AU201" s="382"/>
      <c r="AV201" s="382"/>
      <c r="AW201" s="382"/>
      <c r="AX201" s="382"/>
      <c r="AY201" s="382"/>
      <c r="AZ201" s="382"/>
      <c r="BA201" s="382"/>
      <c r="BB201" s="382"/>
      <c r="BC201" s="382"/>
      <c r="BD201" s="382"/>
      <c r="BE201" s="382"/>
      <c r="BF201" s="382"/>
      <c r="BG201" s="382"/>
      <c r="BH201" s="382"/>
      <c r="BI201" s="382"/>
      <c r="BJ201" s="382"/>
      <c r="BK201" s="382"/>
      <c r="BL201" s="382"/>
      <c r="BM201" s="382"/>
      <c r="BN201" s="382"/>
      <c r="BO201" s="382"/>
    </row>
    <row r="202" spans="1:67" s="88" customFormat="1" ht="10.55" customHeight="1" x14ac:dyDescent="0.2">
      <c r="A202" s="1013" t="s">
        <v>460</v>
      </c>
      <c r="B202" s="2807"/>
      <c r="C202" s="2808"/>
      <c r="D202" s="2809"/>
      <c r="E202" s="2561"/>
      <c r="F202" s="2562"/>
      <c r="G202" s="1785">
        <v>15</v>
      </c>
      <c r="H202" s="524"/>
      <c r="I202" s="1409">
        <f t="shared" si="44"/>
        <v>8.0766456051533542E-2</v>
      </c>
      <c r="J202" s="1421">
        <f t="shared" si="45"/>
        <v>0</v>
      </c>
      <c r="K202" s="678">
        <v>1.5</v>
      </c>
      <c r="L202" s="1002"/>
      <c r="M202" s="1428">
        <f t="shared" si="46"/>
        <v>0</v>
      </c>
      <c r="N202" s="1111"/>
      <c r="O202" s="674">
        <f t="shared" si="47"/>
        <v>15</v>
      </c>
      <c r="P202" s="682"/>
      <c r="Q202" s="286"/>
      <c r="R202" s="287"/>
      <c r="S202" s="280"/>
      <c r="T202" s="280"/>
      <c r="U202" s="280"/>
      <c r="V202" s="280"/>
      <c r="W202" s="280"/>
      <c r="X202" s="280"/>
      <c r="Y202" s="280"/>
      <c r="Z202" s="284"/>
      <c r="AA202" s="284"/>
      <c r="AB202" s="284"/>
      <c r="AC202" s="284"/>
      <c r="AD202" s="284"/>
      <c r="AE202" s="284"/>
      <c r="AF202" s="447"/>
      <c r="AG202" s="447"/>
      <c r="AH202" s="447"/>
      <c r="AI202" s="382"/>
      <c r="AJ202" s="382"/>
      <c r="AK202" s="382"/>
      <c r="AL202" s="382"/>
      <c r="AM202" s="382"/>
      <c r="AN202" s="382"/>
      <c r="AO202" s="382"/>
      <c r="AP202" s="382"/>
      <c r="AQ202" s="382"/>
      <c r="AR202" s="382"/>
      <c r="AS202" s="382"/>
      <c r="AT202" s="382"/>
      <c r="AU202" s="382"/>
      <c r="AV202" s="382"/>
      <c r="AW202" s="382"/>
      <c r="AX202" s="382"/>
      <c r="AY202" s="382"/>
      <c r="AZ202" s="382"/>
      <c r="BA202" s="382"/>
      <c r="BB202" s="382"/>
      <c r="BC202" s="382"/>
      <c r="BD202" s="382"/>
      <c r="BE202" s="382"/>
      <c r="BF202" s="382"/>
      <c r="BG202" s="382"/>
      <c r="BH202" s="382"/>
      <c r="BI202" s="382"/>
      <c r="BJ202" s="382"/>
      <c r="BK202" s="382"/>
      <c r="BL202" s="382"/>
      <c r="BM202" s="382"/>
      <c r="BN202" s="382"/>
      <c r="BO202" s="382"/>
    </row>
    <row r="203" spans="1:67" s="88" customFormat="1" ht="10.55" customHeight="1" x14ac:dyDescent="0.2">
      <c r="A203" s="675"/>
      <c r="B203" s="2807"/>
      <c r="C203" s="2808"/>
      <c r="D203" s="2809"/>
      <c r="E203" s="2561"/>
      <c r="F203" s="2562"/>
      <c r="G203" s="1015"/>
      <c r="H203" s="524"/>
      <c r="I203" s="1409">
        <f t="shared" si="44"/>
        <v>0</v>
      </c>
      <c r="J203" s="1421">
        <f t="shared" si="45"/>
        <v>0</v>
      </c>
      <c r="K203" s="679"/>
      <c r="L203" s="1002"/>
      <c r="M203" s="1428">
        <f t="shared" si="46"/>
        <v>0</v>
      </c>
      <c r="N203" s="1111"/>
      <c r="O203" s="674">
        <f t="shared" si="47"/>
        <v>0</v>
      </c>
      <c r="P203" s="682"/>
      <c r="Q203" s="286"/>
      <c r="R203" s="287"/>
      <c r="S203" s="280"/>
      <c r="T203" s="280"/>
      <c r="U203" s="280"/>
      <c r="V203" s="280"/>
      <c r="W203" s="280"/>
      <c r="X203" s="280"/>
      <c r="Y203" s="280"/>
      <c r="Z203" s="284"/>
      <c r="AA203" s="284"/>
      <c r="AB203" s="284"/>
      <c r="AC203" s="284"/>
      <c r="AD203" s="284"/>
      <c r="AE203" s="284"/>
      <c r="AF203" s="447"/>
      <c r="AG203" s="447"/>
      <c r="AH203" s="447"/>
      <c r="AI203" s="382"/>
      <c r="AJ203" s="382"/>
      <c r="AK203" s="382"/>
      <c r="AL203" s="382"/>
      <c r="AM203" s="382"/>
      <c r="AN203" s="382"/>
      <c r="AO203" s="382"/>
      <c r="AP203" s="382"/>
      <c r="AQ203" s="382"/>
      <c r="AR203" s="382"/>
      <c r="AS203" s="382"/>
      <c r="AT203" s="382"/>
      <c r="AU203" s="382"/>
      <c r="AV203" s="382"/>
      <c r="AW203" s="382"/>
      <c r="AX203" s="382"/>
      <c r="AY203" s="382"/>
      <c r="AZ203" s="382"/>
      <c r="BA203" s="382"/>
      <c r="BB203" s="382"/>
      <c r="BC203" s="382"/>
      <c r="BD203" s="382"/>
      <c r="BE203" s="382"/>
      <c r="BF203" s="382"/>
      <c r="BG203" s="382"/>
      <c r="BH203" s="382"/>
      <c r="BI203" s="382"/>
      <c r="BJ203" s="382"/>
      <c r="BK203" s="382"/>
      <c r="BL203" s="382"/>
      <c r="BM203" s="382"/>
      <c r="BN203" s="382"/>
      <c r="BO203" s="382"/>
    </row>
    <row r="204" spans="1:67" s="88" customFormat="1" ht="10.55" customHeight="1" x14ac:dyDescent="0.2">
      <c r="A204" s="675"/>
      <c r="B204" s="2807"/>
      <c r="C204" s="2808"/>
      <c r="D204" s="2809"/>
      <c r="E204" s="2561"/>
      <c r="F204" s="2562"/>
      <c r="G204" s="1015"/>
      <c r="H204" s="524"/>
      <c r="I204" s="1409">
        <f t="shared" si="44"/>
        <v>0</v>
      </c>
      <c r="J204" s="1421">
        <f t="shared" si="45"/>
        <v>0</v>
      </c>
      <c r="K204" s="679"/>
      <c r="L204" s="1002"/>
      <c r="M204" s="1428">
        <f t="shared" si="46"/>
        <v>0</v>
      </c>
      <c r="N204" s="1111"/>
      <c r="O204" s="674">
        <f t="shared" si="47"/>
        <v>0</v>
      </c>
      <c r="P204" s="682"/>
      <c r="Q204" s="286"/>
      <c r="R204" s="287"/>
      <c r="S204" s="280"/>
      <c r="T204" s="280"/>
      <c r="U204" s="280"/>
      <c r="V204" s="280"/>
      <c r="W204" s="280"/>
      <c r="X204" s="280"/>
      <c r="Y204" s="280"/>
      <c r="Z204" s="284"/>
      <c r="AA204" s="284"/>
      <c r="AB204" s="284"/>
      <c r="AC204" s="284"/>
      <c r="AD204" s="284"/>
      <c r="AE204" s="284"/>
      <c r="AF204" s="447"/>
      <c r="AG204" s="447"/>
      <c r="AH204" s="447"/>
      <c r="AI204" s="382"/>
      <c r="AJ204" s="382"/>
      <c r="AK204" s="382"/>
      <c r="AL204" s="382"/>
      <c r="AM204" s="382"/>
      <c r="AN204" s="382"/>
      <c r="AO204" s="382"/>
      <c r="AP204" s="382"/>
      <c r="AQ204" s="382"/>
      <c r="AR204" s="382"/>
      <c r="AS204" s="382"/>
      <c r="AT204" s="382"/>
      <c r="AU204" s="382"/>
      <c r="AV204" s="382"/>
      <c r="AW204" s="382"/>
      <c r="AX204" s="382"/>
      <c r="AY204" s="382"/>
      <c r="AZ204" s="382"/>
      <c r="BA204" s="382"/>
      <c r="BB204" s="382"/>
      <c r="BC204" s="382"/>
      <c r="BD204" s="382"/>
      <c r="BE204" s="382"/>
      <c r="BF204" s="382"/>
      <c r="BG204" s="382"/>
      <c r="BH204" s="382"/>
      <c r="BI204" s="382"/>
      <c r="BJ204" s="382"/>
      <c r="BK204" s="382"/>
      <c r="BL204" s="382"/>
      <c r="BM204" s="382"/>
      <c r="BN204" s="382"/>
      <c r="BO204" s="382"/>
    </row>
    <row r="205" spans="1:67" s="88" customFormat="1" ht="10.55" customHeight="1" x14ac:dyDescent="0.2">
      <c r="A205" s="675"/>
      <c r="B205" s="2807"/>
      <c r="C205" s="2808"/>
      <c r="D205" s="2809"/>
      <c r="E205" s="2561"/>
      <c r="F205" s="2562"/>
      <c r="G205" s="1015"/>
      <c r="H205" s="524"/>
      <c r="I205" s="1409">
        <f t="shared" si="44"/>
        <v>0</v>
      </c>
      <c r="J205" s="1421">
        <f t="shared" si="45"/>
        <v>0</v>
      </c>
      <c r="K205" s="679"/>
      <c r="L205" s="1002"/>
      <c r="M205" s="1428">
        <f t="shared" si="46"/>
        <v>0</v>
      </c>
      <c r="N205" s="1111"/>
      <c r="O205" s="674">
        <f t="shared" si="47"/>
        <v>0</v>
      </c>
      <c r="P205" s="682"/>
      <c r="Q205" s="286"/>
      <c r="R205" s="287"/>
      <c r="S205" s="280"/>
      <c r="T205" s="280"/>
      <c r="U205" s="280"/>
      <c r="V205" s="280"/>
      <c r="W205" s="280"/>
      <c r="X205" s="280"/>
      <c r="Y205" s="280"/>
      <c r="Z205" s="284"/>
      <c r="AA205" s="284"/>
      <c r="AB205" s="284"/>
      <c r="AC205" s="284"/>
      <c r="AD205" s="284"/>
      <c r="AE205" s="284"/>
      <c r="AF205" s="447"/>
      <c r="AG205" s="447"/>
      <c r="AH205" s="447"/>
      <c r="AI205" s="382"/>
      <c r="AJ205" s="382"/>
      <c r="AK205" s="382"/>
      <c r="AL205" s="382"/>
      <c r="AM205" s="382"/>
      <c r="AN205" s="382"/>
      <c r="AO205" s="382"/>
      <c r="AP205" s="382"/>
      <c r="AQ205" s="382"/>
      <c r="AR205" s="382"/>
      <c r="AS205" s="382"/>
      <c r="AT205" s="382"/>
      <c r="AU205" s="382"/>
      <c r="AV205" s="382"/>
      <c r="AW205" s="382"/>
      <c r="AX205" s="382"/>
      <c r="AY205" s="382"/>
      <c r="AZ205" s="382"/>
      <c r="BA205" s="382"/>
      <c r="BB205" s="382"/>
      <c r="BC205" s="382"/>
      <c r="BD205" s="382"/>
      <c r="BE205" s="382"/>
      <c r="BF205" s="382"/>
      <c r="BG205" s="382"/>
      <c r="BH205" s="382"/>
      <c r="BI205" s="382"/>
      <c r="BJ205" s="382"/>
      <c r="BK205" s="382"/>
      <c r="BL205" s="382"/>
      <c r="BM205" s="382"/>
      <c r="BN205" s="382"/>
      <c r="BO205" s="382"/>
    </row>
    <row r="206" spans="1:67" s="88" customFormat="1" ht="10.55" customHeight="1" x14ac:dyDescent="0.2">
      <c r="A206" s="675"/>
      <c r="B206" s="2807"/>
      <c r="C206" s="2808"/>
      <c r="D206" s="2809"/>
      <c r="E206" s="2561"/>
      <c r="F206" s="2562"/>
      <c r="G206" s="1015"/>
      <c r="H206" s="524"/>
      <c r="I206" s="1409">
        <f t="shared" si="44"/>
        <v>0</v>
      </c>
      <c r="J206" s="1421">
        <f t="shared" si="45"/>
        <v>0</v>
      </c>
      <c r="K206" s="679"/>
      <c r="L206" s="1002"/>
      <c r="M206" s="1428">
        <f t="shared" si="46"/>
        <v>0</v>
      </c>
      <c r="N206" s="1111"/>
      <c r="O206" s="674">
        <f t="shared" si="47"/>
        <v>0</v>
      </c>
      <c r="P206" s="682"/>
      <c r="Q206" s="286"/>
      <c r="R206" s="287"/>
      <c r="S206" s="280"/>
      <c r="T206" s="280"/>
      <c r="U206" s="280"/>
      <c r="V206" s="280"/>
      <c r="W206" s="280"/>
      <c r="X206" s="280"/>
      <c r="Y206" s="280"/>
      <c r="Z206" s="284"/>
      <c r="AA206" s="284"/>
      <c r="AB206" s="284"/>
      <c r="AC206" s="284"/>
      <c r="AD206" s="284"/>
      <c r="AE206" s="284"/>
      <c r="AF206" s="447"/>
      <c r="AG206" s="447"/>
      <c r="AH206" s="447"/>
      <c r="AI206" s="382"/>
      <c r="AJ206" s="382"/>
      <c r="AK206" s="382"/>
      <c r="AL206" s="382"/>
      <c r="AM206" s="382"/>
      <c r="AN206" s="382"/>
      <c r="AO206" s="382"/>
      <c r="AP206" s="382"/>
      <c r="AQ206" s="382"/>
      <c r="AR206" s="382"/>
      <c r="AS206" s="382"/>
      <c r="AT206" s="382"/>
      <c r="AU206" s="382"/>
      <c r="AV206" s="382"/>
      <c r="AW206" s="382"/>
      <c r="AX206" s="382"/>
      <c r="AY206" s="382"/>
      <c r="AZ206" s="382"/>
      <c r="BA206" s="382"/>
      <c r="BB206" s="382"/>
      <c r="BC206" s="382"/>
      <c r="BD206" s="382"/>
      <c r="BE206" s="382"/>
      <c r="BF206" s="382"/>
      <c r="BG206" s="382"/>
      <c r="BH206" s="382"/>
      <c r="BI206" s="382"/>
      <c r="BJ206" s="382"/>
      <c r="BK206" s="382"/>
      <c r="BL206" s="382"/>
      <c r="BM206" s="382"/>
      <c r="BN206" s="382"/>
      <c r="BO206" s="382"/>
    </row>
    <row r="207" spans="1:67" s="88" customFormat="1" ht="10.55" customHeight="1" x14ac:dyDescent="0.2">
      <c r="A207" s="675"/>
      <c r="B207" s="2807"/>
      <c r="C207" s="2808"/>
      <c r="D207" s="2809"/>
      <c r="E207" s="2561"/>
      <c r="F207" s="2562"/>
      <c r="G207" s="1015"/>
      <c r="H207" s="524"/>
      <c r="I207" s="1409">
        <f t="shared" si="44"/>
        <v>0</v>
      </c>
      <c r="J207" s="1421">
        <f t="shared" si="45"/>
        <v>0</v>
      </c>
      <c r="K207" s="679"/>
      <c r="L207" s="1002"/>
      <c r="M207" s="1428">
        <f t="shared" si="46"/>
        <v>0</v>
      </c>
      <c r="N207" s="1111"/>
      <c r="O207" s="674">
        <f t="shared" si="47"/>
        <v>0</v>
      </c>
      <c r="P207" s="682"/>
      <c r="Q207" s="286"/>
      <c r="R207" s="287"/>
      <c r="S207" s="280"/>
      <c r="T207" s="280"/>
      <c r="U207" s="280"/>
      <c r="V207" s="280"/>
      <c r="W207" s="280"/>
      <c r="X207" s="280"/>
      <c r="Y207" s="280"/>
      <c r="Z207" s="284"/>
      <c r="AA207" s="284"/>
      <c r="AB207" s="284"/>
      <c r="AC207" s="284"/>
      <c r="AD207" s="284"/>
      <c r="AE207" s="284"/>
      <c r="AF207" s="447"/>
      <c r="AG207" s="447"/>
      <c r="AH207" s="447"/>
      <c r="AI207" s="382"/>
      <c r="AJ207" s="382"/>
      <c r="AK207" s="382"/>
      <c r="AL207" s="382"/>
      <c r="AM207" s="382"/>
      <c r="AN207" s="382"/>
      <c r="AO207" s="382"/>
      <c r="AP207" s="382"/>
      <c r="AQ207" s="382"/>
      <c r="AR207" s="382"/>
      <c r="AS207" s="382"/>
      <c r="AT207" s="382"/>
      <c r="AU207" s="382"/>
      <c r="AV207" s="382"/>
      <c r="AW207" s="382"/>
      <c r="AX207" s="382"/>
      <c r="AY207" s="382"/>
      <c r="AZ207" s="382"/>
      <c r="BA207" s="382"/>
      <c r="BB207" s="382"/>
      <c r="BC207" s="382"/>
      <c r="BD207" s="382"/>
      <c r="BE207" s="382"/>
      <c r="BF207" s="382"/>
      <c r="BG207" s="382"/>
      <c r="BH207" s="382"/>
      <c r="BI207" s="382"/>
      <c r="BJ207" s="382"/>
      <c r="BK207" s="382"/>
      <c r="BL207" s="382"/>
      <c r="BM207" s="382"/>
      <c r="BN207" s="382"/>
      <c r="BO207" s="382"/>
    </row>
    <row r="208" spans="1:67" s="88" customFormat="1" ht="10.55" customHeight="1" x14ac:dyDescent="0.2">
      <c r="A208" s="675"/>
      <c r="B208" s="2807"/>
      <c r="C208" s="2808"/>
      <c r="D208" s="2809"/>
      <c r="E208" s="2561"/>
      <c r="F208" s="2562"/>
      <c r="G208" s="1015"/>
      <c r="H208" s="524"/>
      <c r="I208" s="1409">
        <f t="shared" si="44"/>
        <v>0</v>
      </c>
      <c r="J208" s="1421">
        <f t="shared" si="45"/>
        <v>0</v>
      </c>
      <c r="K208" s="679"/>
      <c r="L208" s="1002"/>
      <c r="M208" s="1428">
        <f t="shared" si="46"/>
        <v>0</v>
      </c>
      <c r="N208" s="1111"/>
      <c r="O208" s="674">
        <f t="shared" si="47"/>
        <v>0</v>
      </c>
      <c r="P208" s="682"/>
      <c r="Q208" s="286"/>
      <c r="R208" s="287"/>
      <c r="S208" s="280"/>
      <c r="T208" s="280"/>
      <c r="U208" s="280"/>
      <c r="V208" s="280"/>
      <c r="W208" s="280"/>
      <c r="X208" s="280"/>
      <c r="Y208" s="280"/>
      <c r="Z208" s="284"/>
      <c r="AA208" s="284"/>
      <c r="AB208" s="284"/>
      <c r="AC208" s="284"/>
      <c r="AD208" s="284"/>
      <c r="AE208" s="284"/>
      <c r="AF208" s="447"/>
      <c r="AG208" s="447"/>
      <c r="AH208" s="447"/>
      <c r="AI208" s="382"/>
      <c r="AJ208" s="382"/>
      <c r="AK208" s="382"/>
      <c r="AL208" s="382"/>
      <c r="AM208" s="382"/>
      <c r="AN208" s="382"/>
      <c r="AO208" s="382"/>
      <c r="AP208" s="382"/>
      <c r="AQ208" s="382"/>
      <c r="AR208" s="382"/>
      <c r="AS208" s="382"/>
      <c r="AT208" s="382"/>
      <c r="AU208" s="382"/>
      <c r="AV208" s="382"/>
      <c r="AW208" s="382"/>
      <c r="AX208" s="382"/>
      <c r="AY208" s="382"/>
      <c r="AZ208" s="382"/>
      <c r="BA208" s="382"/>
      <c r="BB208" s="382"/>
      <c r="BC208" s="382"/>
      <c r="BD208" s="382"/>
      <c r="BE208" s="382"/>
      <c r="BF208" s="382"/>
      <c r="BG208" s="382"/>
      <c r="BH208" s="382"/>
      <c r="BI208" s="382"/>
      <c r="BJ208" s="382"/>
      <c r="BK208" s="382"/>
      <c r="BL208" s="382"/>
      <c r="BM208" s="382"/>
      <c r="BN208" s="382"/>
      <c r="BO208" s="382"/>
    </row>
    <row r="209" spans="1:67" s="88" customFormat="1" ht="10.55" customHeight="1" x14ac:dyDescent="0.2">
      <c r="A209" s="675"/>
      <c r="B209" s="2807"/>
      <c r="C209" s="2808"/>
      <c r="D209" s="2809"/>
      <c r="E209" s="2561"/>
      <c r="F209" s="2562"/>
      <c r="G209" s="1015"/>
      <c r="H209" s="524"/>
      <c r="I209" s="1409">
        <f t="shared" si="44"/>
        <v>0</v>
      </c>
      <c r="J209" s="1421">
        <f t="shared" si="45"/>
        <v>0</v>
      </c>
      <c r="K209" s="679"/>
      <c r="L209" s="1002"/>
      <c r="M209" s="1428">
        <f t="shared" si="46"/>
        <v>0</v>
      </c>
      <c r="N209" s="1111"/>
      <c r="O209" s="674">
        <f t="shared" si="47"/>
        <v>0</v>
      </c>
      <c r="P209" s="682"/>
      <c r="Q209" s="286"/>
      <c r="R209" s="287"/>
      <c r="S209" s="280"/>
      <c r="T209" s="280"/>
      <c r="U209" s="280"/>
      <c r="V209" s="280"/>
      <c r="W209" s="280"/>
      <c r="X209" s="280"/>
      <c r="Y209" s="280"/>
      <c r="Z209" s="284"/>
      <c r="AA209" s="284"/>
      <c r="AB209" s="284"/>
      <c r="AC209" s="284"/>
      <c r="AD209" s="284"/>
      <c r="AE209" s="284"/>
      <c r="AF209" s="447"/>
      <c r="AG209" s="447"/>
      <c r="AH209" s="447"/>
      <c r="AI209" s="382"/>
      <c r="AJ209" s="382"/>
      <c r="AK209" s="382"/>
      <c r="AL209" s="382"/>
      <c r="AM209" s="382"/>
      <c r="AN209" s="382"/>
      <c r="AO209" s="382"/>
      <c r="AP209" s="382"/>
      <c r="AQ209" s="382"/>
      <c r="AR209" s="382"/>
      <c r="AS209" s="382"/>
      <c r="AT209" s="382"/>
      <c r="AU209" s="382"/>
      <c r="AV209" s="382"/>
      <c r="AW209" s="382"/>
      <c r="AX209" s="382"/>
      <c r="AY209" s="382"/>
      <c r="AZ209" s="382"/>
      <c r="BA209" s="382"/>
      <c r="BB209" s="382"/>
      <c r="BC209" s="382"/>
      <c r="BD209" s="382"/>
      <c r="BE209" s="382"/>
      <c r="BF209" s="382"/>
      <c r="BG209" s="382"/>
      <c r="BH209" s="382"/>
      <c r="BI209" s="382"/>
      <c r="BJ209" s="382"/>
      <c r="BK209" s="382"/>
      <c r="BL209" s="382"/>
      <c r="BM209" s="382"/>
      <c r="BN209" s="382"/>
      <c r="BO209" s="382"/>
    </row>
    <row r="210" spans="1:67" s="88" customFormat="1" ht="10.55" customHeight="1" x14ac:dyDescent="0.2">
      <c r="A210" s="1017"/>
      <c r="B210" s="2804"/>
      <c r="C210" s="2805"/>
      <c r="D210" s="2806"/>
      <c r="E210" s="2793"/>
      <c r="F210" s="2794"/>
      <c r="G210" s="1018"/>
      <c r="H210" s="1019"/>
      <c r="I210" s="1436">
        <f t="shared" si="44"/>
        <v>0</v>
      </c>
      <c r="J210" s="1422"/>
      <c r="K210" s="680"/>
      <c r="L210" s="1020"/>
      <c r="M210" s="1429">
        <f t="shared" si="46"/>
        <v>0</v>
      </c>
      <c r="N210" s="1111"/>
      <c r="O210" s="674">
        <f t="shared" si="47"/>
        <v>0</v>
      </c>
      <c r="P210" s="682"/>
      <c r="Q210" s="286"/>
      <c r="R210" s="287"/>
      <c r="S210" s="280"/>
      <c r="T210" s="280"/>
      <c r="U210" s="280"/>
      <c r="V210" s="280"/>
      <c r="W210" s="280"/>
      <c r="X210" s="280"/>
      <c r="Y210" s="280"/>
      <c r="Z210" s="284"/>
      <c r="AA210" s="284"/>
      <c r="AB210" s="284"/>
      <c r="AC210" s="284"/>
      <c r="AD210" s="284"/>
      <c r="AE210" s="284"/>
      <c r="AF210" s="447"/>
      <c r="AG210" s="447"/>
      <c r="AH210" s="447"/>
      <c r="AI210" s="382"/>
      <c r="AJ210" s="382"/>
      <c r="AK210" s="382"/>
      <c r="AL210" s="382"/>
      <c r="AM210" s="382"/>
      <c r="AN210" s="382"/>
      <c r="AO210" s="382"/>
      <c r="AP210" s="382"/>
      <c r="AQ210" s="382"/>
      <c r="AR210" s="382"/>
      <c r="AS210" s="382"/>
      <c r="AT210" s="382"/>
      <c r="AU210" s="382"/>
      <c r="AV210" s="382"/>
      <c r="AW210" s="382"/>
      <c r="AX210" s="382"/>
      <c r="AY210" s="382"/>
      <c r="AZ210" s="382"/>
      <c r="BA210" s="382"/>
      <c r="BB210" s="382"/>
      <c r="BC210" s="382"/>
      <c r="BD210" s="382"/>
      <c r="BE210" s="382"/>
      <c r="BF210" s="382"/>
      <c r="BG210" s="382"/>
      <c r="BH210" s="382"/>
      <c r="BI210" s="382"/>
      <c r="BJ210" s="382"/>
      <c r="BK210" s="382"/>
      <c r="BL210" s="382"/>
      <c r="BM210" s="382"/>
      <c r="BN210" s="382"/>
      <c r="BO210" s="382"/>
    </row>
    <row r="211" spans="1:67" s="88" customFormat="1" ht="10.55" customHeight="1" x14ac:dyDescent="0.2">
      <c r="A211" s="1122" t="s">
        <v>386</v>
      </c>
      <c r="B211" s="2783"/>
      <c r="C211" s="2784"/>
      <c r="D211" s="2785"/>
      <c r="E211" s="2810">
        <f>SUM(E212:E224)</f>
        <v>0</v>
      </c>
      <c r="F211" s="2811"/>
      <c r="G211" s="2747"/>
      <c r="H211" s="2748"/>
      <c r="I211" s="1435">
        <f>IF(E211=0,0,J211/E211)</f>
        <v>0</v>
      </c>
      <c r="J211" s="1423">
        <f>SUM(J212:J224)</f>
        <v>0</v>
      </c>
      <c r="K211" s="2749">
        <f>IF(E211=0,0,M211/E211*100)</f>
        <v>0</v>
      </c>
      <c r="L211" s="2750"/>
      <c r="M211" s="1430">
        <f>SUM(M212:M224)</f>
        <v>0</v>
      </c>
      <c r="N211" s="1111"/>
      <c r="O211" s="387">
        <f>IF(H211="",G211,H211)</f>
        <v>0</v>
      </c>
      <c r="P211" s="682"/>
      <c r="Q211" s="286"/>
      <c r="R211" s="287"/>
      <c r="S211" s="280"/>
      <c r="T211" s="280"/>
      <c r="U211" s="280"/>
      <c r="V211" s="280"/>
      <c r="W211" s="280"/>
      <c r="X211" s="280"/>
      <c r="Y211" s="280"/>
      <c r="Z211" s="284"/>
      <c r="AA211" s="284"/>
      <c r="AB211" s="284"/>
      <c r="AC211" s="284"/>
      <c r="AD211" s="284"/>
      <c r="AE211" s="284"/>
      <c r="AF211" s="447"/>
      <c r="AG211" s="447"/>
      <c r="AH211" s="447"/>
      <c r="AI211" s="382"/>
      <c r="AJ211" s="382"/>
      <c r="AK211" s="382"/>
      <c r="AL211" s="382"/>
      <c r="AM211" s="382"/>
      <c r="AN211" s="382"/>
      <c r="AO211" s="382"/>
      <c r="AP211" s="382"/>
      <c r="AQ211" s="382"/>
      <c r="AR211" s="382"/>
      <c r="AS211" s="382"/>
      <c r="AT211" s="382"/>
      <c r="AU211" s="382"/>
      <c r="AV211" s="382"/>
      <c r="AW211" s="382"/>
      <c r="AX211" s="382"/>
      <c r="AY211" s="382"/>
      <c r="AZ211" s="382"/>
      <c r="BA211" s="382"/>
      <c r="BB211" s="382"/>
      <c r="BC211" s="382"/>
      <c r="BD211" s="382"/>
      <c r="BE211" s="382"/>
      <c r="BF211" s="382"/>
      <c r="BG211" s="382"/>
      <c r="BH211" s="382"/>
      <c r="BI211" s="382"/>
      <c r="BJ211" s="382"/>
      <c r="BK211" s="382"/>
      <c r="BL211" s="382"/>
      <c r="BM211" s="382"/>
      <c r="BN211" s="382"/>
      <c r="BO211" s="382"/>
    </row>
    <row r="212" spans="1:67" s="88" customFormat="1" ht="10.55" customHeight="1" x14ac:dyDescent="0.2">
      <c r="A212" s="1013" t="s">
        <v>387</v>
      </c>
      <c r="B212" s="2790"/>
      <c r="C212" s="2791"/>
      <c r="D212" s="2792"/>
      <c r="E212" s="2734"/>
      <c r="F212" s="2735"/>
      <c r="G212" s="1785">
        <v>30</v>
      </c>
      <c r="H212" s="524"/>
      <c r="I212" s="1409">
        <f t="shared" ref="I212:I225" si="48">IF($O212&gt;0,-PMT(($I$9),$O212,1),0)</f>
        <v>4.7777640736176463E-2</v>
      </c>
      <c r="J212" s="1421">
        <f t="shared" ref="J212:J224" si="49">ROUND(E212*I212,0)</f>
        <v>0</v>
      </c>
      <c r="K212" s="678">
        <v>0.5</v>
      </c>
      <c r="L212" s="1002"/>
      <c r="M212" s="1428">
        <f t="shared" ref="M212:M225" si="50">ROUND(E212/100*IF(ISBLANK(L212),K212,L212),0)</f>
        <v>0</v>
      </c>
      <c r="N212" s="1111"/>
      <c r="O212" s="674">
        <f t="shared" ref="O212:O225" si="51">IF(ISBLANK(H212),G212,H212)</f>
        <v>30</v>
      </c>
      <c r="P212" s="682"/>
      <c r="Q212" s="286"/>
      <c r="R212" s="287"/>
      <c r="S212" s="280"/>
      <c r="T212" s="280"/>
      <c r="U212" s="280"/>
      <c r="V212" s="280"/>
      <c r="W212" s="280"/>
      <c r="X212" s="280"/>
      <c r="Y212" s="280"/>
      <c r="Z212" s="284"/>
      <c r="AA212" s="284"/>
      <c r="AB212" s="284"/>
      <c r="AC212" s="284"/>
      <c r="AD212" s="284"/>
      <c r="AE212" s="284"/>
      <c r="AF212" s="447"/>
      <c r="AG212" s="447"/>
      <c r="AH212" s="447"/>
      <c r="AI212" s="382"/>
      <c r="AJ212" s="382"/>
      <c r="AK212" s="382"/>
      <c r="AL212" s="382"/>
      <c r="AM212" s="382"/>
      <c r="AN212" s="382"/>
      <c r="AO212" s="382"/>
      <c r="AP212" s="382"/>
      <c r="AQ212" s="382"/>
      <c r="AR212" s="382"/>
      <c r="AS212" s="382"/>
      <c r="AT212" s="382"/>
      <c r="AU212" s="382"/>
      <c r="AV212" s="382"/>
      <c r="AW212" s="382"/>
      <c r="AX212" s="382"/>
      <c r="AY212" s="382"/>
      <c r="AZ212" s="382"/>
      <c r="BA212" s="382"/>
      <c r="BB212" s="382"/>
      <c r="BC212" s="382"/>
      <c r="BD212" s="382"/>
      <c r="BE212" s="382"/>
      <c r="BF212" s="382"/>
      <c r="BG212" s="382"/>
      <c r="BH212" s="382"/>
      <c r="BI212" s="382"/>
      <c r="BJ212" s="382"/>
      <c r="BK212" s="382"/>
      <c r="BL212" s="382"/>
      <c r="BM212" s="382"/>
      <c r="BN212" s="382"/>
      <c r="BO212" s="382"/>
    </row>
    <row r="213" spans="1:67" s="88" customFormat="1" ht="10.55" customHeight="1" x14ac:dyDescent="0.2">
      <c r="A213" s="1013" t="s">
        <v>388</v>
      </c>
      <c r="B213" s="2807"/>
      <c r="C213" s="2808"/>
      <c r="D213" s="2809"/>
      <c r="E213" s="2561"/>
      <c r="F213" s="2562"/>
      <c r="G213" s="1785">
        <v>30</v>
      </c>
      <c r="H213" s="524"/>
      <c r="I213" s="1409">
        <f t="shared" si="48"/>
        <v>4.7777640736176463E-2</v>
      </c>
      <c r="J213" s="1421">
        <f t="shared" si="49"/>
        <v>0</v>
      </c>
      <c r="K213" s="678">
        <v>1.5</v>
      </c>
      <c r="L213" s="1002"/>
      <c r="M213" s="1428">
        <f t="shared" si="50"/>
        <v>0</v>
      </c>
      <c r="N213" s="1111"/>
      <c r="O213" s="674">
        <f t="shared" si="51"/>
        <v>30</v>
      </c>
      <c r="P213" s="682"/>
      <c r="Q213" s="286"/>
      <c r="R213" s="287"/>
      <c r="S213" s="280"/>
      <c r="T213" s="280"/>
      <c r="U213" s="280"/>
      <c r="V213" s="280"/>
      <c r="W213" s="280"/>
      <c r="X213" s="280"/>
      <c r="Y213" s="280"/>
      <c r="Z213" s="284"/>
      <c r="AA213" s="284"/>
      <c r="AB213" s="284"/>
      <c r="AC213" s="284"/>
      <c r="AD213" s="284"/>
      <c r="AE213" s="284"/>
      <c r="AF213" s="447"/>
      <c r="AG213" s="447"/>
      <c r="AH213" s="447"/>
      <c r="AI213" s="382"/>
      <c r="AJ213" s="382"/>
      <c r="AK213" s="382"/>
      <c r="AL213" s="382"/>
      <c r="AM213" s="382"/>
      <c r="AN213" s="382"/>
      <c r="AO213" s="382"/>
      <c r="AP213" s="382"/>
      <c r="AQ213" s="382"/>
      <c r="AR213" s="382"/>
      <c r="AS213" s="382"/>
      <c r="AT213" s="382"/>
      <c r="AU213" s="382"/>
      <c r="AV213" s="382"/>
      <c r="AW213" s="382"/>
      <c r="AX213" s="382"/>
      <c r="AY213" s="382"/>
      <c r="AZ213" s="382"/>
      <c r="BA213" s="382"/>
      <c r="BB213" s="382"/>
      <c r="BC213" s="382"/>
      <c r="BD213" s="382"/>
      <c r="BE213" s="382"/>
      <c r="BF213" s="382"/>
      <c r="BG213" s="382"/>
      <c r="BH213" s="382"/>
      <c r="BI213" s="382"/>
      <c r="BJ213" s="382"/>
      <c r="BK213" s="382"/>
      <c r="BL213" s="382"/>
      <c r="BM213" s="382"/>
      <c r="BN213" s="382"/>
      <c r="BO213" s="382"/>
    </row>
    <row r="214" spans="1:67" s="88" customFormat="1" ht="10.55" customHeight="1" x14ac:dyDescent="0.2">
      <c r="A214" s="1013" t="s">
        <v>389</v>
      </c>
      <c r="B214" s="2807"/>
      <c r="C214" s="2808"/>
      <c r="D214" s="2809"/>
      <c r="E214" s="2561"/>
      <c r="F214" s="2562"/>
      <c r="G214" s="1785">
        <v>30</v>
      </c>
      <c r="H214" s="524"/>
      <c r="I214" s="1409">
        <f t="shared" si="48"/>
        <v>4.7777640736176463E-2</v>
      </c>
      <c r="J214" s="1421">
        <f t="shared" si="49"/>
        <v>0</v>
      </c>
      <c r="K214" s="678">
        <v>1.5</v>
      </c>
      <c r="L214" s="1002"/>
      <c r="M214" s="1428">
        <f t="shared" si="50"/>
        <v>0</v>
      </c>
      <c r="N214" s="1111"/>
      <c r="O214" s="674">
        <f t="shared" si="51"/>
        <v>30</v>
      </c>
      <c r="P214" s="682"/>
      <c r="Q214" s="286"/>
      <c r="R214" s="287"/>
      <c r="S214" s="280"/>
      <c r="T214" s="280"/>
      <c r="U214" s="280"/>
      <c r="V214" s="280"/>
      <c r="W214" s="280"/>
      <c r="X214" s="280"/>
      <c r="Y214" s="280"/>
      <c r="Z214" s="284"/>
      <c r="AA214" s="284"/>
      <c r="AB214" s="284"/>
      <c r="AC214" s="284"/>
      <c r="AD214" s="284"/>
      <c r="AE214" s="284"/>
      <c r="AF214" s="447"/>
      <c r="AG214" s="447"/>
      <c r="AH214" s="447"/>
      <c r="AI214" s="382"/>
      <c r="AJ214" s="382"/>
      <c r="AK214" s="382"/>
      <c r="AL214" s="382"/>
      <c r="AM214" s="382"/>
      <c r="AN214" s="382"/>
      <c r="AO214" s="382"/>
      <c r="AP214" s="382"/>
      <c r="AQ214" s="382"/>
      <c r="AR214" s="382"/>
      <c r="AS214" s="382"/>
      <c r="AT214" s="382"/>
      <c r="AU214" s="382"/>
      <c r="AV214" s="382"/>
      <c r="AW214" s="382"/>
      <c r="AX214" s="382"/>
      <c r="AY214" s="382"/>
      <c r="AZ214" s="382"/>
      <c r="BA214" s="382"/>
      <c r="BB214" s="382"/>
      <c r="BC214" s="382"/>
      <c r="BD214" s="382"/>
      <c r="BE214" s="382"/>
      <c r="BF214" s="382"/>
      <c r="BG214" s="382"/>
      <c r="BH214" s="382"/>
      <c r="BI214" s="382"/>
      <c r="BJ214" s="382"/>
      <c r="BK214" s="382"/>
      <c r="BL214" s="382"/>
      <c r="BM214" s="382"/>
      <c r="BN214" s="382"/>
      <c r="BO214" s="382"/>
    </row>
    <row r="215" spans="1:67" s="88" customFormat="1" ht="10.55" customHeight="1" x14ac:dyDescent="0.2">
      <c r="A215" s="1013" t="s">
        <v>461</v>
      </c>
      <c r="B215" s="2807"/>
      <c r="C215" s="2808"/>
      <c r="D215" s="2809"/>
      <c r="E215" s="2561"/>
      <c r="F215" s="2562"/>
      <c r="G215" s="1785">
        <v>30</v>
      </c>
      <c r="H215" s="524"/>
      <c r="I215" s="1409">
        <f t="shared" si="48"/>
        <v>4.7777640736176463E-2</v>
      </c>
      <c r="J215" s="1421">
        <f t="shared" si="49"/>
        <v>0</v>
      </c>
      <c r="K215" s="678">
        <v>1.5</v>
      </c>
      <c r="L215" s="1002"/>
      <c r="M215" s="1428">
        <f t="shared" si="50"/>
        <v>0</v>
      </c>
      <c r="N215" s="1111"/>
      <c r="O215" s="674">
        <f t="shared" si="51"/>
        <v>30</v>
      </c>
      <c r="P215" s="682"/>
      <c r="Q215" s="286"/>
      <c r="R215" s="287"/>
      <c r="S215" s="280"/>
      <c r="T215" s="280"/>
      <c r="U215" s="280"/>
      <c r="V215" s="280"/>
      <c r="W215" s="280"/>
      <c r="X215" s="280"/>
      <c r="Y215" s="280"/>
      <c r="Z215" s="284"/>
      <c r="AA215" s="284"/>
      <c r="AB215" s="284"/>
      <c r="AC215" s="284"/>
      <c r="AD215" s="284"/>
      <c r="AE215" s="284"/>
      <c r="AF215" s="447"/>
      <c r="AG215" s="447"/>
      <c r="AH215" s="447"/>
      <c r="AI215" s="382"/>
      <c r="AJ215" s="382"/>
      <c r="AK215" s="382"/>
      <c r="AL215" s="382"/>
      <c r="AM215" s="382"/>
      <c r="AN215" s="382"/>
      <c r="AO215" s="382"/>
      <c r="AP215" s="382"/>
      <c r="AQ215" s="382"/>
      <c r="AR215" s="382"/>
      <c r="AS215" s="382"/>
      <c r="AT215" s="382"/>
      <c r="AU215" s="382"/>
      <c r="AV215" s="382"/>
      <c r="AW215" s="382"/>
      <c r="AX215" s="382"/>
      <c r="AY215" s="382"/>
      <c r="AZ215" s="382"/>
      <c r="BA215" s="382"/>
      <c r="BB215" s="382"/>
      <c r="BC215" s="382"/>
      <c r="BD215" s="382"/>
      <c r="BE215" s="382"/>
      <c r="BF215" s="382"/>
      <c r="BG215" s="382"/>
      <c r="BH215" s="382"/>
      <c r="BI215" s="382"/>
      <c r="BJ215" s="382"/>
      <c r="BK215" s="382"/>
      <c r="BL215" s="382"/>
      <c r="BM215" s="382"/>
      <c r="BN215" s="382"/>
      <c r="BO215" s="382"/>
    </row>
    <row r="216" spans="1:67" s="88" customFormat="1" ht="10.55" customHeight="1" x14ac:dyDescent="0.2">
      <c r="A216" s="1013" t="s">
        <v>462</v>
      </c>
      <c r="B216" s="2807"/>
      <c r="C216" s="2808"/>
      <c r="D216" s="2809"/>
      <c r="E216" s="2561"/>
      <c r="F216" s="2562"/>
      <c r="G216" s="1785">
        <v>30</v>
      </c>
      <c r="H216" s="524"/>
      <c r="I216" s="1409">
        <f t="shared" si="48"/>
        <v>4.7777640736176463E-2</v>
      </c>
      <c r="J216" s="1421">
        <f t="shared" si="49"/>
        <v>0</v>
      </c>
      <c r="K216" s="678">
        <v>1.5</v>
      </c>
      <c r="L216" s="1002"/>
      <c r="M216" s="1428">
        <f t="shared" si="50"/>
        <v>0</v>
      </c>
      <c r="N216" s="1111"/>
      <c r="O216" s="674">
        <f t="shared" si="51"/>
        <v>30</v>
      </c>
      <c r="P216" s="682"/>
      <c r="Q216" s="286"/>
      <c r="R216" s="287"/>
      <c r="S216" s="280"/>
      <c r="T216" s="280"/>
      <c r="U216" s="280"/>
      <c r="V216" s="280"/>
      <c r="W216" s="280"/>
      <c r="X216" s="280"/>
      <c r="Y216" s="280"/>
      <c r="Z216" s="284"/>
      <c r="AA216" s="284"/>
      <c r="AB216" s="284"/>
      <c r="AC216" s="284"/>
      <c r="AD216" s="284"/>
      <c r="AE216" s="284"/>
      <c r="AF216" s="447"/>
      <c r="AG216" s="447"/>
      <c r="AH216" s="447"/>
      <c r="AI216" s="382"/>
      <c r="AJ216" s="382"/>
      <c r="AK216" s="382"/>
      <c r="AL216" s="382"/>
      <c r="AM216" s="382"/>
      <c r="AN216" s="382"/>
      <c r="AO216" s="382"/>
      <c r="AP216" s="382"/>
      <c r="AQ216" s="382"/>
      <c r="AR216" s="382"/>
      <c r="AS216" s="382"/>
      <c r="AT216" s="382"/>
      <c r="AU216" s="382"/>
      <c r="AV216" s="382"/>
      <c r="AW216" s="382"/>
      <c r="AX216" s="382"/>
      <c r="AY216" s="382"/>
      <c r="AZ216" s="382"/>
      <c r="BA216" s="382"/>
      <c r="BB216" s="382"/>
      <c r="BC216" s="382"/>
      <c r="BD216" s="382"/>
      <c r="BE216" s="382"/>
      <c r="BF216" s="382"/>
      <c r="BG216" s="382"/>
      <c r="BH216" s="382"/>
      <c r="BI216" s="382"/>
      <c r="BJ216" s="382"/>
      <c r="BK216" s="382"/>
      <c r="BL216" s="382"/>
      <c r="BM216" s="382"/>
      <c r="BN216" s="382"/>
      <c r="BO216" s="382"/>
    </row>
    <row r="217" spans="1:67" s="88" customFormat="1" ht="10.55" customHeight="1" x14ac:dyDescent="0.2">
      <c r="A217" s="675"/>
      <c r="B217" s="2807"/>
      <c r="C217" s="2808"/>
      <c r="D217" s="2809"/>
      <c r="E217" s="2561"/>
      <c r="F217" s="2562"/>
      <c r="G217" s="1015"/>
      <c r="H217" s="524"/>
      <c r="I217" s="1409">
        <f t="shared" si="48"/>
        <v>0</v>
      </c>
      <c r="J217" s="1421">
        <f t="shared" si="49"/>
        <v>0</v>
      </c>
      <c r="K217" s="679"/>
      <c r="L217" s="1002"/>
      <c r="M217" s="1428">
        <f t="shared" si="50"/>
        <v>0</v>
      </c>
      <c r="N217" s="1111"/>
      <c r="O217" s="674">
        <f t="shared" si="51"/>
        <v>0</v>
      </c>
      <c r="P217" s="682"/>
      <c r="Q217" s="286"/>
      <c r="R217" s="287"/>
      <c r="S217" s="280"/>
      <c r="T217" s="280"/>
      <c r="U217" s="280"/>
      <c r="V217" s="280"/>
      <c r="W217" s="280"/>
      <c r="X217" s="280"/>
      <c r="Y217" s="280"/>
      <c r="Z217" s="284"/>
      <c r="AA217" s="284"/>
      <c r="AB217" s="284"/>
      <c r="AC217" s="284"/>
      <c r="AD217" s="284"/>
      <c r="AE217" s="284"/>
      <c r="AF217" s="447"/>
      <c r="AG217" s="447"/>
      <c r="AH217" s="447"/>
      <c r="AI217" s="382"/>
      <c r="AJ217" s="382"/>
      <c r="AK217" s="382"/>
      <c r="AL217" s="382"/>
      <c r="AM217" s="382"/>
      <c r="AN217" s="382"/>
      <c r="AO217" s="382"/>
      <c r="AP217" s="382"/>
      <c r="AQ217" s="382"/>
      <c r="AR217" s="382"/>
      <c r="AS217" s="382"/>
      <c r="AT217" s="382"/>
      <c r="AU217" s="382"/>
      <c r="AV217" s="382"/>
      <c r="AW217" s="382"/>
      <c r="AX217" s="382"/>
      <c r="AY217" s="382"/>
      <c r="AZ217" s="382"/>
      <c r="BA217" s="382"/>
      <c r="BB217" s="382"/>
      <c r="BC217" s="382"/>
      <c r="BD217" s="382"/>
      <c r="BE217" s="382"/>
      <c r="BF217" s="382"/>
      <c r="BG217" s="382"/>
      <c r="BH217" s="382"/>
      <c r="BI217" s="382"/>
      <c r="BJ217" s="382"/>
      <c r="BK217" s="382"/>
      <c r="BL217" s="382"/>
      <c r="BM217" s="382"/>
      <c r="BN217" s="382"/>
      <c r="BO217" s="382"/>
    </row>
    <row r="218" spans="1:67" s="88" customFormat="1" ht="10.55" customHeight="1" x14ac:dyDescent="0.2">
      <c r="A218" s="675"/>
      <c r="B218" s="2807"/>
      <c r="C218" s="2808"/>
      <c r="D218" s="2809"/>
      <c r="E218" s="2561"/>
      <c r="F218" s="2562"/>
      <c r="G218" s="1015"/>
      <c r="H218" s="524"/>
      <c r="I218" s="1409">
        <f t="shared" si="48"/>
        <v>0</v>
      </c>
      <c r="J218" s="1421">
        <f t="shared" si="49"/>
        <v>0</v>
      </c>
      <c r="K218" s="679"/>
      <c r="L218" s="1002"/>
      <c r="M218" s="1428">
        <f t="shared" si="50"/>
        <v>0</v>
      </c>
      <c r="N218" s="1111"/>
      <c r="O218" s="674">
        <f t="shared" si="51"/>
        <v>0</v>
      </c>
      <c r="P218" s="682"/>
      <c r="Q218" s="286"/>
      <c r="R218" s="287"/>
      <c r="S218" s="280"/>
      <c r="T218" s="280"/>
      <c r="U218" s="280"/>
      <c r="V218" s="280"/>
      <c r="W218" s="280"/>
      <c r="X218" s="280"/>
      <c r="Y218" s="280"/>
      <c r="Z218" s="284"/>
      <c r="AA218" s="284"/>
      <c r="AB218" s="284"/>
      <c r="AC218" s="284"/>
      <c r="AD218" s="284"/>
      <c r="AE218" s="284"/>
      <c r="AF218" s="447"/>
      <c r="AG218" s="447"/>
      <c r="AH218" s="447"/>
      <c r="AI218" s="382"/>
      <c r="AJ218" s="382"/>
      <c r="AK218" s="382"/>
      <c r="AL218" s="382"/>
      <c r="AM218" s="382"/>
      <c r="AN218" s="382"/>
      <c r="AO218" s="382"/>
      <c r="AP218" s="382"/>
      <c r="AQ218" s="382"/>
      <c r="AR218" s="382"/>
      <c r="AS218" s="382"/>
      <c r="AT218" s="382"/>
      <c r="AU218" s="382"/>
      <c r="AV218" s="382"/>
      <c r="AW218" s="382"/>
      <c r="AX218" s="382"/>
      <c r="AY218" s="382"/>
      <c r="AZ218" s="382"/>
      <c r="BA218" s="382"/>
      <c r="BB218" s="382"/>
      <c r="BC218" s="382"/>
      <c r="BD218" s="382"/>
      <c r="BE218" s="382"/>
      <c r="BF218" s="382"/>
      <c r="BG218" s="382"/>
      <c r="BH218" s="382"/>
      <c r="BI218" s="382"/>
      <c r="BJ218" s="382"/>
      <c r="BK218" s="382"/>
      <c r="BL218" s="382"/>
      <c r="BM218" s="382"/>
      <c r="BN218" s="382"/>
      <c r="BO218" s="382"/>
    </row>
    <row r="219" spans="1:67" s="88" customFormat="1" ht="10.55" customHeight="1" x14ac:dyDescent="0.2">
      <c r="A219" s="675"/>
      <c r="B219" s="2807"/>
      <c r="C219" s="2808"/>
      <c r="D219" s="2809"/>
      <c r="E219" s="2561"/>
      <c r="F219" s="2562"/>
      <c r="G219" s="1015"/>
      <c r="H219" s="524"/>
      <c r="I219" s="1409">
        <f t="shared" si="48"/>
        <v>0</v>
      </c>
      <c r="J219" s="1421">
        <f t="shared" si="49"/>
        <v>0</v>
      </c>
      <c r="K219" s="679"/>
      <c r="L219" s="1002"/>
      <c r="M219" s="1428">
        <f t="shared" si="50"/>
        <v>0</v>
      </c>
      <c r="N219" s="1111"/>
      <c r="O219" s="674">
        <f t="shared" si="51"/>
        <v>0</v>
      </c>
      <c r="P219" s="682"/>
      <c r="Q219" s="286"/>
      <c r="R219" s="287"/>
      <c r="S219" s="280"/>
      <c r="T219" s="280"/>
      <c r="U219" s="280"/>
      <c r="V219" s="280"/>
      <c r="W219" s="280"/>
      <c r="X219" s="280"/>
      <c r="Y219" s="280"/>
      <c r="Z219" s="284"/>
      <c r="AA219" s="284"/>
      <c r="AB219" s="284"/>
      <c r="AC219" s="284"/>
      <c r="AD219" s="284"/>
      <c r="AE219" s="284"/>
      <c r="AF219" s="447"/>
      <c r="AG219" s="447"/>
      <c r="AH219" s="447"/>
      <c r="AI219" s="382"/>
      <c r="AJ219" s="382"/>
      <c r="AK219" s="382"/>
      <c r="AL219" s="382"/>
      <c r="AM219" s="382"/>
      <c r="AN219" s="382"/>
      <c r="AO219" s="382"/>
      <c r="AP219" s="382"/>
      <c r="AQ219" s="382"/>
      <c r="AR219" s="382"/>
      <c r="AS219" s="382"/>
      <c r="AT219" s="382"/>
      <c r="AU219" s="382"/>
      <c r="AV219" s="382"/>
      <c r="AW219" s="382"/>
      <c r="AX219" s="382"/>
      <c r="AY219" s="382"/>
      <c r="AZ219" s="382"/>
      <c r="BA219" s="382"/>
      <c r="BB219" s="382"/>
      <c r="BC219" s="382"/>
      <c r="BD219" s="382"/>
      <c r="BE219" s="382"/>
      <c r="BF219" s="382"/>
      <c r="BG219" s="382"/>
      <c r="BH219" s="382"/>
      <c r="BI219" s="382"/>
      <c r="BJ219" s="382"/>
      <c r="BK219" s="382"/>
      <c r="BL219" s="382"/>
      <c r="BM219" s="382"/>
      <c r="BN219" s="382"/>
      <c r="BO219" s="382"/>
    </row>
    <row r="220" spans="1:67" s="88" customFormat="1" ht="10.55" customHeight="1" x14ac:dyDescent="0.2">
      <c r="A220" s="675"/>
      <c r="B220" s="2807"/>
      <c r="C220" s="2808"/>
      <c r="D220" s="2809"/>
      <c r="E220" s="2561"/>
      <c r="F220" s="2562"/>
      <c r="G220" s="1015"/>
      <c r="H220" s="524"/>
      <c r="I220" s="1409">
        <f t="shared" si="48"/>
        <v>0</v>
      </c>
      <c r="J220" s="1421">
        <f t="shared" si="49"/>
        <v>0</v>
      </c>
      <c r="K220" s="679"/>
      <c r="L220" s="1002"/>
      <c r="M220" s="1428">
        <f t="shared" si="50"/>
        <v>0</v>
      </c>
      <c r="N220" s="1111"/>
      <c r="O220" s="674">
        <f t="shared" si="51"/>
        <v>0</v>
      </c>
      <c r="P220" s="682"/>
      <c r="Q220" s="286"/>
      <c r="R220" s="287"/>
      <c r="S220" s="280"/>
      <c r="T220" s="280"/>
      <c r="U220" s="280"/>
      <c r="V220" s="280"/>
      <c r="W220" s="280"/>
      <c r="X220" s="280"/>
      <c r="Y220" s="280"/>
      <c r="Z220" s="284"/>
      <c r="AA220" s="284"/>
      <c r="AB220" s="284"/>
      <c r="AC220" s="284"/>
      <c r="AD220" s="284"/>
      <c r="AE220" s="284"/>
      <c r="AF220" s="447"/>
      <c r="AG220" s="447"/>
      <c r="AH220" s="447"/>
      <c r="AI220" s="382"/>
      <c r="AJ220" s="382"/>
      <c r="AK220" s="382"/>
      <c r="AL220" s="382"/>
      <c r="AM220" s="382"/>
      <c r="AN220" s="382"/>
      <c r="AO220" s="382"/>
      <c r="AP220" s="382"/>
      <c r="AQ220" s="382"/>
      <c r="AR220" s="382"/>
      <c r="AS220" s="382"/>
      <c r="AT220" s="382"/>
      <c r="AU220" s="382"/>
      <c r="AV220" s="382"/>
      <c r="AW220" s="382"/>
      <c r="AX220" s="382"/>
      <c r="AY220" s="382"/>
      <c r="AZ220" s="382"/>
      <c r="BA220" s="382"/>
      <c r="BB220" s="382"/>
      <c r="BC220" s="382"/>
      <c r="BD220" s="382"/>
      <c r="BE220" s="382"/>
      <c r="BF220" s="382"/>
      <c r="BG220" s="382"/>
      <c r="BH220" s="382"/>
      <c r="BI220" s="382"/>
      <c r="BJ220" s="382"/>
      <c r="BK220" s="382"/>
      <c r="BL220" s="382"/>
      <c r="BM220" s="382"/>
      <c r="BN220" s="382"/>
      <c r="BO220" s="382"/>
    </row>
    <row r="221" spans="1:67" s="88" customFormat="1" ht="10.55" customHeight="1" x14ac:dyDescent="0.2">
      <c r="A221" s="675"/>
      <c r="B221" s="2807"/>
      <c r="C221" s="2808"/>
      <c r="D221" s="2809"/>
      <c r="E221" s="2561"/>
      <c r="F221" s="2562"/>
      <c r="G221" s="1015"/>
      <c r="H221" s="524"/>
      <c r="I221" s="1409">
        <f t="shared" si="48"/>
        <v>0</v>
      </c>
      <c r="J221" s="1421">
        <f t="shared" si="49"/>
        <v>0</v>
      </c>
      <c r="K221" s="679"/>
      <c r="L221" s="1002"/>
      <c r="M221" s="1428">
        <f t="shared" si="50"/>
        <v>0</v>
      </c>
      <c r="N221" s="1111"/>
      <c r="O221" s="674">
        <f t="shared" si="51"/>
        <v>0</v>
      </c>
      <c r="P221" s="682"/>
      <c r="Q221" s="286"/>
      <c r="R221" s="287"/>
      <c r="S221" s="280"/>
      <c r="T221" s="280"/>
      <c r="U221" s="280"/>
      <c r="V221" s="280"/>
      <c r="W221" s="280"/>
      <c r="X221" s="280"/>
      <c r="Y221" s="280"/>
      <c r="Z221" s="284"/>
      <c r="AA221" s="284"/>
      <c r="AB221" s="284"/>
      <c r="AC221" s="284"/>
      <c r="AD221" s="284"/>
      <c r="AE221" s="284"/>
      <c r="AF221" s="447"/>
      <c r="AG221" s="447"/>
      <c r="AH221" s="447"/>
      <c r="AI221" s="382"/>
      <c r="AJ221" s="382"/>
      <c r="AK221" s="382"/>
      <c r="AL221" s="382"/>
      <c r="AM221" s="382"/>
      <c r="AN221" s="382"/>
      <c r="AO221" s="382"/>
      <c r="AP221" s="382"/>
      <c r="AQ221" s="382"/>
      <c r="AR221" s="382"/>
      <c r="AS221" s="382"/>
      <c r="AT221" s="382"/>
      <c r="AU221" s="382"/>
      <c r="AV221" s="382"/>
      <c r="AW221" s="382"/>
      <c r="AX221" s="382"/>
      <c r="AY221" s="382"/>
      <c r="AZ221" s="382"/>
      <c r="BA221" s="382"/>
      <c r="BB221" s="382"/>
      <c r="BC221" s="382"/>
      <c r="BD221" s="382"/>
      <c r="BE221" s="382"/>
      <c r="BF221" s="382"/>
      <c r="BG221" s="382"/>
      <c r="BH221" s="382"/>
      <c r="BI221" s="382"/>
      <c r="BJ221" s="382"/>
      <c r="BK221" s="382"/>
      <c r="BL221" s="382"/>
      <c r="BM221" s="382"/>
      <c r="BN221" s="382"/>
      <c r="BO221" s="382"/>
    </row>
    <row r="222" spans="1:67" s="88" customFormat="1" ht="10.55" customHeight="1" x14ac:dyDescent="0.2">
      <c r="A222" s="675"/>
      <c r="B222" s="2807"/>
      <c r="C222" s="2808"/>
      <c r="D222" s="2809"/>
      <c r="E222" s="2561"/>
      <c r="F222" s="2562"/>
      <c r="G222" s="1015"/>
      <c r="H222" s="524"/>
      <c r="I222" s="1409">
        <f t="shared" si="48"/>
        <v>0</v>
      </c>
      <c r="J222" s="1421">
        <f t="shared" si="49"/>
        <v>0</v>
      </c>
      <c r="K222" s="679"/>
      <c r="L222" s="1002"/>
      <c r="M222" s="1428">
        <f t="shared" si="50"/>
        <v>0</v>
      </c>
      <c r="N222" s="1111"/>
      <c r="O222" s="674">
        <f t="shared" si="51"/>
        <v>0</v>
      </c>
      <c r="P222" s="682"/>
      <c r="Q222" s="286"/>
      <c r="R222" s="287"/>
      <c r="S222" s="280"/>
      <c r="T222" s="280"/>
      <c r="U222" s="280"/>
      <c r="V222" s="280"/>
      <c r="W222" s="280"/>
      <c r="X222" s="280"/>
      <c r="Y222" s="280"/>
      <c r="Z222" s="284"/>
      <c r="AA222" s="284"/>
      <c r="AB222" s="284"/>
      <c r="AC222" s="284"/>
      <c r="AD222" s="284"/>
      <c r="AE222" s="284"/>
      <c r="AF222" s="447"/>
      <c r="AG222" s="447"/>
      <c r="AH222" s="447"/>
      <c r="AI222" s="382"/>
      <c r="AJ222" s="382"/>
      <c r="AK222" s="382"/>
      <c r="AL222" s="382"/>
      <c r="AM222" s="382"/>
      <c r="AN222" s="382"/>
      <c r="AO222" s="382"/>
      <c r="AP222" s="382"/>
      <c r="AQ222" s="382"/>
      <c r="AR222" s="382"/>
      <c r="AS222" s="382"/>
      <c r="AT222" s="382"/>
      <c r="AU222" s="382"/>
      <c r="AV222" s="382"/>
      <c r="AW222" s="382"/>
      <c r="AX222" s="382"/>
      <c r="AY222" s="382"/>
      <c r="AZ222" s="382"/>
      <c r="BA222" s="382"/>
      <c r="BB222" s="382"/>
      <c r="BC222" s="382"/>
      <c r="BD222" s="382"/>
      <c r="BE222" s="382"/>
      <c r="BF222" s="382"/>
      <c r="BG222" s="382"/>
      <c r="BH222" s="382"/>
      <c r="BI222" s="382"/>
      <c r="BJ222" s="382"/>
      <c r="BK222" s="382"/>
      <c r="BL222" s="382"/>
      <c r="BM222" s="382"/>
      <c r="BN222" s="382"/>
      <c r="BO222" s="382"/>
    </row>
    <row r="223" spans="1:67" s="88" customFormat="1" ht="10.55" customHeight="1" x14ac:dyDescent="0.2">
      <c r="A223" s="675"/>
      <c r="B223" s="2807"/>
      <c r="C223" s="2808"/>
      <c r="D223" s="2809"/>
      <c r="E223" s="2561"/>
      <c r="F223" s="2562"/>
      <c r="G223" s="1015"/>
      <c r="H223" s="524"/>
      <c r="I223" s="1409">
        <f t="shared" si="48"/>
        <v>0</v>
      </c>
      <c r="J223" s="1421">
        <f t="shared" si="49"/>
        <v>0</v>
      </c>
      <c r="K223" s="679"/>
      <c r="L223" s="1002"/>
      <c r="M223" s="1428">
        <f t="shared" si="50"/>
        <v>0</v>
      </c>
      <c r="N223" s="1111"/>
      <c r="O223" s="674">
        <f t="shared" si="51"/>
        <v>0</v>
      </c>
      <c r="P223" s="682"/>
      <c r="Q223" s="286"/>
      <c r="R223" s="287"/>
      <c r="S223" s="280"/>
      <c r="T223" s="280"/>
      <c r="U223" s="280"/>
      <c r="V223" s="280"/>
      <c r="W223" s="280"/>
      <c r="X223" s="280"/>
      <c r="Y223" s="280"/>
      <c r="Z223" s="284"/>
      <c r="AA223" s="284"/>
      <c r="AB223" s="284"/>
      <c r="AC223" s="284"/>
      <c r="AD223" s="284"/>
      <c r="AE223" s="284"/>
      <c r="AF223" s="447"/>
      <c r="AG223" s="447"/>
      <c r="AH223" s="447"/>
      <c r="AI223" s="382"/>
      <c r="AJ223" s="382"/>
      <c r="AK223" s="382"/>
      <c r="AL223" s="382"/>
      <c r="AM223" s="382"/>
      <c r="AN223" s="382"/>
      <c r="AO223" s="382"/>
      <c r="AP223" s="382"/>
      <c r="AQ223" s="382"/>
      <c r="AR223" s="382"/>
      <c r="AS223" s="382"/>
      <c r="AT223" s="382"/>
      <c r="AU223" s="382"/>
      <c r="AV223" s="382"/>
      <c r="AW223" s="382"/>
      <c r="AX223" s="382"/>
      <c r="AY223" s="382"/>
      <c r="AZ223" s="382"/>
      <c r="BA223" s="382"/>
      <c r="BB223" s="382"/>
      <c r="BC223" s="382"/>
      <c r="BD223" s="382"/>
      <c r="BE223" s="382"/>
      <c r="BF223" s="382"/>
      <c r="BG223" s="382"/>
      <c r="BH223" s="382"/>
      <c r="BI223" s="382"/>
      <c r="BJ223" s="382"/>
      <c r="BK223" s="382"/>
      <c r="BL223" s="382"/>
      <c r="BM223" s="382"/>
      <c r="BN223" s="382"/>
      <c r="BO223" s="382"/>
    </row>
    <row r="224" spans="1:67" s="88" customFormat="1" ht="10.55" customHeight="1" x14ac:dyDescent="0.2">
      <c r="A224" s="675"/>
      <c r="B224" s="2807"/>
      <c r="C224" s="2808"/>
      <c r="D224" s="2809"/>
      <c r="E224" s="2561"/>
      <c r="F224" s="2562"/>
      <c r="G224" s="1015"/>
      <c r="H224" s="524"/>
      <c r="I224" s="1409">
        <f t="shared" si="48"/>
        <v>0</v>
      </c>
      <c r="J224" s="1421">
        <f t="shared" si="49"/>
        <v>0</v>
      </c>
      <c r="K224" s="679"/>
      <c r="L224" s="1002"/>
      <c r="M224" s="1428">
        <f t="shared" si="50"/>
        <v>0</v>
      </c>
      <c r="N224" s="1111"/>
      <c r="O224" s="674">
        <f t="shared" si="51"/>
        <v>0</v>
      </c>
      <c r="P224" s="682"/>
      <c r="Q224" s="286"/>
      <c r="R224" s="287"/>
      <c r="S224" s="280"/>
      <c r="T224" s="280"/>
      <c r="U224" s="280"/>
      <c r="V224" s="280"/>
      <c r="W224" s="280"/>
      <c r="X224" s="280"/>
      <c r="Y224" s="280"/>
      <c r="Z224" s="284"/>
      <c r="AA224" s="284"/>
      <c r="AB224" s="284"/>
      <c r="AC224" s="284"/>
      <c r="AD224" s="284"/>
      <c r="AE224" s="284"/>
      <c r="AF224" s="447"/>
      <c r="AG224" s="447"/>
      <c r="AH224" s="447"/>
      <c r="AI224" s="382"/>
      <c r="AJ224" s="382"/>
      <c r="AK224" s="382"/>
      <c r="AL224" s="382"/>
      <c r="AM224" s="382"/>
      <c r="AN224" s="382"/>
      <c r="AO224" s="382"/>
      <c r="AP224" s="382"/>
      <c r="AQ224" s="382"/>
      <c r="AR224" s="382"/>
      <c r="AS224" s="382"/>
      <c r="AT224" s="382"/>
      <c r="AU224" s="382"/>
      <c r="AV224" s="382"/>
      <c r="AW224" s="382"/>
      <c r="AX224" s="382"/>
      <c r="AY224" s="382"/>
      <c r="AZ224" s="382"/>
      <c r="BA224" s="382"/>
      <c r="BB224" s="382"/>
      <c r="BC224" s="382"/>
      <c r="BD224" s="382"/>
      <c r="BE224" s="382"/>
      <c r="BF224" s="382"/>
      <c r="BG224" s="382"/>
      <c r="BH224" s="382"/>
      <c r="BI224" s="382"/>
      <c r="BJ224" s="382"/>
      <c r="BK224" s="382"/>
      <c r="BL224" s="382"/>
      <c r="BM224" s="382"/>
      <c r="BN224" s="382"/>
      <c r="BO224" s="382"/>
    </row>
    <row r="225" spans="1:67" s="88" customFormat="1" ht="10.55" customHeight="1" x14ac:dyDescent="0.2">
      <c r="A225" s="1085"/>
      <c r="B225" s="2804"/>
      <c r="C225" s="2805"/>
      <c r="D225" s="2806"/>
      <c r="E225" s="2793"/>
      <c r="F225" s="2794"/>
      <c r="G225" s="1086"/>
      <c r="H225" s="1087"/>
      <c r="I225" s="1437">
        <f t="shared" si="48"/>
        <v>0</v>
      </c>
      <c r="J225" s="1413"/>
      <c r="K225" s="1088"/>
      <c r="L225" s="1089"/>
      <c r="M225" s="1431">
        <f t="shared" si="50"/>
        <v>0</v>
      </c>
      <c r="N225" s="1111"/>
      <c r="O225" s="674">
        <f t="shared" si="51"/>
        <v>0</v>
      </c>
      <c r="P225" s="682"/>
      <c r="Q225" s="286"/>
      <c r="R225" s="287"/>
      <c r="S225" s="280"/>
      <c r="T225" s="280"/>
      <c r="U225" s="280"/>
      <c r="V225" s="280"/>
      <c r="W225" s="280"/>
      <c r="X225" s="280"/>
      <c r="Y225" s="280"/>
      <c r="Z225" s="284"/>
      <c r="AA225" s="284"/>
      <c r="AB225" s="284"/>
      <c r="AC225" s="284"/>
      <c r="AD225" s="284"/>
      <c r="AE225" s="284"/>
      <c r="AF225" s="447"/>
      <c r="AG225" s="447"/>
      <c r="AH225" s="447"/>
      <c r="AI225" s="382"/>
      <c r="AJ225" s="382"/>
      <c r="AK225" s="382"/>
      <c r="AL225" s="382"/>
      <c r="AM225" s="382"/>
      <c r="AN225" s="382"/>
      <c r="AO225" s="382"/>
      <c r="AP225" s="382"/>
      <c r="AQ225" s="382"/>
      <c r="AR225" s="382"/>
      <c r="AS225" s="382"/>
      <c r="AT225" s="382"/>
      <c r="AU225" s="382"/>
      <c r="AV225" s="382"/>
      <c r="AW225" s="382"/>
      <c r="AX225" s="382"/>
      <c r="AY225" s="382"/>
      <c r="AZ225" s="382"/>
      <c r="BA225" s="382"/>
      <c r="BB225" s="382"/>
      <c r="BC225" s="382"/>
      <c r="BD225" s="382"/>
      <c r="BE225" s="382"/>
      <c r="BF225" s="382"/>
      <c r="BG225" s="382"/>
      <c r="BH225" s="382"/>
      <c r="BI225" s="382"/>
      <c r="BJ225" s="382"/>
      <c r="BK225" s="382"/>
      <c r="BL225" s="382"/>
      <c r="BM225" s="382"/>
      <c r="BN225" s="382"/>
      <c r="BO225" s="382"/>
    </row>
    <row r="226" spans="1:67" s="88" customFormat="1" ht="10.55" customHeight="1" x14ac:dyDescent="0.2">
      <c r="A226" s="1122" t="s">
        <v>390</v>
      </c>
      <c r="B226" s="2783"/>
      <c r="C226" s="2784"/>
      <c r="D226" s="2785"/>
      <c r="E226" s="2810">
        <f>SUM(E227:E239)</f>
        <v>0</v>
      </c>
      <c r="F226" s="2811"/>
      <c r="G226" s="2747"/>
      <c r="H226" s="2748"/>
      <c r="I226" s="1435">
        <f>IF(E226=0,0,J226/E226)</f>
        <v>0</v>
      </c>
      <c r="J226" s="1423">
        <f>SUM(J227:J239)</f>
        <v>0</v>
      </c>
      <c r="K226" s="2749">
        <f>IF(E226=0,0,M226/E226*100)</f>
        <v>0</v>
      </c>
      <c r="L226" s="2750"/>
      <c r="M226" s="1430">
        <f>SUM(M227:M239)</f>
        <v>0</v>
      </c>
      <c r="N226" s="1111"/>
      <c r="O226" s="387">
        <f>IF(H226="",G226,H226)</f>
        <v>0</v>
      </c>
      <c r="P226" s="682"/>
      <c r="Q226" s="286"/>
      <c r="R226" s="287"/>
      <c r="S226" s="280"/>
      <c r="T226" s="280"/>
      <c r="U226" s="280"/>
      <c r="V226" s="280"/>
      <c r="W226" s="280"/>
      <c r="X226" s="280"/>
      <c r="Y226" s="280"/>
      <c r="Z226" s="284"/>
      <c r="AA226" s="284"/>
      <c r="AB226" s="284"/>
      <c r="AC226" s="284"/>
      <c r="AD226" s="284"/>
      <c r="AE226" s="284"/>
      <c r="AF226" s="447"/>
      <c r="AG226" s="447"/>
      <c r="AH226" s="447"/>
      <c r="AI226" s="382"/>
      <c r="AJ226" s="382"/>
      <c r="AK226" s="382"/>
      <c r="AL226" s="382"/>
      <c r="AM226" s="382"/>
      <c r="AN226" s="382"/>
      <c r="AO226" s="382"/>
      <c r="AP226" s="382"/>
      <c r="AQ226" s="382"/>
      <c r="AR226" s="382"/>
      <c r="AS226" s="382"/>
      <c r="AT226" s="382"/>
      <c r="AU226" s="382"/>
      <c r="AV226" s="382"/>
      <c r="AW226" s="382"/>
      <c r="AX226" s="382"/>
      <c r="AY226" s="382"/>
      <c r="AZ226" s="382"/>
      <c r="BA226" s="382"/>
      <c r="BB226" s="382"/>
      <c r="BC226" s="382"/>
      <c r="BD226" s="382"/>
      <c r="BE226" s="382"/>
      <c r="BF226" s="382"/>
      <c r="BG226" s="382"/>
      <c r="BH226" s="382"/>
      <c r="BI226" s="382"/>
      <c r="BJ226" s="382"/>
      <c r="BK226" s="382"/>
      <c r="BL226" s="382"/>
      <c r="BM226" s="382"/>
      <c r="BN226" s="382"/>
      <c r="BO226" s="382"/>
    </row>
    <row r="227" spans="1:67" s="88" customFormat="1" ht="10.55" customHeight="1" x14ac:dyDescent="0.2">
      <c r="A227" s="1013" t="s">
        <v>391</v>
      </c>
      <c r="B227" s="2790"/>
      <c r="C227" s="2791"/>
      <c r="D227" s="2792"/>
      <c r="E227" s="2734"/>
      <c r="F227" s="2735"/>
      <c r="G227" s="1785">
        <v>30</v>
      </c>
      <c r="H227" s="524"/>
      <c r="I227" s="1409">
        <f t="shared" ref="I227:I240" si="52">IF($O227&gt;0,-PMT(($I$9),$O227,1),0)</f>
        <v>4.7777640736176463E-2</v>
      </c>
      <c r="J227" s="1421">
        <f t="shared" ref="J227:J239" si="53">ROUND(E227*I227,0)</f>
        <v>0</v>
      </c>
      <c r="K227" s="678">
        <v>1.5</v>
      </c>
      <c r="L227" s="1002"/>
      <c r="M227" s="1428">
        <f t="shared" ref="M227:M240" si="54">ROUND(E227/100*IF(ISBLANK(L227),K227,L227),0)</f>
        <v>0</v>
      </c>
      <c r="N227" s="1111"/>
      <c r="O227" s="674">
        <f t="shared" ref="O227:O240" si="55">IF(ISBLANK(H227),G227,H227)</f>
        <v>30</v>
      </c>
      <c r="P227" s="682"/>
      <c r="Q227" s="286"/>
      <c r="R227" s="287"/>
      <c r="S227" s="280"/>
      <c r="T227" s="280"/>
      <c r="U227" s="280"/>
      <c r="V227" s="280"/>
      <c r="W227" s="280"/>
      <c r="X227" s="280"/>
      <c r="Y227" s="280"/>
      <c r="Z227" s="284"/>
      <c r="AA227" s="284"/>
      <c r="AB227" s="284"/>
      <c r="AC227" s="284"/>
      <c r="AD227" s="284"/>
      <c r="AE227" s="284"/>
      <c r="AF227" s="447"/>
      <c r="AG227" s="447"/>
      <c r="AH227" s="447"/>
      <c r="AI227" s="382"/>
      <c r="AJ227" s="382"/>
      <c r="AK227" s="382"/>
      <c r="AL227" s="382"/>
      <c r="AM227" s="382"/>
      <c r="AN227" s="382"/>
      <c r="AO227" s="382"/>
      <c r="AP227" s="382"/>
      <c r="AQ227" s="382"/>
      <c r="AR227" s="382"/>
      <c r="AS227" s="382"/>
      <c r="AT227" s="382"/>
      <c r="AU227" s="382"/>
      <c r="AV227" s="382"/>
      <c r="AW227" s="382"/>
      <c r="AX227" s="382"/>
      <c r="AY227" s="382"/>
      <c r="AZ227" s="382"/>
      <c r="BA227" s="382"/>
      <c r="BB227" s="382"/>
      <c r="BC227" s="382"/>
      <c r="BD227" s="382"/>
      <c r="BE227" s="382"/>
      <c r="BF227" s="382"/>
      <c r="BG227" s="382"/>
      <c r="BH227" s="382"/>
      <c r="BI227" s="382"/>
      <c r="BJ227" s="382"/>
      <c r="BK227" s="382"/>
      <c r="BL227" s="382"/>
      <c r="BM227" s="382"/>
      <c r="BN227" s="382"/>
      <c r="BO227" s="382"/>
    </row>
    <row r="228" spans="1:67" s="88" customFormat="1" ht="10.55" customHeight="1" x14ac:dyDescent="0.2">
      <c r="A228" s="1013" t="s">
        <v>392</v>
      </c>
      <c r="B228" s="2807"/>
      <c r="C228" s="2808"/>
      <c r="D228" s="2809"/>
      <c r="E228" s="2561"/>
      <c r="F228" s="2562"/>
      <c r="G228" s="1785">
        <v>30</v>
      </c>
      <c r="H228" s="524"/>
      <c r="I228" s="1409">
        <f t="shared" si="52"/>
        <v>4.7777640736176463E-2</v>
      </c>
      <c r="J228" s="1421">
        <f t="shared" si="53"/>
        <v>0</v>
      </c>
      <c r="K228" s="678">
        <v>2</v>
      </c>
      <c r="L228" s="1002"/>
      <c r="M228" s="1428">
        <f t="shared" si="54"/>
        <v>0</v>
      </c>
      <c r="N228" s="1111"/>
      <c r="O228" s="674">
        <f t="shared" si="55"/>
        <v>30</v>
      </c>
      <c r="P228" s="682"/>
      <c r="Q228" s="286"/>
      <c r="R228" s="287"/>
      <c r="S228" s="280"/>
      <c r="T228" s="280"/>
      <c r="U228" s="280"/>
      <c r="V228" s="280"/>
      <c r="W228" s="280"/>
      <c r="X228" s="280"/>
      <c r="Y228" s="280"/>
      <c r="Z228" s="284"/>
      <c r="AA228" s="284"/>
      <c r="AB228" s="284"/>
      <c r="AC228" s="284"/>
      <c r="AD228" s="284"/>
      <c r="AE228" s="284"/>
      <c r="AF228" s="447"/>
      <c r="AG228" s="447"/>
      <c r="AH228" s="447"/>
      <c r="AI228" s="382"/>
      <c r="AJ228" s="382"/>
      <c r="AK228" s="382"/>
      <c r="AL228" s="382"/>
      <c r="AM228" s="382"/>
      <c r="AN228" s="382"/>
      <c r="AO228" s="382"/>
      <c r="AP228" s="382"/>
      <c r="AQ228" s="382"/>
      <c r="AR228" s="382"/>
      <c r="AS228" s="382"/>
      <c r="AT228" s="382"/>
      <c r="AU228" s="382"/>
      <c r="AV228" s="382"/>
      <c r="AW228" s="382"/>
      <c r="AX228" s="382"/>
      <c r="AY228" s="382"/>
      <c r="AZ228" s="382"/>
      <c r="BA228" s="382"/>
      <c r="BB228" s="382"/>
      <c r="BC228" s="382"/>
      <c r="BD228" s="382"/>
      <c r="BE228" s="382"/>
      <c r="BF228" s="382"/>
      <c r="BG228" s="382"/>
      <c r="BH228" s="382"/>
      <c r="BI228" s="382"/>
      <c r="BJ228" s="382"/>
      <c r="BK228" s="382"/>
      <c r="BL228" s="382"/>
      <c r="BM228" s="382"/>
      <c r="BN228" s="382"/>
      <c r="BO228" s="382"/>
    </row>
    <row r="229" spans="1:67" s="88" customFormat="1" ht="10.55" customHeight="1" x14ac:dyDescent="0.2">
      <c r="A229" s="1013" t="s">
        <v>393</v>
      </c>
      <c r="B229" s="2807"/>
      <c r="C229" s="2808"/>
      <c r="D229" s="2809"/>
      <c r="E229" s="2561"/>
      <c r="F229" s="2562"/>
      <c r="G229" s="1785">
        <v>30</v>
      </c>
      <c r="H229" s="524"/>
      <c r="I229" s="1409">
        <f t="shared" si="52"/>
        <v>4.7777640736176463E-2</v>
      </c>
      <c r="J229" s="1421">
        <f t="shared" si="53"/>
        <v>0</v>
      </c>
      <c r="K229" s="678">
        <v>2</v>
      </c>
      <c r="L229" s="1002"/>
      <c r="M229" s="1428">
        <f t="shared" si="54"/>
        <v>0</v>
      </c>
      <c r="N229" s="1111"/>
      <c r="O229" s="674">
        <f t="shared" si="55"/>
        <v>30</v>
      </c>
      <c r="P229" s="682"/>
      <c r="Q229" s="286"/>
      <c r="R229" s="287"/>
      <c r="S229" s="280"/>
      <c r="T229" s="280"/>
      <c r="U229" s="280"/>
      <c r="V229" s="280"/>
      <c r="W229" s="280"/>
      <c r="X229" s="280"/>
      <c r="Y229" s="280"/>
      <c r="Z229" s="284"/>
      <c r="AA229" s="284"/>
      <c r="AB229" s="284"/>
      <c r="AC229" s="284"/>
      <c r="AD229" s="284"/>
      <c r="AE229" s="284"/>
      <c r="AF229" s="447"/>
      <c r="AG229" s="447"/>
      <c r="AH229" s="447"/>
      <c r="AI229" s="382"/>
      <c r="AJ229" s="382"/>
      <c r="AK229" s="382"/>
      <c r="AL229" s="382"/>
      <c r="AM229" s="382"/>
      <c r="AN229" s="382"/>
      <c r="AO229" s="382"/>
      <c r="AP229" s="382"/>
      <c r="AQ229" s="382"/>
      <c r="AR229" s="382"/>
      <c r="AS229" s="382"/>
      <c r="AT229" s="382"/>
      <c r="AU229" s="382"/>
      <c r="AV229" s="382"/>
      <c r="AW229" s="382"/>
      <c r="AX229" s="382"/>
      <c r="AY229" s="382"/>
      <c r="AZ229" s="382"/>
      <c r="BA229" s="382"/>
      <c r="BB229" s="382"/>
      <c r="BC229" s="382"/>
      <c r="BD229" s="382"/>
      <c r="BE229" s="382"/>
      <c r="BF229" s="382"/>
      <c r="BG229" s="382"/>
      <c r="BH229" s="382"/>
      <c r="BI229" s="382"/>
      <c r="BJ229" s="382"/>
      <c r="BK229" s="382"/>
      <c r="BL229" s="382"/>
      <c r="BM229" s="382"/>
      <c r="BN229" s="382"/>
      <c r="BO229" s="382"/>
    </row>
    <row r="230" spans="1:67" s="88" customFormat="1" ht="10.55" customHeight="1" x14ac:dyDescent="0.2">
      <c r="A230" s="1013" t="s">
        <v>394</v>
      </c>
      <c r="B230" s="2807"/>
      <c r="C230" s="2808"/>
      <c r="D230" s="2809"/>
      <c r="E230" s="2561"/>
      <c r="F230" s="2562"/>
      <c r="G230" s="1785">
        <v>30</v>
      </c>
      <c r="H230" s="524"/>
      <c r="I230" s="1409">
        <f t="shared" si="52"/>
        <v>4.7777640736176463E-2</v>
      </c>
      <c r="J230" s="1421">
        <f t="shared" si="53"/>
        <v>0</v>
      </c>
      <c r="K230" s="678">
        <v>0.5</v>
      </c>
      <c r="L230" s="1002"/>
      <c r="M230" s="1428">
        <f t="shared" si="54"/>
        <v>0</v>
      </c>
      <c r="N230" s="1111"/>
      <c r="O230" s="674">
        <f t="shared" si="55"/>
        <v>30</v>
      </c>
      <c r="P230" s="682"/>
      <c r="Q230" s="286"/>
      <c r="R230" s="287"/>
      <c r="S230" s="280"/>
      <c r="T230" s="280"/>
      <c r="U230" s="280"/>
      <c r="V230" s="280"/>
      <c r="W230" s="280"/>
      <c r="X230" s="280"/>
      <c r="Y230" s="280"/>
      <c r="Z230" s="284"/>
      <c r="AA230" s="284"/>
      <c r="AB230" s="284"/>
      <c r="AC230" s="284"/>
      <c r="AD230" s="284"/>
      <c r="AE230" s="284"/>
      <c r="AF230" s="447"/>
      <c r="AG230" s="447"/>
      <c r="AH230" s="447"/>
      <c r="AI230" s="382"/>
      <c r="AJ230" s="382"/>
      <c r="AK230" s="382"/>
      <c r="AL230" s="382"/>
      <c r="AM230" s="382"/>
      <c r="AN230" s="382"/>
      <c r="AO230" s="382"/>
      <c r="AP230" s="382"/>
      <c r="AQ230" s="382"/>
      <c r="AR230" s="382"/>
      <c r="AS230" s="382"/>
      <c r="AT230" s="382"/>
      <c r="AU230" s="382"/>
      <c r="AV230" s="382"/>
      <c r="AW230" s="382"/>
      <c r="AX230" s="382"/>
      <c r="AY230" s="382"/>
      <c r="AZ230" s="382"/>
      <c r="BA230" s="382"/>
      <c r="BB230" s="382"/>
      <c r="BC230" s="382"/>
      <c r="BD230" s="382"/>
      <c r="BE230" s="382"/>
      <c r="BF230" s="382"/>
      <c r="BG230" s="382"/>
      <c r="BH230" s="382"/>
      <c r="BI230" s="382"/>
      <c r="BJ230" s="382"/>
      <c r="BK230" s="382"/>
      <c r="BL230" s="382"/>
      <c r="BM230" s="382"/>
      <c r="BN230" s="382"/>
      <c r="BO230" s="382"/>
    </row>
    <row r="231" spans="1:67" s="88" customFormat="1" ht="10.55" customHeight="1" x14ac:dyDescent="0.2">
      <c r="A231" s="675"/>
      <c r="B231" s="2807"/>
      <c r="C231" s="2808"/>
      <c r="D231" s="2809"/>
      <c r="E231" s="2561"/>
      <c r="F231" s="2562"/>
      <c r="G231" s="1015"/>
      <c r="H231" s="524"/>
      <c r="I231" s="1409">
        <f t="shared" si="52"/>
        <v>0</v>
      </c>
      <c r="J231" s="1421">
        <f t="shared" si="53"/>
        <v>0</v>
      </c>
      <c r="K231" s="679"/>
      <c r="L231" s="1002"/>
      <c r="M231" s="1428">
        <f t="shared" si="54"/>
        <v>0</v>
      </c>
      <c r="N231" s="1111"/>
      <c r="O231" s="674">
        <f t="shared" si="55"/>
        <v>0</v>
      </c>
      <c r="P231" s="682"/>
      <c r="Q231" s="286"/>
      <c r="R231" s="287"/>
      <c r="S231" s="280"/>
      <c r="T231" s="280"/>
      <c r="U231" s="280"/>
      <c r="V231" s="280"/>
      <c r="W231" s="280"/>
      <c r="X231" s="280"/>
      <c r="Y231" s="280"/>
      <c r="Z231" s="284"/>
      <c r="AA231" s="284"/>
      <c r="AB231" s="284"/>
      <c r="AC231" s="284"/>
      <c r="AD231" s="284"/>
      <c r="AE231" s="284"/>
      <c r="AF231" s="447"/>
      <c r="AG231" s="447"/>
      <c r="AH231" s="447"/>
      <c r="AI231" s="382"/>
      <c r="AJ231" s="382"/>
      <c r="AK231" s="382"/>
      <c r="AL231" s="382"/>
      <c r="AM231" s="382"/>
      <c r="AN231" s="382"/>
      <c r="AO231" s="382"/>
      <c r="AP231" s="382"/>
      <c r="AQ231" s="382"/>
      <c r="AR231" s="382"/>
      <c r="AS231" s="382"/>
      <c r="AT231" s="382"/>
      <c r="AU231" s="382"/>
      <c r="AV231" s="382"/>
      <c r="AW231" s="382"/>
      <c r="AX231" s="382"/>
      <c r="AY231" s="382"/>
      <c r="AZ231" s="382"/>
      <c r="BA231" s="382"/>
      <c r="BB231" s="382"/>
      <c r="BC231" s="382"/>
      <c r="BD231" s="382"/>
      <c r="BE231" s="382"/>
      <c r="BF231" s="382"/>
      <c r="BG231" s="382"/>
      <c r="BH231" s="382"/>
      <c r="BI231" s="382"/>
      <c r="BJ231" s="382"/>
      <c r="BK231" s="382"/>
      <c r="BL231" s="382"/>
      <c r="BM231" s="382"/>
      <c r="BN231" s="382"/>
      <c r="BO231" s="382"/>
    </row>
    <row r="232" spans="1:67" s="88" customFormat="1" ht="10.55" customHeight="1" x14ac:dyDescent="0.2">
      <c r="A232" s="675"/>
      <c r="B232" s="2807"/>
      <c r="C232" s="2808"/>
      <c r="D232" s="2809"/>
      <c r="E232" s="2561"/>
      <c r="F232" s="2562"/>
      <c r="G232" s="1015"/>
      <c r="H232" s="524"/>
      <c r="I232" s="1409">
        <f t="shared" si="52"/>
        <v>0</v>
      </c>
      <c r="J232" s="1421">
        <f t="shared" si="53"/>
        <v>0</v>
      </c>
      <c r="K232" s="679"/>
      <c r="L232" s="1002"/>
      <c r="M232" s="1428">
        <f t="shared" si="54"/>
        <v>0</v>
      </c>
      <c r="N232" s="1111"/>
      <c r="O232" s="674">
        <f t="shared" si="55"/>
        <v>0</v>
      </c>
      <c r="P232" s="682"/>
      <c r="Q232" s="286"/>
      <c r="R232" s="287"/>
      <c r="S232" s="280"/>
      <c r="T232" s="280"/>
      <c r="U232" s="280"/>
      <c r="V232" s="280"/>
      <c r="W232" s="280"/>
      <c r="X232" s="280"/>
      <c r="Y232" s="280"/>
      <c r="Z232" s="284"/>
      <c r="AA232" s="284"/>
      <c r="AB232" s="284"/>
      <c r="AC232" s="284"/>
      <c r="AD232" s="284"/>
      <c r="AE232" s="284"/>
      <c r="AF232" s="447"/>
      <c r="AG232" s="447"/>
      <c r="AH232" s="447"/>
      <c r="AI232" s="382"/>
      <c r="AJ232" s="382"/>
      <c r="AK232" s="382"/>
      <c r="AL232" s="382"/>
      <c r="AM232" s="382"/>
      <c r="AN232" s="382"/>
      <c r="AO232" s="382"/>
      <c r="AP232" s="382"/>
      <c r="AQ232" s="382"/>
      <c r="AR232" s="382"/>
      <c r="AS232" s="382"/>
      <c r="AT232" s="382"/>
      <c r="AU232" s="382"/>
      <c r="AV232" s="382"/>
      <c r="AW232" s="382"/>
      <c r="AX232" s="382"/>
      <c r="AY232" s="382"/>
      <c r="AZ232" s="382"/>
      <c r="BA232" s="382"/>
      <c r="BB232" s="382"/>
      <c r="BC232" s="382"/>
      <c r="BD232" s="382"/>
      <c r="BE232" s="382"/>
      <c r="BF232" s="382"/>
      <c r="BG232" s="382"/>
      <c r="BH232" s="382"/>
      <c r="BI232" s="382"/>
      <c r="BJ232" s="382"/>
      <c r="BK232" s="382"/>
      <c r="BL232" s="382"/>
      <c r="BM232" s="382"/>
      <c r="BN232" s="382"/>
      <c r="BO232" s="382"/>
    </row>
    <row r="233" spans="1:67" s="88" customFormat="1" ht="10.55" customHeight="1" x14ac:dyDescent="0.2">
      <c r="A233" s="675"/>
      <c r="B233" s="2807"/>
      <c r="C233" s="2808"/>
      <c r="D233" s="2809"/>
      <c r="E233" s="2561"/>
      <c r="F233" s="2562"/>
      <c r="G233" s="1015"/>
      <c r="H233" s="524"/>
      <c r="I233" s="1409">
        <f t="shared" si="52"/>
        <v>0</v>
      </c>
      <c r="J233" s="1421">
        <f t="shared" si="53"/>
        <v>0</v>
      </c>
      <c r="K233" s="679"/>
      <c r="L233" s="1002"/>
      <c r="M233" s="1428">
        <f t="shared" si="54"/>
        <v>0</v>
      </c>
      <c r="N233" s="1111"/>
      <c r="O233" s="674">
        <f t="shared" si="55"/>
        <v>0</v>
      </c>
      <c r="P233" s="682"/>
      <c r="Q233" s="286"/>
      <c r="R233" s="287"/>
      <c r="S233" s="280"/>
      <c r="T233" s="280"/>
      <c r="U233" s="280"/>
      <c r="V233" s="280"/>
      <c r="W233" s="280"/>
      <c r="X233" s="280"/>
      <c r="Y233" s="280"/>
      <c r="Z233" s="284"/>
      <c r="AA233" s="284"/>
      <c r="AB233" s="284"/>
      <c r="AC233" s="284"/>
      <c r="AD233" s="284"/>
      <c r="AE233" s="284"/>
      <c r="AF233" s="447"/>
      <c r="AG233" s="447"/>
      <c r="AH233" s="447"/>
      <c r="AI233" s="382"/>
      <c r="AJ233" s="382"/>
      <c r="AK233" s="382"/>
      <c r="AL233" s="382"/>
      <c r="AM233" s="382"/>
      <c r="AN233" s="382"/>
      <c r="AO233" s="382"/>
      <c r="AP233" s="382"/>
      <c r="AQ233" s="382"/>
      <c r="AR233" s="382"/>
      <c r="AS233" s="382"/>
      <c r="AT233" s="382"/>
      <c r="AU233" s="382"/>
      <c r="AV233" s="382"/>
      <c r="AW233" s="382"/>
      <c r="AX233" s="382"/>
      <c r="AY233" s="382"/>
      <c r="AZ233" s="382"/>
      <c r="BA233" s="382"/>
      <c r="BB233" s="382"/>
      <c r="BC233" s="382"/>
      <c r="BD233" s="382"/>
      <c r="BE233" s="382"/>
      <c r="BF233" s="382"/>
      <c r="BG233" s="382"/>
      <c r="BH233" s="382"/>
      <c r="BI233" s="382"/>
      <c r="BJ233" s="382"/>
      <c r="BK233" s="382"/>
      <c r="BL233" s="382"/>
      <c r="BM233" s="382"/>
      <c r="BN233" s="382"/>
      <c r="BO233" s="382"/>
    </row>
    <row r="234" spans="1:67" s="88" customFormat="1" ht="10.55" customHeight="1" x14ac:dyDescent="0.2">
      <c r="A234" s="675"/>
      <c r="B234" s="2807"/>
      <c r="C234" s="2808"/>
      <c r="D234" s="2809"/>
      <c r="E234" s="2561"/>
      <c r="F234" s="2562"/>
      <c r="G234" s="1015"/>
      <c r="H234" s="524"/>
      <c r="I234" s="1409">
        <f t="shared" si="52"/>
        <v>0</v>
      </c>
      <c r="J234" s="1421">
        <f t="shared" si="53"/>
        <v>0</v>
      </c>
      <c r="K234" s="679"/>
      <c r="L234" s="1002"/>
      <c r="M234" s="1428">
        <f t="shared" si="54"/>
        <v>0</v>
      </c>
      <c r="N234" s="1111"/>
      <c r="O234" s="674">
        <f t="shared" si="55"/>
        <v>0</v>
      </c>
      <c r="P234" s="682"/>
      <c r="Q234" s="286"/>
      <c r="R234" s="287"/>
      <c r="S234" s="280"/>
      <c r="T234" s="280"/>
      <c r="U234" s="280"/>
      <c r="V234" s="280"/>
      <c r="W234" s="280"/>
      <c r="X234" s="280"/>
      <c r="Y234" s="280"/>
      <c r="Z234" s="284"/>
      <c r="AA234" s="284"/>
      <c r="AB234" s="284"/>
      <c r="AC234" s="284"/>
      <c r="AD234" s="284"/>
      <c r="AE234" s="284"/>
      <c r="AF234" s="447"/>
      <c r="AG234" s="447"/>
      <c r="AH234" s="447"/>
      <c r="AI234" s="382"/>
      <c r="AJ234" s="382"/>
      <c r="AK234" s="382"/>
      <c r="AL234" s="382"/>
      <c r="AM234" s="382"/>
      <c r="AN234" s="382"/>
      <c r="AO234" s="382"/>
      <c r="AP234" s="382"/>
      <c r="AQ234" s="382"/>
      <c r="AR234" s="382"/>
      <c r="AS234" s="382"/>
      <c r="AT234" s="382"/>
      <c r="AU234" s="382"/>
      <c r="AV234" s="382"/>
      <c r="AW234" s="382"/>
      <c r="AX234" s="382"/>
      <c r="AY234" s="382"/>
      <c r="AZ234" s="382"/>
      <c r="BA234" s="382"/>
      <c r="BB234" s="382"/>
      <c r="BC234" s="382"/>
      <c r="BD234" s="382"/>
      <c r="BE234" s="382"/>
      <c r="BF234" s="382"/>
      <c r="BG234" s="382"/>
      <c r="BH234" s="382"/>
      <c r="BI234" s="382"/>
      <c r="BJ234" s="382"/>
      <c r="BK234" s="382"/>
      <c r="BL234" s="382"/>
      <c r="BM234" s="382"/>
      <c r="BN234" s="382"/>
      <c r="BO234" s="382"/>
    </row>
    <row r="235" spans="1:67" s="88" customFormat="1" ht="10.55" customHeight="1" x14ac:dyDescent="0.2">
      <c r="A235" s="675"/>
      <c r="B235" s="2807"/>
      <c r="C235" s="2808"/>
      <c r="D235" s="2809"/>
      <c r="E235" s="2561"/>
      <c r="F235" s="2562"/>
      <c r="G235" s="1015"/>
      <c r="H235" s="524"/>
      <c r="I235" s="1409">
        <f t="shared" si="52"/>
        <v>0</v>
      </c>
      <c r="J235" s="1421">
        <f t="shared" si="53"/>
        <v>0</v>
      </c>
      <c r="K235" s="679"/>
      <c r="L235" s="1002"/>
      <c r="M235" s="1428">
        <f t="shared" si="54"/>
        <v>0</v>
      </c>
      <c r="N235" s="1111"/>
      <c r="O235" s="674">
        <f t="shared" si="55"/>
        <v>0</v>
      </c>
      <c r="P235" s="682"/>
      <c r="Q235" s="286"/>
      <c r="R235" s="287"/>
      <c r="S235" s="280"/>
      <c r="T235" s="280"/>
      <c r="U235" s="280"/>
      <c r="V235" s="280"/>
      <c r="W235" s="280"/>
      <c r="X235" s="280"/>
      <c r="Y235" s="280"/>
      <c r="Z235" s="284"/>
      <c r="AA235" s="284"/>
      <c r="AB235" s="284"/>
      <c r="AC235" s="284"/>
      <c r="AD235" s="284"/>
      <c r="AE235" s="284"/>
      <c r="AF235" s="447"/>
      <c r="AG235" s="447"/>
      <c r="AH235" s="447"/>
      <c r="AI235" s="382"/>
      <c r="AJ235" s="382"/>
      <c r="AK235" s="382"/>
      <c r="AL235" s="382"/>
      <c r="AM235" s="382"/>
      <c r="AN235" s="382"/>
      <c r="AO235" s="382"/>
      <c r="AP235" s="382"/>
      <c r="AQ235" s="382"/>
      <c r="AR235" s="382"/>
      <c r="AS235" s="382"/>
      <c r="AT235" s="382"/>
      <c r="AU235" s="382"/>
      <c r="AV235" s="382"/>
      <c r="AW235" s="382"/>
      <c r="AX235" s="382"/>
      <c r="AY235" s="382"/>
      <c r="AZ235" s="382"/>
      <c r="BA235" s="382"/>
      <c r="BB235" s="382"/>
      <c r="BC235" s="382"/>
      <c r="BD235" s="382"/>
      <c r="BE235" s="382"/>
      <c r="BF235" s="382"/>
      <c r="BG235" s="382"/>
      <c r="BH235" s="382"/>
      <c r="BI235" s="382"/>
      <c r="BJ235" s="382"/>
      <c r="BK235" s="382"/>
      <c r="BL235" s="382"/>
      <c r="BM235" s="382"/>
      <c r="BN235" s="382"/>
      <c r="BO235" s="382"/>
    </row>
    <row r="236" spans="1:67" s="88" customFormat="1" ht="10.55" customHeight="1" x14ac:dyDescent="0.2">
      <c r="A236" s="675"/>
      <c r="B236" s="2807"/>
      <c r="C236" s="2808"/>
      <c r="D236" s="2809"/>
      <c r="E236" s="2561"/>
      <c r="F236" s="2562"/>
      <c r="G236" s="1015"/>
      <c r="H236" s="524"/>
      <c r="I236" s="1409">
        <f t="shared" si="52"/>
        <v>0</v>
      </c>
      <c r="J236" s="1421">
        <f t="shared" si="53"/>
        <v>0</v>
      </c>
      <c r="K236" s="679"/>
      <c r="L236" s="1002"/>
      <c r="M236" s="1428">
        <f t="shared" si="54"/>
        <v>0</v>
      </c>
      <c r="N236" s="1111"/>
      <c r="O236" s="674">
        <f t="shared" si="55"/>
        <v>0</v>
      </c>
      <c r="P236" s="682"/>
      <c r="Q236" s="286"/>
      <c r="R236" s="287"/>
      <c r="S236" s="280"/>
      <c r="T236" s="280"/>
      <c r="U236" s="280"/>
      <c r="V236" s="280"/>
      <c r="W236" s="280"/>
      <c r="X236" s="280"/>
      <c r="Y236" s="280"/>
      <c r="Z236" s="284"/>
      <c r="AA236" s="284"/>
      <c r="AB236" s="284"/>
      <c r="AC236" s="284"/>
      <c r="AD236" s="284"/>
      <c r="AE236" s="284"/>
      <c r="AF236" s="447"/>
      <c r="AG236" s="447"/>
      <c r="AH236" s="447"/>
      <c r="AI236" s="382"/>
      <c r="AJ236" s="382"/>
      <c r="AK236" s="382"/>
      <c r="AL236" s="382"/>
      <c r="AM236" s="382"/>
      <c r="AN236" s="382"/>
      <c r="AO236" s="382"/>
      <c r="AP236" s="382"/>
      <c r="AQ236" s="382"/>
      <c r="AR236" s="382"/>
      <c r="AS236" s="382"/>
      <c r="AT236" s="382"/>
      <c r="AU236" s="382"/>
      <c r="AV236" s="382"/>
      <c r="AW236" s="382"/>
      <c r="AX236" s="382"/>
      <c r="AY236" s="382"/>
      <c r="AZ236" s="382"/>
      <c r="BA236" s="382"/>
      <c r="BB236" s="382"/>
      <c r="BC236" s="382"/>
      <c r="BD236" s="382"/>
      <c r="BE236" s="382"/>
      <c r="BF236" s="382"/>
      <c r="BG236" s="382"/>
      <c r="BH236" s="382"/>
      <c r="BI236" s="382"/>
      <c r="BJ236" s="382"/>
      <c r="BK236" s="382"/>
      <c r="BL236" s="382"/>
      <c r="BM236" s="382"/>
      <c r="BN236" s="382"/>
      <c r="BO236" s="382"/>
    </row>
    <row r="237" spans="1:67" s="88" customFormat="1" ht="10.55" customHeight="1" x14ac:dyDescent="0.2">
      <c r="A237" s="675"/>
      <c r="B237" s="2807"/>
      <c r="C237" s="2808"/>
      <c r="D237" s="2809"/>
      <c r="E237" s="2561"/>
      <c r="F237" s="2562"/>
      <c r="G237" s="1015"/>
      <c r="H237" s="524"/>
      <c r="I237" s="1409">
        <f t="shared" si="52"/>
        <v>0</v>
      </c>
      <c r="J237" s="1421">
        <f t="shared" si="53"/>
        <v>0</v>
      </c>
      <c r="K237" s="679"/>
      <c r="L237" s="1002"/>
      <c r="M237" s="1428">
        <f t="shared" si="54"/>
        <v>0</v>
      </c>
      <c r="N237" s="1111"/>
      <c r="O237" s="674">
        <f t="shared" si="55"/>
        <v>0</v>
      </c>
      <c r="P237" s="682"/>
      <c r="Q237" s="286"/>
      <c r="R237" s="287"/>
      <c r="S237" s="280"/>
      <c r="T237" s="280"/>
      <c r="U237" s="280"/>
      <c r="V237" s="280"/>
      <c r="W237" s="280"/>
      <c r="X237" s="280"/>
      <c r="Y237" s="280"/>
      <c r="Z237" s="284"/>
      <c r="AA237" s="284"/>
      <c r="AB237" s="284"/>
      <c r="AC237" s="284"/>
      <c r="AD237" s="284"/>
      <c r="AE237" s="284"/>
      <c r="AF237" s="447"/>
      <c r="AG237" s="447"/>
      <c r="AH237" s="447"/>
      <c r="AI237" s="382"/>
      <c r="AJ237" s="382"/>
      <c r="AK237" s="382"/>
      <c r="AL237" s="382"/>
      <c r="AM237" s="382"/>
      <c r="AN237" s="382"/>
      <c r="AO237" s="382"/>
      <c r="AP237" s="382"/>
      <c r="AQ237" s="382"/>
      <c r="AR237" s="382"/>
      <c r="AS237" s="382"/>
      <c r="AT237" s="382"/>
      <c r="AU237" s="382"/>
      <c r="AV237" s="382"/>
      <c r="AW237" s="382"/>
      <c r="AX237" s="382"/>
      <c r="AY237" s="382"/>
      <c r="AZ237" s="382"/>
      <c r="BA237" s="382"/>
      <c r="BB237" s="382"/>
      <c r="BC237" s="382"/>
      <c r="BD237" s="382"/>
      <c r="BE237" s="382"/>
      <c r="BF237" s="382"/>
      <c r="BG237" s="382"/>
      <c r="BH237" s="382"/>
      <c r="BI237" s="382"/>
      <c r="BJ237" s="382"/>
      <c r="BK237" s="382"/>
      <c r="BL237" s="382"/>
      <c r="BM237" s="382"/>
      <c r="BN237" s="382"/>
      <c r="BO237" s="382"/>
    </row>
    <row r="238" spans="1:67" s="88" customFormat="1" ht="10.55" customHeight="1" x14ac:dyDescent="0.2">
      <c r="A238" s="675"/>
      <c r="B238" s="2807"/>
      <c r="C238" s="2808"/>
      <c r="D238" s="2809"/>
      <c r="E238" s="2561"/>
      <c r="F238" s="2562"/>
      <c r="G238" s="1015"/>
      <c r="H238" s="524"/>
      <c r="I238" s="1409">
        <f t="shared" si="52"/>
        <v>0</v>
      </c>
      <c r="J238" s="1421">
        <f t="shared" si="53"/>
        <v>0</v>
      </c>
      <c r="K238" s="679"/>
      <c r="L238" s="1002"/>
      <c r="M238" s="1428">
        <f t="shared" si="54"/>
        <v>0</v>
      </c>
      <c r="N238" s="1111"/>
      <c r="O238" s="674">
        <f t="shared" si="55"/>
        <v>0</v>
      </c>
      <c r="P238" s="682"/>
      <c r="Q238" s="286"/>
      <c r="R238" s="287"/>
      <c r="S238" s="280"/>
      <c r="T238" s="280"/>
      <c r="U238" s="280"/>
      <c r="V238" s="280"/>
      <c r="W238" s="280"/>
      <c r="X238" s="280"/>
      <c r="Y238" s="280"/>
      <c r="Z238" s="284"/>
      <c r="AA238" s="284"/>
      <c r="AB238" s="284"/>
      <c r="AC238" s="284"/>
      <c r="AD238" s="284"/>
      <c r="AE238" s="284"/>
      <c r="AF238" s="447"/>
      <c r="AG238" s="447"/>
      <c r="AH238" s="447"/>
      <c r="AI238" s="382"/>
      <c r="AJ238" s="382"/>
      <c r="AK238" s="382"/>
      <c r="AL238" s="382"/>
      <c r="AM238" s="382"/>
      <c r="AN238" s="382"/>
      <c r="AO238" s="382"/>
      <c r="AP238" s="382"/>
      <c r="AQ238" s="382"/>
      <c r="AR238" s="382"/>
      <c r="AS238" s="382"/>
      <c r="AT238" s="382"/>
      <c r="AU238" s="382"/>
      <c r="AV238" s="382"/>
      <c r="AW238" s="382"/>
      <c r="AX238" s="382"/>
      <c r="AY238" s="382"/>
      <c r="AZ238" s="382"/>
      <c r="BA238" s="382"/>
      <c r="BB238" s="382"/>
      <c r="BC238" s="382"/>
      <c r="BD238" s="382"/>
      <c r="BE238" s="382"/>
      <c r="BF238" s="382"/>
      <c r="BG238" s="382"/>
      <c r="BH238" s="382"/>
      <c r="BI238" s="382"/>
      <c r="BJ238" s="382"/>
      <c r="BK238" s="382"/>
      <c r="BL238" s="382"/>
      <c r="BM238" s="382"/>
      <c r="BN238" s="382"/>
      <c r="BO238" s="382"/>
    </row>
    <row r="239" spans="1:67" s="88" customFormat="1" ht="10.55" customHeight="1" x14ac:dyDescent="0.2">
      <c r="A239" s="675"/>
      <c r="B239" s="2807"/>
      <c r="C239" s="2808"/>
      <c r="D239" s="2809"/>
      <c r="E239" s="2561"/>
      <c r="F239" s="2562"/>
      <c r="G239" s="1015"/>
      <c r="H239" s="524"/>
      <c r="I239" s="1409">
        <f t="shared" si="52"/>
        <v>0</v>
      </c>
      <c r="J239" s="1421">
        <f t="shared" si="53"/>
        <v>0</v>
      </c>
      <c r="K239" s="679"/>
      <c r="L239" s="1002"/>
      <c r="M239" s="1428">
        <f t="shared" si="54"/>
        <v>0</v>
      </c>
      <c r="N239" s="1111"/>
      <c r="O239" s="674">
        <f t="shared" si="55"/>
        <v>0</v>
      </c>
      <c r="P239" s="682"/>
      <c r="Q239" s="286"/>
      <c r="R239" s="287"/>
      <c r="S239" s="280"/>
      <c r="T239" s="280"/>
      <c r="U239" s="280"/>
      <c r="V239" s="280"/>
      <c r="W239" s="280"/>
      <c r="X239" s="280"/>
      <c r="Y239" s="280"/>
      <c r="Z239" s="284"/>
      <c r="AA239" s="284"/>
      <c r="AB239" s="284"/>
      <c r="AC239" s="284"/>
      <c r="AD239" s="284"/>
      <c r="AE239" s="284"/>
      <c r="AF239" s="447"/>
      <c r="AG239" s="447"/>
      <c r="AH239" s="447"/>
      <c r="AI239" s="382"/>
      <c r="AJ239" s="382"/>
      <c r="AK239" s="382"/>
      <c r="AL239" s="382"/>
      <c r="AM239" s="382"/>
      <c r="AN239" s="382"/>
      <c r="AO239" s="382"/>
      <c r="AP239" s="382"/>
      <c r="AQ239" s="382"/>
      <c r="AR239" s="382"/>
      <c r="AS239" s="382"/>
      <c r="AT239" s="382"/>
      <c r="AU239" s="382"/>
      <c r="AV239" s="382"/>
      <c r="AW239" s="382"/>
      <c r="AX239" s="382"/>
      <c r="AY239" s="382"/>
      <c r="AZ239" s="382"/>
      <c r="BA239" s="382"/>
      <c r="BB239" s="382"/>
      <c r="BC239" s="382"/>
      <c r="BD239" s="382"/>
      <c r="BE239" s="382"/>
      <c r="BF239" s="382"/>
      <c r="BG239" s="382"/>
      <c r="BH239" s="382"/>
      <c r="BI239" s="382"/>
      <c r="BJ239" s="382"/>
      <c r="BK239" s="382"/>
      <c r="BL239" s="382"/>
      <c r="BM239" s="382"/>
      <c r="BN239" s="382"/>
      <c r="BO239" s="382"/>
    </row>
    <row r="240" spans="1:67" s="88" customFormat="1" ht="10.55" customHeight="1" x14ac:dyDescent="0.2">
      <c r="A240" s="1017"/>
      <c r="B240" s="2804"/>
      <c r="C240" s="2805"/>
      <c r="D240" s="2806"/>
      <c r="E240" s="2793"/>
      <c r="F240" s="2794"/>
      <c r="G240" s="1018"/>
      <c r="H240" s="1019"/>
      <c r="I240" s="1436">
        <f t="shared" si="52"/>
        <v>0</v>
      </c>
      <c r="J240" s="1422"/>
      <c r="K240" s="680"/>
      <c r="L240" s="1020"/>
      <c r="M240" s="1429">
        <f t="shared" si="54"/>
        <v>0</v>
      </c>
      <c r="N240" s="1111"/>
      <c r="O240" s="674">
        <f t="shared" si="55"/>
        <v>0</v>
      </c>
      <c r="P240" s="682"/>
      <c r="Q240" s="286"/>
      <c r="R240" s="287"/>
      <c r="S240" s="280"/>
      <c r="T240" s="280"/>
      <c r="U240" s="280"/>
      <c r="V240" s="280"/>
      <c r="W240" s="280"/>
      <c r="X240" s="280"/>
      <c r="Y240" s="280"/>
      <c r="Z240" s="284"/>
      <c r="AA240" s="284"/>
      <c r="AB240" s="284"/>
      <c r="AC240" s="284"/>
      <c r="AD240" s="284"/>
      <c r="AE240" s="284"/>
      <c r="AF240" s="447"/>
      <c r="AG240" s="447"/>
      <c r="AH240" s="447"/>
      <c r="AI240" s="382"/>
      <c r="AJ240" s="382"/>
      <c r="AK240" s="382"/>
      <c r="AL240" s="382"/>
      <c r="AM240" s="382"/>
      <c r="AN240" s="382"/>
      <c r="AO240" s="382"/>
      <c r="AP240" s="382"/>
      <c r="AQ240" s="382"/>
      <c r="AR240" s="382"/>
      <c r="AS240" s="382"/>
      <c r="AT240" s="382"/>
      <c r="AU240" s="382"/>
      <c r="AV240" s="382"/>
      <c r="AW240" s="382"/>
      <c r="AX240" s="382"/>
      <c r="AY240" s="382"/>
      <c r="AZ240" s="382"/>
      <c r="BA240" s="382"/>
      <c r="BB240" s="382"/>
      <c r="BC240" s="382"/>
      <c r="BD240" s="382"/>
      <c r="BE240" s="382"/>
      <c r="BF240" s="382"/>
      <c r="BG240" s="382"/>
      <c r="BH240" s="382"/>
      <c r="BI240" s="382"/>
      <c r="BJ240" s="382"/>
      <c r="BK240" s="382"/>
      <c r="BL240" s="382"/>
      <c r="BM240" s="382"/>
      <c r="BN240" s="382"/>
      <c r="BO240" s="382"/>
    </row>
    <row r="241" spans="1:67" s="88" customFormat="1" ht="10.55" customHeight="1" x14ac:dyDescent="0.2">
      <c r="A241" s="1122" t="s">
        <v>395</v>
      </c>
      <c r="B241" s="2783"/>
      <c r="C241" s="2784"/>
      <c r="D241" s="2785"/>
      <c r="E241" s="2810">
        <f>SUM(E242:E254)</f>
        <v>0</v>
      </c>
      <c r="F241" s="2811"/>
      <c r="G241" s="2747"/>
      <c r="H241" s="2748"/>
      <c r="I241" s="1435">
        <f>IF(E241=0,0,J241/E241)</f>
        <v>0</v>
      </c>
      <c r="J241" s="1423">
        <f>SUM(J242:J254)</f>
        <v>0</v>
      </c>
      <c r="K241" s="2749">
        <f>IF(E241=0,0,M241/E241*100)</f>
        <v>0</v>
      </c>
      <c r="L241" s="2750"/>
      <c r="M241" s="1430">
        <f>SUM(M242:M254)</f>
        <v>0</v>
      </c>
      <c r="N241" s="1111"/>
      <c r="O241" s="387">
        <f>IF(H241="",G241,H241)</f>
        <v>0</v>
      </c>
      <c r="P241" s="682"/>
      <c r="Q241" s="286"/>
      <c r="R241" s="287"/>
      <c r="S241" s="280"/>
      <c r="T241" s="280"/>
      <c r="U241" s="280"/>
      <c r="V241" s="280"/>
      <c r="W241" s="280"/>
      <c r="X241" s="280"/>
      <c r="Y241" s="280"/>
      <c r="Z241" s="284"/>
      <c r="AA241" s="284"/>
      <c r="AB241" s="284"/>
      <c r="AC241" s="284"/>
      <c r="AD241" s="284"/>
      <c r="AE241" s="284"/>
      <c r="AF241" s="447"/>
      <c r="AG241" s="447"/>
      <c r="AH241" s="447"/>
      <c r="AI241" s="382"/>
      <c r="AJ241" s="382"/>
      <c r="AK241" s="382"/>
      <c r="AL241" s="382"/>
      <c r="AM241" s="382"/>
      <c r="AN241" s="382"/>
      <c r="AO241" s="382"/>
      <c r="AP241" s="382"/>
      <c r="AQ241" s="382"/>
      <c r="AR241" s="382"/>
      <c r="AS241" s="382"/>
      <c r="AT241" s="382"/>
      <c r="AU241" s="382"/>
      <c r="AV241" s="382"/>
      <c r="AW241" s="382"/>
      <c r="AX241" s="382"/>
      <c r="AY241" s="382"/>
      <c r="AZ241" s="382"/>
      <c r="BA241" s="382"/>
      <c r="BB241" s="382"/>
      <c r="BC241" s="382"/>
      <c r="BD241" s="382"/>
      <c r="BE241" s="382"/>
      <c r="BF241" s="382"/>
      <c r="BG241" s="382"/>
      <c r="BH241" s="382"/>
      <c r="BI241" s="382"/>
      <c r="BJ241" s="382"/>
      <c r="BK241" s="382"/>
      <c r="BL241" s="382"/>
      <c r="BM241" s="382"/>
      <c r="BN241" s="382"/>
      <c r="BO241" s="382"/>
    </row>
    <row r="242" spans="1:67" s="88" customFormat="1" ht="10.55" customHeight="1" x14ac:dyDescent="0.2">
      <c r="A242" s="1013" t="s">
        <v>396</v>
      </c>
      <c r="B242" s="2790"/>
      <c r="C242" s="2791"/>
      <c r="D242" s="2792"/>
      <c r="E242" s="2734"/>
      <c r="F242" s="2735"/>
      <c r="G242" s="1785">
        <v>30</v>
      </c>
      <c r="H242" s="524"/>
      <c r="I242" s="1409">
        <f t="shared" ref="I242:I255" si="56">IF($O242&gt;0,-PMT(($I$9),$O242,1),0)</f>
        <v>4.7777640736176463E-2</v>
      </c>
      <c r="J242" s="1421">
        <f t="shared" ref="J242:J254" si="57">ROUND(E242*I242,0)</f>
        <v>0</v>
      </c>
      <c r="K242" s="678">
        <v>1</v>
      </c>
      <c r="L242" s="1002"/>
      <c r="M242" s="1428">
        <f t="shared" ref="M242:M255" si="58">ROUND(E242/100*IF(ISBLANK(L242),K242,L242),0)</f>
        <v>0</v>
      </c>
      <c r="N242" s="1111"/>
      <c r="O242" s="674">
        <f t="shared" ref="O242:O255" si="59">IF(ISBLANK(H242),G242,H242)</f>
        <v>30</v>
      </c>
      <c r="P242" s="682"/>
      <c r="Q242" s="286"/>
      <c r="R242" s="287"/>
      <c r="S242" s="280"/>
      <c r="T242" s="280"/>
      <c r="U242" s="280"/>
      <c r="V242" s="280"/>
      <c r="W242" s="280"/>
      <c r="X242" s="280"/>
      <c r="Y242" s="280"/>
      <c r="Z242" s="284"/>
      <c r="AA242" s="284"/>
      <c r="AB242" s="284"/>
      <c r="AC242" s="284"/>
      <c r="AD242" s="284"/>
      <c r="AE242" s="284"/>
      <c r="AF242" s="447"/>
      <c r="AG242" s="447"/>
      <c r="AH242" s="447"/>
      <c r="AI242" s="382"/>
      <c r="AJ242" s="382"/>
      <c r="AK242" s="382"/>
      <c r="AL242" s="382"/>
      <c r="AM242" s="382"/>
      <c r="AN242" s="382"/>
      <c r="AO242" s="382"/>
      <c r="AP242" s="382"/>
      <c r="AQ242" s="382"/>
      <c r="AR242" s="382"/>
      <c r="AS242" s="382"/>
      <c r="AT242" s="382"/>
      <c r="AU242" s="382"/>
      <c r="AV242" s="382"/>
      <c r="AW242" s="382"/>
      <c r="AX242" s="382"/>
      <c r="AY242" s="382"/>
      <c r="AZ242" s="382"/>
      <c r="BA242" s="382"/>
      <c r="BB242" s="382"/>
      <c r="BC242" s="382"/>
      <c r="BD242" s="382"/>
      <c r="BE242" s="382"/>
      <c r="BF242" s="382"/>
      <c r="BG242" s="382"/>
      <c r="BH242" s="382"/>
      <c r="BI242" s="382"/>
      <c r="BJ242" s="382"/>
      <c r="BK242" s="382"/>
      <c r="BL242" s="382"/>
      <c r="BM242" s="382"/>
      <c r="BN242" s="382"/>
      <c r="BO242" s="382"/>
    </row>
    <row r="243" spans="1:67" s="88" customFormat="1" ht="10.55" customHeight="1" x14ac:dyDescent="0.2">
      <c r="A243" s="1013" t="s">
        <v>397</v>
      </c>
      <c r="B243" s="2807"/>
      <c r="C243" s="2808"/>
      <c r="D243" s="2809"/>
      <c r="E243" s="2561"/>
      <c r="F243" s="2562"/>
      <c r="G243" s="1785">
        <v>30</v>
      </c>
      <c r="H243" s="524"/>
      <c r="I243" s="1409">
        <f t="shared" si="56"/>
        <v>4.7777640736176463E-2</v>
      </c>
      <c r="J243" s="1421">
        <f t="shared" si="57"/>
        <v>0</v>
      </c>
      <c r="K243" s="678">
        <v>1</v>
      </c>
      <c r="L243" s="1002"/>
      <c r="M243" s="1428">
        <f t="shared" si="58"/>
        <v>0</v>
      </c>
      <c r="N243" s="1111"/>
      <c r="O243" s="674">
        <f t="shared" si="59"/>
        <v>30</v>
      </c>
      <c r="P243" s="682"/>
      <c r="Q243" s="286"/>
      <c r="R243" s="287"/>
      <c r="S243" s="280"/>
      <c r="T243" s="280"/>
      <c r="U243" s="280"/>
      <c r="V243" s="280"/>
      <c r="W243" s="280"/>
      <c r="X243" s="280"/>
      <c r="Y243" s="280"/>
      <c r="Z243" s="284"/>
      <c r="AA243" s="284"/>
      <c r="AB243" s="284"/>
      <c r="AC243" s="284"/>
      <c r="AD243" s="284"/>
      <c r="AE243" s="284"/>
      <c r="AF243" s="447"/>
      <c r="AG243" s="447"/>
      <c r="AH243" s="447"/>
      <c r="AI243" s="382"/>
      <c r="AJ243" s="382"/>
      <c r="AK243" s="382"/>
      <c r="AL243" s="382"/>
      <c r="AM243" s="382"/>
      <c r="AN243" s="382"/>
      <c r="AO243" s="382"/>
      <c r="AP243" s="382"/>
      <c r="AQ243" s="382"/>
      <c r="AR243" s="382"/>
      <c r="AS243" s="382"/>
      <c r="AT243" s="382"/>
      <c r="AU243" s="382"/>
      <c r="AV243" s="382"/>
      <c r="AW243" s="382"/>
      <c r="AX243" s="382"/>
      <c r="AY243" s="382"/>
      <c r="AZ243" s="382"/>
      <c r="BA243" s="382"/>
      <c r="BB243" s="382"/>
      <c r="BC243" s="382"/>
      <c r="BD243" s="382"/>
      <c r="BE243" s="382"/>
      <c r="BF243" s="382"/>
      <c r="BG243" s="382"/>
      <c r="BH243" s="382"/>
      <c r="BI243" s="382"/>
      <c r="BJ243" s="382"/>
      <c r="BK243" s="382"/>
      <c r="BL243" s="382"/>
      <c r="BM243" s="382"/>
      <c r="BN243" s="382"/>
      <c r="BO243" s="382"/>
    </row>
    <row r="244" spans="1:67" s="88" customFormat="1" ht="10.55" customHeight="1" x14ac:dyDescent="0.2">
      <c r="A244" s="1013" t="s">
        <v>398</v>
      </c>
      <c r="B244" s="2807"/>
      <c r="C244" s="2808"/>
      <c r="D244" s="2809"/>
      <c r="E244" s="2561"/>
      <c r="F244" s="2562"/>
      <c r="G244" s="1785">
        <v>30</v>
      </c>
      <c r="H244" s="524"/>
      <c r="I244" s="1409">
        <f t="shared" si="56"/>
        <v>4.7777640736176463E-2</v>
      </c>
      <c r="J244" s="1421">
        <f t="shared" si="57"/>
        <v>0</v>
      </c>
      <c r="K244" s="678">
        <v>1</v>
      </c>
      <c r="L244" s="1002"/>
      <c r="M244" s="1428">
        <f t="shared" si="58"/>
        <v>0</v>
      </c>
      <c r="N244" s="1111"/>
      <c r="O244" s="674">
        <f t="shared" si="59"/>
        <v>30</v>
      </c>
      <c r="P244" s="682"/>
      <c r="Q244" s="286"/>
      <c r="R244" s="287"/>
      <c r="S244" s="280"/>
      <c r="T244" s="280"/>
      <c r="U244" s="280"/>
      <c r="V244" s="280"/>
      <c r="W244" s="280"/>
      <c r="X244" s="280"/>
      <c r="Y244" s="280"/>
      <c r="Z244" s="284"/>
      <c r="AA244" s="284"/>
      <c r="AB244" s="284"/>
      <c r="AC244" s="284"/>
      <c r="AD244" s="284"/>
      <c r="AE244" s="284"/>
      <c r="AF244" s="447"/>
      <c r="AG244" s="447"/>
      <c r="AH244" s="447"/>
      <c r="AI244" s="382"/>
      <c r="AJ244" s="382"/>
      <c r="AK244" s="382"/>
      <c r="AL244" s="382"/>
      <c r="AM244" s="382"/>
      <c r="AN244" s="382"/>
      <c r="AO244" s="382"/>
      <c r="AP244" s="382"/>
      <c r="AQ244" s="382"/>
      <c r="AR244" s="382"/>
      <c r="AS244" s="382"/>
      <c r="AT244" s="382"/>
      <c r="AU244" s="382"/>
      <c r="AV244" s="382"/>
      <c r="AW244" s="382"/>
      <c r="AX244" s="382"/>
      <c r="AY244" s="382"/>
      <c r="AZ244" s="382"/>
      <c r="BA244" s="382"/>
      <c r="BB244" s="382"/>
      <c r="BC244" s="382"/>
      <c r="BD244" s="382"/>
      <c r="BE244" s="382"/>
      <c r="BF244" s="382"/>
      <c r="BG244" s="382"/>
      <c r="BH244" s="382"/>
      <c r="BI244" s="382"/>
      <c r="BJ244" s="382"/>
      <c r="BK244" s="382"/>
      <c r="BL244" s="382"/>
      <c r="BM244" s="382"/>
      <c r="BN244" s="382"/>
      <c r="BO244" s="382"/>
    </row>
    <row r="245" spans="1:67" s="88" customFormat="1" ht="10.55" customHeight="1" x14ac:dyDescent="0.2">
      <c r="A245" s="1013" t="s">
        <v>399</v>
      </c>
      <c r="B245" s="2807"/>
      <c r="C245" s="2808"/>
      <c r="D245" s="2809"/>
      <c r="E245" s="2561"/>
      <c r="F245" s="2562"/>
      <c r="G245" s="1785">
        <v>30</v>
      </c>
      <c r="H245" s="524"/>
      <c r="I245" s="1409">
        <f t="shared" si="56"/>
        <v>4.7777640736176463E-2</v>
      </c>
      <c r="J245" s="1421">
        <f t="shared" si="57"/>
        <v>0</v>
      </c>
      <c r="K245" s="678">
        <v>1.5</v>
      </c>
      <c r="L245" s="1002"/>
      <c r="M245" s="1428">
        <f t="shared" si="58"/>
        <v>0</v>
      </c>
      <c r="N245" s="1111"/>
      <c r="O245" s="674">
        <f t="shared" si="59"/>
        <v>30</v>
      </c>
      <c r="P245" s="682"/>
      <c r="Q245" s="286"/>
      <c r="R245" s="287"/>
      <c r="S245" s="280"/>
      <c r="T245" s="280"/>
      <c r="U245" s="280"/>
      <c r="V245" s="280"/>
      <c r="W245" s="280"/>
      <c r="X245" s="280"/>
      <c r="Y245" s="280"/>
      <c r="Z245" s="284"/>
      <c r="AA245" s="284"/>
      <c r="AB245" s="284"/>
      <c r="AC245" s="284"/>
      <c r="AD245" s="284"/>
      <c r="AE245" s="284"/>
      <c r="AF245" s="447"/>
      <c r="AG245" s="447"/>
      <c r="AH245" s="447"/>
      <c r="AI245" s="382"/>
      <c r="AJ245" s="382"/>
      <c r="AK245" s="382"/>
      <c r="AL245" s="382"/>
      <c r="AM245" s="382"/>
      <c r="AN245" s="382"/>
      <c r="AO245" s="382"/>
      <c r="AP245" s="382"/>
      <c r="AQ245" s="382"/>
      <c r="AR245" s="382"/>
      <c r="AS245" s="382"/>
      <c r="AT245" s="382"/>
      <c r="AU245" s="382"/>
      <c r="AV245" s="382"/>
      <c r="AW245" s="382"/>
      <c r="AX245" s="382"/>
      <c r="AY245" s="382"/>
      <c r="AZ245" s="382"/>
      <c r="BA245" s="382"/>
      <c r="BB245" s="382"/>
      <c r="BC245" s="382"/>
      <c r="BD245" s="382"/>
      <c r="BE245" s="382"/>
      <c r="BF245" s="382"/>
      <c r="BG245" s="382"/>
      <c r="BH245" s="382"/>
      <c r="BI245" s="382"/>
      <c r="BJ245" s="382"/>
      <c r="BK245" s="382"/>
      <c r="BL245" s="382"/>
      <c r="BM245" s="382"/>
      <c r="BN245" s="382"/>
      <c r="BO245" s="382"/>
    </row>
    <row r="246" spans="1:67" s="88" customFormat="1" ht="10.55" customHeight="1" x14ac:dyDescent="0.2">
      <c r="A246" s="1013" t="s">
        <v>400</v>
      </c>
      <c r="B246" s="2807"/>
      <c r="C246" s="2808"/>
      <c r="D246" s="2809"/>
      <c r="E246" s="2561"/>
      <c r="F246" s="2562"/>
      <c r="G246" s="1785">
        <v>30</v>
      </c>
      <c r="H246" s="524"/>
      <c r="I246" s="1409">
        <f t="shared" si="56"/>
        <v>4.7777640736176463E-2</v>
      </c>
      <c r="J246" s="1421">
        <f t="shared" si="57"/>
        <v>0</v>
      </c>
      <c r="K246" s="678">
        <v>1.5</v>
      </c>
      <c r="L246" s="1002"/>
      <c r="M246" s="1428">
        <f t="shared" si="58"/>
        <v>0</v>
      </c>
      <c r="N246" s="1111"/>
      <c r="O246" s="674">
        <f t="shared" si="59"/>
        <v>30</v>
      </c>
      <c r="P246" s="682"/>
      <c r="Q246" s="286"/>
      <c r="R246" s="287"/>
      <c r="S246" s="280"/>
      <c r="T246" s="280"/>
      <c r="U246" s="280"/>
      <c r="V246" s="280"/>
      <c r="W246" s="280"/>
      <c r="X246" s="280"/>
      <c r="Y246" s="280"/>
      <c r="Z246" s="284"/>
      <c r="AA246" s="284"/>
      <c r="AB246" s="284"/>
      <c r="AC246" s="284"/>
      <c r="AD246" s="284"/>
      <c r="AE246" s="284"/>
      <c r="AF246" s="447"/>
      <c r="AG246" s="447"/>
      <c r="AH246" s="447"/>
      <c r="AI246" s="382"/>
      <c r="AJ246" s="382"/>
      <c r="AK246" s="382"/>
      <c r="AL246" s="382"/>
      <c r="AM246" s="382"/>
      <c r="AN246" s="382"/>
      <c r="AO246" s="382"/>
      <c r="AP246" s="382"/>
      <c r="AQ246" s="382"/>
      <c r="AR246" s="382"/>
      <c r="AS246" s="382"/>
      <c r="AT246" s="382"/>
      <c r="AU246" s="382"/>
      <c r="AV246" s="382"/>
      <c r="AW246" s="382"/>
      <c r="AX246" s="382"/>
      <c r="AY246" s="382"/>
      <c r="AZ246" s="382"/>
      <c r="BA246" s="382"/>
      <c r="BB246" s="382"/>
      <c r="BC246" s="382"/>
      <c r="BD246" s="382"/>
      <c r="BE246" s="382"/>
      <c r="BF246" s="382"/>
      <c r="BG246" s="382"/>
      <c r="BH246" s="382"/>
      <c r="BI246" s="382"/>
      <c r="BJ246" s="382"/>
      <c r="BK246" s="382"/>
      <c r="BL246" s="382"/>
      <c r="BM246" s="382"/>
      <c r="BN246" s="382"/>
      <c r="BO246" s="382"/>
    </row>
    <row r="247" spans="1:67" s="88" customFormat="1" ht="10.55" customHeight="1" x14ac:dyDescent="0.2">
      <c r="A247" s="1013" t="s">
        <v>352</v>
      </c>
      <c r="B247" s="2807"/>
      <c r="C247" s="2808"/>
      <c r="D247" s="2809"/>
      <c r="E247" s="2561"/>
      <c r="F247" s="2562"/>
      <c r="G247" s="1785">
        <v>20</v>
      </c>
      <c r="H247" s="524"/>
      <c r="I247" s="1409">
        <f t="shared" si="56"/>
        <v>6.4147128734474465E-2</v>
      </c>
      <c r="J247" s="1421">
        <f t="shared" si="57"/>
        <v>0</v>
      </c>
      <c r="K247" s="678">
        <v>2</v>
      </c>
      <c r="L247" s="1002"/>
      <c r="M247" s="1428">
        <f t="shared" si="58"/>
        <v>0</v>
      </c>
      <c r="N247" s="1111"/>
      <c r="O247" s="674">
        <f t="shared" si="59"/>
        <v>20</v>
      </c>
      <c r="P247" s="682"/>
      <c r="Q247" s="286"/>
      <c r="R247" s="287"/>
      <c r="S247" s="280"/>
      <c r="T247" s="280"/>
      <c r="U247" s="280"/>
      <c r="V247" s="280"/>
      <c r="W247" s="280"/>
      <c r="X247" s="280"/>
      <c r="Y247" s="280"/>
      <c r="Z247" s="284"/>
      <c r="AA247" s="284"/>
      <c r="AB247" s="284"/>
      <c r="AC247" s="284"/>
      <c r="AD247" s="284"/>
      <c r="AE247" s="284"/>
      <c r="AF247" s="447"/>
      <c r="AG247" s="447"/>
      <c r="AH247" s="447"/>
      <c r="AI247" s="382"/>
      <c r="AJ247" s="382"/>
      <c r="AK247" s="382"/>
      <c r="AL247" s="382"/>
      <c r="AM247" s="382"/>
      <c r="AN247" s="382"/>
      <c r="AO247" s="382"/>
      <c r="AP247" s="382"/>
      <c r="AQ247" s="382"/>
      <c r="AR247" s="382"/>
      <c r="AS247" s="382"/>
      <c r="AT247" s="382"/>
      <c r="AU247" s="382"/>
      <c r="AV247" s="382"/>
      <c r="AW247" s="382"/>
      <c r="AX247" s="382"/>
      <c r="AY247" s="382"/>
      <c r="AZ247" s="382"/>
      <c r="BA247" s="382"/>
      <c r="BB247" s="382"/>
      <c r="BC247" s="382"/>
      <c r="BD247" s="382"/>
      <c r="BE247" s="382"/>
      <c r="BF247" s="382"/>
      <c r="BG247" s="382"/>
      <c r="BH247" s="382"/>
      <c r="BI247" s="382"/>
      <c r="BJ247" s="382"/>
      <c r="BK247" s="382"/>
      <c r="BL247" s="382"/>
      <c r="BM247" s="382"/>
      <c r="BN247" s="382"/>
      <c r="BO247" s="382"/>
    </row>
    <row r="248" spans="1:67" s="88" customFormat="1" ht="10.55" customHeight="1" x14ac:dyDescent="0.2">
      <c r="A248" s="1013" t="s">
        <v>333</v>
      </c>
      <c r="B248" s="2807"/>
      <c r="C248" s="2808"/>
      <c r="D248" s="2809"/>
      <c r="E248" s="2561"/>
      <c r="F248" s="2562"/>
      <c r="G248" s="1785">
        <v>20</v>
      </c>
      <c r="H248" s="524"/>
      <c r="I248" s="1409">
        <f t="shared" si="56"/>
        <v>6.4147128734474465E-2</v>
      </c>
      <c r="J248" s="1421">
        <f t="shared" si="57"/>
        <v>0</v>
      </c>
      <c r="K248" s="678">
        <v>8</v>
      </c>
      <c r="L248" s="1002"/>
      <c r="M248" s="1428">
        <f t="shared" si="58"/>
        <v>0</v>
      </c>
      <c r="N248" s="1111"/>
      <c r="O248" s="674">
        <f t="shared" si="59"/>
        <v>20</v>
      </c>
      <c r="P248" s="682"/>
      <c r="Q248" s="286"/>
      <c r="R248" s="287"/>
      <c r="S248" s="280"/>
      <c r="T248" s="280"/>
      <c r="U248" s="280"/>
      <c r="V248" s="280"/>
      <c r="W248" s="280"/>
      <c r="X248" s="280"/>
      <c r="Y248" s="280"/>
      <c r="Z248" s="284"/>
      <c r="AA248" s="284"/>
      <c r="AB248" s="284"/>
      <c r="AC248" s="284"/>
      <c r="AD248" s="284"/>
      <c r="AE248" s="284"/>
      <c r="AF248" s="447"/>
      <c r="AG248" s="447"/>
      <c r="AH248" s="447"/>
      <c r="AI248" s="382"/>
      <c r="AJ248" s="382"/>
      <c r="AK248" s="382"/>
      <c r="AL248" s="382"/>
      <c r="AM248" s="382"/>
      <c r="AN248" s="382"/>
      <c r="AO248" s="382"/>
      <c r="AP248" s="382"/>
      <c r="AQ248" s="382"/>
      <c r="AR248" s="382"/>
      <c r="AS248" s="382"/>
      <c r="AT248" s="382"/>
      <c r="AU248" s="382"/>
      <c r="AV248" s="382"/>
      <c r="AW248" s="382"/>
      <c r="AX248" s="382"/>
      <c r="AY248" s="382"/>
      <c r="AZ248" s="382"/>
      <c r="BA248" s="382"/>
      <c r="BB248" s="382"/>
      <c r="BC248" s="382"/>
      <c r="BD248" s="382"/>
      <c r="BE248" s="382"/>
      <c r="BF248" s="382"/>
      <c r="BG248" s="382"/>
      <c r="BH248" s="382"/>
      <c r="BI248" s="382"/>
      <c r="BJ248" s="382"/>
      <c r="BK248" s="382"/>
      <c r="BL248" s="382"/>
      <c r="BM248" s="382"/>
      <c r="BN248" s="382"/>
      <c r="BO248" s="382"/>
    </row>
    <row r="249" spans="1:67" s="88" customFormat="1" ht="10.55" customHeight="1" x14ac:dyDescent="0.2">
      <c r="A249" s="1013" t="s">
        <v>334</v>
      </c>
      <c r="B249" s="2807"/>
      <c r="C249" s="2808"/>
      <c r="D249" s="2809"/>
      <c r="E249" s="2561"/>
      <c r="F249" s="2562"/>
      <c r="G249" s="1785">
        <v>30</v>
      </c>
      <c r="H249" s="524"/>
      <c r="I249" s="1409">
        <f t="shared" si="56"/>
        <v>4.7777640736176463E-2</v>
      </c>
      <c r="J249" s="1421">
        <f t="shared" si="57"/>
        <v>0</v>
      </c>
      <c r="K249" s="678"/>
      <c r="L249" s="1002"/>
      <c r="M249" s="1428">
        <f t="shared" si="58"/>
        <v>0</v>
      </c>
      <c r="N249" s="1111"/>
      <c r="O249" s="674">
        <f t="shared" si="59"/>
        <v>30</v>
      </c>
      <c r="P249" s="682"/>
      <c r="Q249" s="286"/>
      <c r="R249" s="287"/>
      <c r="S249" s="280"/>
      <c r="T249" s="280"/>
      <c r="U249" s="280"/>
      <c r="V249" s="280"/>
      <c r="W249" s="280"/>
      <c r="X249" s="280"/>
      <c r="Y249" s="280"/>
      <c r="Z249" s="284"/>
      <c r="AA249" s="284"/>
      <c r="AB249" s="284"/>
      <c r="AC249" s="284"/>
      <c r="AD249" s="284"/>
      <c r="AE249" s="284"/>
      <c r="AF249" s="447"/>
      <c r="AG249" s="447"/>
      <c r="AH249" s="447"/>
      <c r="AI249" s="382"/>
      <c r="AJ249" s="382"/>
      <c r="AK249" s="382"/>
      <c r="AL249" s="382"/>
      <c r="AM249" s="382"/>
      <c r="AN249" s="382"/>
      <c r="AO249" s="382"/>
      <c r="AP249" s="382"/>
      <c r="AQ249" s="382"/>
      <c r="AR249" s="382"/>
      <c r="AS249" s="382"/>
      <c r="AT249" s="382"/>
      <c r="AU249" s="382"/>
      <c r="AV249" s="382"/>
      <c r="AW249" s="382"/>
      <c r="AX249" s="382"/>
      <c r="AY249" s="382"/>
      <c r="AZ249" s="382"/>
      <c r="BA249" s="382"/>
      <c r="BB249" s="382"/>
      <c r="BC249" s="382"/>
      <c r="BD249" s="382"/>
      <c r="BE249" s="382"/>
      <c r="BF249" s="382"/>
      <c r="BG249" s="382"/>
      <c r="BH249" s="382"/>
      <c r="BI249" s="382"/>
      <c r="BJ249" s="382"/>
      <c r="BK249" s="382"/>
      <c r="BL249" s="382"/>
      <c r="BM249" s="382"/>
      <c r="BN249" s="382"/>
      <c r="BO249" s="382"/>
    </row>
    <row r="250" spans="1:67" s="88" customFormat="1" ht="10.55" customHeight="1" x14ac:dyDescent="0.2">
      <c r="A250" s="675"/>
      <c r="B250" s="2807"/>
      <c r="C250" s="2808"/>
      <c r="D250" s="2809"/>
      <c r="E250" s="2561"/>
      <c r="F250" s="2562"/>
      <c r="G250" s="1015"/>
      <c r="H250" s="524"/>
      <c r="I250" s="1409">
        <f t="shared" si="56"/>
        <v>0</v>
      </c>
      <c r="J250" s="1421">
        <f t="shared" si="57"/>
        <v>0</v>
      </c>
      <c r="K250" s="679"/>
      <c r="L250" s="1002"/>
      <c r="M250" s="1428">
        <f t="shared" si="58"/>
        <v>0</v>
      </c>
      <c r="N250" s="1111"/>
      <c r="O250" s="674">
        <f t="shared" si="59"/>
        <v>0</v>
      </c>
      <c r="P250" s="682"/>
      <c r="Q250" s="286"/>
      <c r="R250" s="287"/>
      <c r="S250" s="280"/>
      <c r="T250" s="280"/>
      <c r="U250" s="280"/>
      <c r="V250" s="280"/>
      <c r="W250" s="280"/>
      <c r="X250" s="280"/>
      <c r="Y250" s="280"/>
      <c r="Z250" s="284"/>
      <c r="AA250" s="284"/>
      <c r="AB250" s="284"/>
      <c r="AC250" s="284"/>
      <c r="AD250" s="284"/>
      <c r="AE250" s="284"/>
      <c r="AF250" s="447"/>
      <c r="AG250" s="447"/>
      <c r="AH250" s="447"/>
      <c r="AI250" s="382"/>
      <c r="AJ250" s="382"/>
      <c r="AK250" s="382"/>
      <c r="AL250" s="382"/>
      <c r="AM250" s="382"/>
      <c r="AN250" s="382"/>
      <c r="AO250" s="382"/>
      <c r="AP250" s="382"/>
      <c r="AQ250" s="382"/>
      <c r="AR250" s="382"/>
      <c r="AS250" s="382"/>
      <c r="AT250" s="382"/>
      <c r="AU250" s="382"/>
      <c r="AV250" s="382"/>
      <c r="AW250" s="382"/>
      <c r="AX250" s="382"/>
      <c r="AY250" s="382"/>
      <c r="AZ250" s="382"/>
      <c r="BA250" s="382"/>
      <c r="BB250" s="382"/>
      <c r="BC250" s="382"/>
      <c r="BD250" s="382"/>
      <c r="BE250" s="382"/>
      <c r="BF250" s="382"/>
      <c r="BG250" s="382"/>
      <c r="BH250" s="382"/>
      <c r="BI250" s="382"/>
      <c r="BJ250" s="382"/>
      <c r="BK250" s="382"/>
      <c r="BL250" s="382"/>
      <c r="BM250" s="382"/>
      <c r="BN250" s="382"/>
      <c r="BO250" s="382"/>
    </row>
    <row r="251" spans="1:67" s="88" customFormat="1" ht="10.55" customHeight="1" x14ac:dyDescent="0.2">
      <c r="A251" s="675"/>
      <c r="B251" s="2807"/>
      <c r="C251" s="2808"/>
      <c r="D251" s="2809"/>
      <c r="E251" s="2561"/>
      <c r="F251" s="2562"/>
      <c r="G251" s="1015"/>
      <c r="H251" s="524"/>
      <c r="I251" s="1409">
        <f t="shared" si="56"/>
        <v>0</v>
      </c>
      <c r="J251" s="1421">
        <f t="shared" si="57"/>
        <v>0</v>
      </c>
      <c r="K251" s="679"/>
      <c r="L251" s="1002"/>
      <c r="M251" s="1428">
        <f t="shared" si="58"/>
        <v>0</v>
      </c>
      <c r="N251" s="1111"/>
      <c r="O251" s="674">
        <f t="shared" si="59"/>
        <v>0</v>
      </c>
      <c r="P251" s="682"/>
      <c r="Q251" s="286"/>
      <c r="R251" s="287"/>
      <c r="S251" s="280"/>
      <c r="T251" s="280"/>
      <c r="U251" s="280"/>
      <c r="V251" s="280"/>
      <c r="W251" s="280"/>
      <c r="X251" s="280"/>
      <c r="Y251" s="280"/>
      <c r="Z251" s="284"/>
      <c r="AA251" s="284"/>
      <c r="AB251" s="284"/>
      <c r="AC251" s="284"/>
      <c r="AD251" s="284"/>
      <c r="AE251" s="284"/>
      <c r="AF251" s="447"/>
      <c r="AG251" s="447"/>
      <c r="AH251" s="447"/>
      <c r="AI251" s="382"/>
      <c r="AJ251" s="382"/>
      <c r="AK251" s="382"/>
      <c r="AL251" s="382"/>
      <c r="AM251" s="382"/>
      <c r="AN251" s="382"/>
      <c r="AO251" s="382"/>
      <c r="AP251" s="382"/>
      <c r="AQ251" s="382"/>
      <c r="AR251" s="382"/>
      <c r="AS251" s="382"/>
      <c r="AT251" s="382"/>
      <c r="AU251" s="382"/>
      <c r="AV251" s="382"/>
      <c r="AW251" s="382"/>
      <c r="AX251" s="382"/>
      <c r="AY251" s="382"/>
      <c r="AZ251" s="382"/>
      <c r="BA251" s="382"/>
      <c r="BB251" s="382"/>
      <c r="BC251" s="382"/>
      <c r="BD251" s="382"/>
      <c r="BE251" s="382"/>
      <c r="BF251" s="382"/>
      <c r="BG251" s="382"/>
      <c r="BH251" s="382"/>
      <c r="BI251" s="382"/>
      <c r="BJ251" s="382"/>
      <c r="BK251" s="382"/>
      <c r="BL251" s="382"/>
      <c r="BM251" s="382"/>
      <c r="BN251" s="382"/>
      <c r="BO251" s="382"/>
    </row>
    <row r="252" spans="1:67" s="88" customFormat="1" ht="10.55" customHeight="1" x14ac:dyDescent="0.2">
      <c r="A252" s="675"/>
      <c r="B252" s="2807"/>
      <c r="C252" s="2808"/>
      <c r="D252" s="2809"/>
      <c r="E252" s="2561"/>
      <c r="F252" s="2562"/>
      <c r="G252" s="1015"/>
      <c r="H252" s="524"/>
      <c r="I252" s="1409">
        <f t="shared" si="56"/>
        <v>0</v>
      </c>
      <c r="J252" s="1421">
        <f t="shared" si="57"/>
        <v>0</v>
      </c>
      <c r="K252" s="679"/>
      <c r="L252" s="1002"/>
      <c r="M252" s="1428">
        <f t="shared" si="58"/>
        <v>0</v>
      </c>
      <c r="N252" s="1111"/>
      <c r="O252" s="674">
        <f t="shared" si="59"/>
        <v>0</v>
      </c>
      <c r="P252" s="682"/>
      <c r="Q252" s="286"/>
      <c r="R252" s="287"/>
      <c r="S252" s="280"/>
      <c r="T252" s="280"/>
      <c r="U252" s="280"/>
      <c r="V252" s="280"/>
      <c r="W252" s="280"/>
      <c r="X252" s="280"/>
      <c r="Y252" s="280"/>
      <c r="Z252" s="284"/>
      <c r="AA252" s="284"/>
      <c r="AB252" s="284"/>
      <c r="AC252" s="284"/>
      <c r="AD252" s="284"/>
      <c r="AE252" s="284"/>
      <c r="AF252" s="447"/>
      <c r="AG252" s="447"/>
      <c r="AH252" s="447"/>
      <c r="AI252" s="382"/>
      <c r="AJ252" s="382"/>
      <c r="AK252" s="382"/>
      <c r="AL252" s="382"/>
      <c r="AM252" s="382"/>
      <c r="AN252" s="382"/>
      <c r="AO252" s="382"/>
      <c r="AP252" s="382"/>
      <c r="AQ252" s="382"/>
      <c r="AR252" s="382"/>
      <c r="AS252" s="382"/>
      <c r="AT252" s="382"/>
      <c r="AU252" s="382"/>
      <c r="AV252" s="382"/>
      <c r="AW252" s="382"/>
      <c r="AX252" s="382"/>
      <c r="AY252" s="382"/>
      <c r="AZ252" s="382"/>
      <c r="BA252" s="382"/>
      <c r="BB252" s="382"/>
      <c r="BC252" s="382"/>
      <c r="BD252" s="382"/>
      <c r="BE252" s="382"/>
      <c r="BF252" s="382"/>
      <c r="BG252" s="382"/>
      <c r="BH252" s="382"/>
      <c r="BI252" s="382"/>
      <c r="BJ252" s="382"/>
      <c r="BK252" s="382"/>
      <c r="BL252" s="382"/>
      <c r="BM252" s="382"/>
      <c r="BN252" s="382"/>
      <c r="BO252" s="382"/>
    </row>
    <row r="253" spans="1:67" s="88" customFormat="1" ht="10.55" customHeight="1" x14ac:dyDescent="0.2">
      <c r="A253" s="675"/>
      <c r="B253" s="2807"/>
      <c r="C253" s="2808"/>
      <c r="D253" s="2809"/>
      <c r="E253" s="2561"/>
      <c r="F253" s="2562"/>
      <c r="G253" s="1015"/>
      <c r="H253" s="524"/>
      <c r="I253" s="1409">
        <f t="shared" si="56"/>
        <v>0</v>
      </c>
      <c r="J253" s="1421">
        <f t="shared" si="57"/>
        <v>0</v>
      </c>
      <c r="K253" s="679"/>
      <c r="L253" s="1002"/>
      <c r="M253" s="1428">
        <f t="shared" si="58"/>
        <v>0</v>
      </c>
      <c r="N253" s="1111"/>
      <c r="O253" s="674">
        <f t="shared" si="59"/>
        <v>0</v>
      </c>
      <c r="P253" s="682"/>
      <c r="Q253" s="286"/>
      <c r="R253" s="287"/>
      <c r="S253" s="280"/>
      <c r="T253" s="280"/>
      <c r="U253" s="280"/>
      <c r="V253" s="280"/>
      <c r="W253" s="280"/>
      <c r="X253" s="280"/>
      <c r="Y253" s="280"/>
      <c r="Z253" s="284"/>
      <c r="AA253" s="284"/>
      <c r="AB253" s="284"/>
      <c r="AC253" s="284"/>
      <c r="AD253" s="284"/>
      <c r="AE253" s="284"/>
      <c r="AF253" s="447"/>
      <c r="AG253" s="447"/>
      <c r="AH253" s="447"/>
      <c r="AI253" s="382"/>
      <c r="AJ253" s="382"/>
      <c r="AK253" s="382"/>
      <c r="AL253" s="382"/>
      <c r="AM253" s="382"/>
      <c r="AN253" s="382"/>
      <c r="AO253" s="382"/>
      <c r="AP253" s="382"/>
      <c r="AQ253" s="382"/>
      <c r="AR253" s="382"/>
      <c r="AS253" s="382"/>
      <c r="AT253" s="382"/>
      <c r="AU253" s="382"/>
      <c r="AV253" s="382"/>
      <c r="AW253" s="382"/>
      <c r="AX253" s="382"/>
      <c r="AY253" s="382"/>
      <c r="AZ253" s="382"/>
      <c r="BA253" s="382"/>
      <c r="BB253" s="382"/>
      <c r="BC253" s="382"/>
      <c r="BD253" s="382"/>
      <c r="BE253" s="382"/>
      <c r="BF253" s="382"/>
      <c r="BG253" s="382"/>
      <c r="BH253" s="382"/>
      <c r="BI253" s="382"/>
      <c r="BJ253" s="382"/>
      <c r="BK253" s="382"/>
      <c r="BL253" s="382"/>
      <c r="BM253" s="382"/>
      <c r="BN253" s="382"/>
      <c r="BO253" s="382"/>
    </row>
    <row r="254" spans="1:67" s="88" customFormat="1" ht="10.55" customHeight="1" x14ac:dyDescent="0.2">
      <c r="A254" s="675"/>
      <c r="B254" s="2807"/>
      <c r="C254" s="2808"/>
      <c r="D254" s="2809"/>
      <c r="E254" s="2561"/>
      <c r="F254" s="2562"/>
      <c r="G254" s="1015"/>
      <c r="H254" s="524"/>
      <c r="I254" s="1409">
        <f t="shared" si="56"/>
        <v>0</v>
      </c>
      <c r="J254" s="1421">
        <f t="shared" si="57"/>
        <v>0</v>
      </c>
      <c r="K254" s="679"/>
      <c r="L254" s="1002"/>
      <c r="M254" s="1428">
        <f t="shared" si="58"/>
        <v>0</v>
      </c>
      <c r="N254" s="1111"/>
      <c r="O254" s="674">
        <f t="shared" si="59"/>
        <v>0</v>
      </c>
      <c r="P254" s="682"/>
      <c r="Q254" s="286"/>
      <c r="R254" s="287"/>
      <c r="S254" s="280"/>
      <c r="T254" s="280"/>
      <c r="U254" s="280"/>
      <c r="V254" s="280"/>
      <c r="W254" s="280"/>
      <c r="X254" s="280"/>
      <c r="Y254" s="280"/>
      <c r="Z254" s="284"/>
      <c r="AA254" s="284"/>
      <c r="AB254" s="284"/>
      <c r="AC254" s="284"/>
      <c r="AD254" s="284"/>
      <c r="AE254" s="284"/>
      <c r="AF254" s="447"/>
      <c r="AG254" s="447"/>
      <c r="AH254" s="447"/>
      <c r="AI254" s="382"/>
      <c r="AJ254" s="382"/>
      <c r="AK254" s="382"/>
      <c r="AL254" s="382"/>
      <c r="AM254" s="382"/>
      <c r="AN254" s="382"/>
      <c r="AO254" s="382"/>
      <c r="AP254" s="382"/>
      <c r="AQ254" s="382"/>
      <c r="AR254" s="382"/>
      <c r="AS254" s="382"/>
      <c r="AT254" s="382"/>
      <c r="AU254" s="382"/>
      <c r="AV254" s="382"/>
      <c r="AW254" s="382"/>
      <c r="AX254" s="382"/>
      <c r="AY254" s="382"/>
      <c r="AZ254" s="382"/>
      <c r="BA254" s="382"/>
      <c r="BB254" s="382"/>
      <c r="BC254" s="382"/>
      <c r="BD254" s="382"/>
      <c r="BE254" s="382"/>
      <c r="BF254" s="382"/>
      <c r="BG254" s="382"/>
      <c r="BH254" s="382"/>
      <c r="BI254" s="382"/>
      <c r="BJ254" s="382"/>
      <c r="BK254" s="382"/>
      <c r="BL254" s="382"/>
      <c r="BM254" s="382"/>
      <c r="BN254" s="382"/>
      <c r="BO254" s="382"/>
    </row>
    <row r="255" spans="1:67" s="88" customFormat="1" ht="10.55" customHeight="1" x14ac:dyDescent="0.2">
      <c r="A255" s="1017"/>
      <c r="B255" s="2804"/>
      <c r="C255" s="2805"/>
      <c r="D255" s="2806"/>
      <c r="E255" s="2793"/>
      <c r="F255" s="2794"/>
      <c r="G255" s="1018"/>
      <c r="H255" s="1019"/>
      <c r="I255" s="1436">
        <f t="shared" si="56"/>
        <v>0</v>
      </c>
      <c r="J255" s="1422"/>
      <c r="K255" s="680"/>
      <c r="L255" s="1020"/>
      <c r="M255" s="1429">
        <f t="shared" si="58"/>
        <v>0</v>
      </c>
      <c r="N255" s="1111"/>
      <c r="O255" s="674">
        <f t="shared" si="59"/>
        <v>0</v>
      </c>
      <c r="P255" s="682"/>
      <c r="Q255" s="286"/>
      <c r="R255" s="287"/>
      <c r="S255" s="280"/>
      <c r="T255" s="280"/>
      <c r="U255" s="280"/>
      <c r="V255" s="280"/>
      <c r="W255" s="280"/>
      <c r="X255" s="280"/>
      <c r="Y255" s="280"/>
      <c r="Z255" s="284"/>
      <c r="AA255" s="284"/>
      <c r="AB255" s="284"/>
      <c r="AC255" s="284"/>
      <c r="AD255" s="284"/>
      <c r="AE255" s="284"/>
      <c r="AF255" s="447"/>
      <c r="AG255" s="447"/>
      <c r="AH255" s="447"/>
      <c r="AI255" s="382"/>
      <c r="AJ255" s="382"/>
      <c r="AK255" s="382"/>
      <c r="AL255" s="382"/>
      <c r="AM255" s="382"/>
      <c r="AN255" s="382"/>
      <c r="AO255" s="382"/>
      <c r="AP255" s="382"/>
      <c r="AQ255" s="382"/>
      <c r="AR255" s="382"/>
      <c r="AS255" s="382"/>
      <c r="AT255" s="382"/>
      <c r="AU255" s="382"/>
      <c r="AV255" s="382"/>
      <c r="AW255" s="382"/>
      <c r="AX255" s="382"/>
      <c r="AY255" s="382"/>
      <c r="AZ255" s="382"/>
      <c r="BA255" s="382"/>
      <c r="BB255" s="382"/>
      <c r="BC255" s="382"/>
      <c r="BD255" s="382"/>
      <c r="BE255" s="382"/>
      <c r="BF255" s="382"/>
      <c r="BG255" s="382"/>
      <c r="BH255" s="382"/>
      <c r="BI255" s="382"/>
      <c r="BJ255" s="382"/>
      <c r="BK255" s="382"/>
      <c r="BL255" s="382"/>
      <c r="BM255" s="382"/>
      <c r="BN255" s="382"/>
      <c r="BO255" s="382"/>
    </row>
    <row r="256" spans="1:67" s="88" customFormat="1" ht="10.55" customHeight="1" x14ac:dyDescent="0.2">
      <c r="A256" s="1122" t="s">
        <v>401</v>
      </c>
      <c r="B256" s="2783"/>
      <c r="C256" s="2784"/>
      <c r="D256" s="2785"/>
      <c r="E256" s="2810">
        <f>SUM(E257:E269)</f>
        <v>0</v>
      </c>
      <c r="F256" s="2811"/>
      <c r="G256" s="2747"/>
      <c r="H256" s="2748"/>
      <c r="I256" s="1435">
        <f>IF(E256=0,0,J256/E256)</f>
        <v>0</v>
      </c>
      <c r="J256" s="1423">
        <f>SUM(J257:J269)</f>
        <v>0</v>
      </c>
      <c r="K256" s="2749">
        <f>IF(E256=0,0,M256/E256*100)</f>
        <v>0</v>
      </c>
      <c r="L256" s="2750"/>
      <c r="M256" s="1430">
        <f>SUM(M257:M269)</f>
        <v>0</v>
      </c>
      <c r="N256" s="1111"/>
      <c r="O256" s="387">
        <f>IF(H256="",G256,H256)</f>
        <v>0</v>
      </c>
      <c r="P256" s="682"/>
      <c r="Q256" s="286"/>
      <c r="R256" s="287"/>
      <c r="S256" s="280"/>
      <c r="T256" s="280"/>
      <c r="U256" s="280"/>
      <c r="V256" s="280"/>
      <c r="W256" s="280"/>
      <c r="X256" s="280"/>
      <c r="Y256" s="280"/>
      <c r="Z256" s="284"/>
      <c r="AA256" s="284"/>
      <c r="AB256" s="284"/>
      <c r="AC256" s="284"/>
      <c r="AD256" s="284"/>
      <c r="AE256" s="284"/>
      <c r="AF256" s="447"/>
      <c r="AG256" s="447"/>
      <c r="AH256" s="447"/>
      <c r="AI256" s="382"/>
      <c r="AJ256" s="382"/>
      <c r="AK256" s="382"/>
      <c r="AL256" s="382"/>
      <c r="AM256" s="382"/>
      <c r="AN256" s="382"/>
      <c r="AO256" s="382"/>
      <c r="AP256" s="382"/>
      <c r="AQ256" s="382"/>
      <c r="AR256" s="382"/>
      <c r="AS256" s="382"/>
      <c r="AT256" s="382"/>
      <c r="AU256" s="382"/>
      <c r="AV256" s="382"/>
      <c r="AW256" s="382"/>
      <c r="AX256" s="382"/>
      <c r="AY256" s="382"/>
      <c r="AZ256" s="382"/>
      <c r="BA256" s="382"/>
      <c r="BB256" s="382"/>
      <c r="BC256" s="382"/>
      <c r="BD256" s="382"/>
      <c r="BE256" s="382"/>
      <c r="BF256" s="382"/>
      <c r="BG256" s="382"/>
      <c r="BH256" s="382"/>
      <c r="BI256" s="382"/>
      <c r="BJ256" s="382"/>
      <c r="BK256" s="382"/>
      <c r="BL256" s="382"/>
      <c r="BM256" s="382"/>
      <c r="BN256" s="382"/>
      <c r="BO256" s="382"/>
    </row>
    <row r="257" spans="1:67" s="88" customFormat="1" ht="10.55" customHeight="1" x14ac:dyDescent="0.2">
      <c r="A257" s="1013" t="s">
        <v>402</v>
      </c>
      <c r="B257" s="2790"/>
      <c r="C257" s="2791"/>
      <c r="D257" s="2792"/>
      <c r="E257" s="2734"/>
      <c r="F257" s="2735"/>
      <c r="G257" s="1785">
        <v>15</v>
      </c>
      <c r="H257" s="524"/>
      <c r="I257" s="1409">
        <f t="shared" ref="I257:I270" si="60">IF($O257&gt;0,-PMT(($I$9),$O257,1),0)</f>
        <v>8.0766456051533542E-2</v>
      </c>
      <c r="J257" s="1421">
        <f t="shared" ref="J257:J269" si="61">ROUND(E257*I257,0)</f>
        <v>0</v>
      </c>
      <c r="K257" s="678">
        <v>1.5</v>
      </c>
      <c r="L257" s="1002"/>
      <c r="M257" s="1428">
        <f t="shared" ref="M257:M270" si="62">ROUND(E257/100*IF(ISBLANK(L257),K257,L257),0)</f>
        <v>0</v>
      </c>
      <c r="N257" s="1111"/>
      <c r="O257" s="674">
        <f t="shared" ref="O257:O270" si="63">IF(ISBLANK(H257),G257,H257)</f>
        <v>15</v>
      </c>
      <c r="P257" s="682"/>
      <c r="Q257" s="286"/>
      <c r="R257" s="287"/>
      <c r="S257" s="280"/>
      <c r="T257" s="280"/>
      <c r="U257" s="280"/>
      <c r="V257" s="280"/>
      <c r="W257" s="280"/>
      <c r="X257" s="280"/>
      <c r="Y257" s="280"/>
      <c r="Z257" s="284"/>
      <c r="AA257" s="284"/>
      <c r="AB257" s="284"/>
      <c r="AC257" s="284"/>
      <c r="AD257" s="284"/>
      <c r="AE257" s="284"/>
      <c r="AF257" s="447"/>
      <c r="AG257" s="447"/>
      <c r="AH257" s="447"/>
      <c r="AI257" s="382"/>
      <c r="AJ257" s="382"/>
      <c r="AK257" s="382"/>
      <c r="AL257" s="382"/>
      <c r="AM257" s="382"/>
      <c r="AN257" s="382"/>
      <c r="AO257" s="382"/>
      <c r="AP257" s="382"/>
      <c r="AQ257" s="382"/>
      <c r="AR257" s="382"/>
      <c r="AS257" s="382"/>
      <c r="AT257" s="382"/>
      <c r="AU257" s="382"/>
      <c r="AV257" s="382"/>
      <c r="AW257" s="382"/>
      <c r="AX257" s="382"/>
      <c r="AY257" s="382"/>
      <c r="AZ257" s="382"/>
      <c r="BA257" s="382"/>
      <c r="BB257" s="382"/>
      <c r="BC257" s="382"/>
      <c r="BD257" s="382"/>
      <c r="BE257" s="382"/>
      <c r="BF257" s="382"/>
      <c r="BG257" s="382"/>
      <c r="BH257" s="382"/>
      <c r="BI257" s="382"/>
      <c r="BJ257" s="382"/>
      <c r="BK257" s="382"/>
      <c r="BL257" s="382"/>
      <c r="BM257" s="382"/>
      <c r="BN257" s="382"/>
      <c r="BO257" s="382"/>
    </row>
    <row r="258" spans="1:67" s="88" customFormat="1" ht="10.55" customHeight="1" x14ac:dyDescent="0.2">
      <c r="A258" s="1013" t="s">
        <v>403</v>
      </c>
      <c r="B258" s="2807"/>
      <c r="C258" s="2808"/>
      <c r="D258" s="2809"/>
      <c r="E258" s="2561"/>
      <c r="F258" s="2562"/>
      <c r="G258" s="1785">
        <v>15</v>
      </c>
      <c r="H258" s="524"/>
      <c r="I258" s="1409">
        <f t="shared" si="60"/>
        <v>8.0766456051533542E-2</v>
      </c>
      <c r="J258" s="1421">
        <f t="shared" si="61"/>
        <v>0</v>
      </c>
      <c r="K258" s="678">
        <v>1</v>
      </c>
      <c r="L258" s="1002"/>
      <c r="M258" s="1428">
        <f t="shared" si="62"/>
        <v>0</v>
      </c>
      <c r="N258" s="1111"/>
      <c r="O258" s="674">
        <f t="shared" si="63"/>
        <v>15</v>
      </c>
      <c r="P258" s="682"/>
      <c r="Q258" s="286"/>
      <c r="R258" s="287"/>
      <c r="S258" s="280"/>
      <c r="T258" s="280"/>
      <c r="U258" s="280"/>
      <c r="V258" s="280"/>
      <c r="W258" s="280"/>
      <c r="X258" s="280"/>
      <c r="Y258" s="280"/>
      <c r="Z258" s="284"/>
      <c r="AA258" s="284"/>
      <c r="AB258" s="284"/>
      <c r="AC258" s="284"/>
      <c r="AD258" s="284"/>
      <c r="AE258" s="284"/>
      <c r="AF258" s="447"/>
      <c r="AG258" s="447"/>
      <c r="AH258" s="447"/>
      <c r="AI258" s="382"/>
      <c r="AJ258" s="382"/>
      <c r="AK258" s="382"/>
      <c r="AL258" s="382"/>
      <c r="AM258" s="382"/>
      <c r="AN258" s="382"/>
      <c r="AO258" s="382"/>
      <c r="AP258" s="382"/>
      <c r="AQ258" s="382"/>
      <c r="AR258" s="382"/>
      <c r="AS258" s="382"/>
      <c r="AT258" s="382"/>
      <c r="AU258" s="382"/>
      <c r="AV258" s="382"/>
      <c r="AW258" s="382"/>
      <c r="AX258" s="382"/>
      <c r="AY258" s="382"/>
      <c r="AZ258" s="382"/>
      <c r="BA258" s="382"/>
      <c r="BB258" s="382"/>
      <c r="BC258" s="382"/>
      <c r="BD258" s="382"/>
      <c r="BE258" s="382"/>
      <c r="BF258" s="382"/>
      <c r="BG258" s="382"/>
      <c r="BH258" s="382"/>
      <c r="BI258" s="382"/>
      <c r="BJ258" s="382"/>
      <c r="BK258" s="382"/>
      <c r="BL258" s="382"/>
      <c r="BM258" s="382"/>
      <c r="BN258" s="382"/>
      <c r="BO258" s="382"/>
    </row>
    <row r="259" spans="1:67" s="88" customFormat="1" ht="10.55" customHeight="1" x14ac:dyDescent="0.2">
      <c r="A259" s="1013" t="s">
        <v>404</v>
      </c>
      <c r="B259" s="2807"/>
      <c r="C259" s="2808"/>
      <c r="D259" s="2809"/>
      <c r="E259" s="2561"/>
      <c r="F259" s="2562"/>
      <c r="G259" s="1785">
        <v>15</v>
      </c>
      <c r="H259" s="524"/>
      <c r="I259" s="1409">
        <f t="shared" si="60"/>
        <v>8.0766456051533542E-2</v>
      </c>
      <c r="J259" s="1421">
        <f t="shared" si="61"/>
        <v>0</v>
      </c>
      <c r="K259" s="678">
        <v>1.5</v>
      </c>
      <c r="L259" s="1002"/>
      <c r="M259" s="1428">
        <f t="shared" si="62"/>
        <v>0</v>
      </c>
      <c r="N259" s="1111"/>
      <c r="O259" s="674">
        <f t="shared" si="63"/>
        <v>15</v>
      </c>
      <c r="P259" s="682"/>
      <c r="Q259" s="286"/>
      <c r="R259" s="287"/>
      <c r="S259" s="280"/>
      <c r="T259" s="280"/>
      <c r="U259" s="280"/>
      <c r="V259" s="280"/>
      <c r="W259" s="280"/>
      <c r="X259" s="280"/>
      <c r="Y259" s="280"/>
      <c r="Z259" s="284"/>
      <c r="AA259" s="284"/>
      <c r="AB259" s="284"/>
      <c r="AC259" s="284"/>
      <c r="AD259" s="284"/>
      <c r="AE259" s="284"/>
      <c r="AF259" s="447"/>
      <c r="AG259" s="447"/>
      <c r="AH259" s="447"/>
      <c r="AI259" s="382"/>
      <c r="AJ259" s="382"/>
      <c r="AK259" s="382"/>
      <c r="AL259" s="382"/>
      <c r="AM259" s="382"/>
      <c r="AN259" s="382"/>
      <c r="AO259" s="382"/>
      <c r="AP259" s="382"/>
      <c r="AQ259" s="382"/>
      <c r="AR259" s="382"/>
      <c r="AS259" s="382"/>
      <c r="AT259" s="382"/>
      <c r="AU259" s="382"/>
      <c r="AV259" s="382"/>
      <c r="AW259" s="382"/>
      <c r="AX259" s="382"/>
      <c r="AY259" s="382"/>
      <c r="AZ259" s="382"/>
      <c r="BA259" s="382"/>
      <c r="BB259" s="382"/>
      <c r="BC259" s="382"/>
      <c r="BD259" s="382"/>
      <c r="BE259" s="382"/>
      <c r="BF259" s="382"/>
      <c r="BG259" s="382"/>
      <c r="BH259" s="382"/>
      <c r="BI259" s="382"/>
      <c r="BJ259" s="382"/>
      <c r="BK259" s="382"/>
      <c r="BL259" s="382"/>
      <c r="BM259" s="382"/>
      <c r="BN259" s="382"/>
      <c r="BO259" s="382"/>
    </row>
    <row r="260" spans="1:67" s="88" customFormat="1" ht="10.55" customHeight="1" x14ac:dyDescent="0.2">
      <c r="A260" s="1013" t="s">
        <v>405</v>
      </c>
      <c r="B260" s="2807"/>
      <c r="C260" s="2808"/>
      <c r="D260" s="2809"/>
      <c r="E260" s="2561"/>
      <c r="F260" s="2562"/>
      <c r="G260" s="1785">
        <v>15</v>
      </c>
      <c r="H260" s="524"/>
      <c r="I260" s="1409">
        <f t="shared" si="60"/>
        <v>8.0766456051533542E-2</v>
      </c>
      <c r="J260" s="1421">
        <f t="shared" si="61"/>
        <v>0</v>
      </c>
      <c r="K260" s="678">
        <v>0</v>
      </c>
      <c r="L260" s="1002"/>
      <c r="M260" s="1428">
        <f t="shared" si="62"/>
        <v>0</v>
      </c>
      <c r="N260" s="1111"/>
      <c r="O260" s="674">
        <f t="shared" si="63"/>
        <v>15</v>
      </c>
      <c r="P260" s="682"/>
      <c r="Q260" s="286"/>
      <c r="R260" s="287"/>
      <c r="S260" s="280"/>
      <c r="T260" s="280"/>
      <c r="U260" s="280"/>
      <c r="V260" s="280"/>
      <c r="W260" s="280"/>
      <c r="X260" s="280"/>
      <c r="Y260" s="280"/>
      <c r="Z260" s="284"/>
      <c r="AA260" s="284"/>
      <c r="AB260" s="284"/>
      <c r="AC260" s="284"/>
      <c r="AD260" s="284"/>
      <c r="AE260" s="284"/>
      <c r="AF260" s="447"/>
      <c r="AG260" s="447"/>
      <c r="AH260" s="447"/>
      <c r="AI260" s="382"/>
      <c r="AJ260" s="382"/>
      <c r="AK260" s="382"/>
      <c r="AL260" s="382"/>
      <c r="AM260" s="382"/>
      <c r="AN260" s="382"/>
      <c r="AO260" s="382"/>
      <c r="AP260" s="382"/>
      <c r="AQ260" s="382"/>
      <c r="AR260" s="382"/>
      <c r="AS260" s="382"/>
      <c r="AT260" s="382"/>
      <c r="AU260" s="382"/>
      <c r="AV260" s="382"/>
      <c r="AW260" s="382"/>
      <c r="AX260" s="382"/>
      <c r="AY260" s="382"/>
      <c r="AZ260" s="382"/>
      <c r="BA260" s="382"/>
      <c r="BB260" s="382"/>
      <c r="BC260" s="382"/>
      <c r="BD260" s="382"/>
      <c r="BE260" s="382"/>
      <c r="BF260" s="382"/>
      <c r="BG260" s="382"/>
      <c r="BH260" s="382"/>
      <c r="BI260" s="382"/>
      <c r="BJ260" s="382"/>
      <c r="BK260" s="382"/>
      <c r="BL260" s="382"/>
      <c r="BM260" s="382"/>
      <c r="BN260" s="382"/>
      <c r="BO260" s="382"/>
    </row>
    <row r="261" spans="1:67" s="88" customFormat="1" ht="10.55" customHeight="1" x14ac:dyDescent="0.2">
      <c r="A261" s="675"/>
      <c r="B261" s="2807"/>
      <c r="C261" s="2808"/>
      <c r="D261" s="2809"/>
      <c r="E261" s="2561"/>
      <c r="F261" s="2562"/>
      <c r="G261" s="1015"/>
      <c r="H261" s="524"/>
      <c r="I261" s="1409">
        <f t="shared" si="60"/>
        <v>0</v>
      </c>
      <c r="J261" s="1421">
        <f t="shared" si="61"/>
        <v>0</v>
      </c>
      <c r="K261" s="679"/>
      <c r="L261" s="1002"/>
      <c r="M261" s="1428">
        <f t="shared" si="62"/>
        <v>0</v>
      </c>
      <c r="N261" s="1111"/>
      <c r="O261" s="674">
        <f t="shared" si="63"/>
        <v>0</v>
      </c>
      <c r="P261" s="682"/>
      <c r="Q261" s="286"/>
      <c r="R261" s="287"/>
      <c r="S261" s="280"/>
      <c r="T261" s="280"/>
      <c r="U261" s="280"/>
      <c r="V261" s="280"/>
      <c r="W261" s="280"/>
      <c r="X261" s="280"/>
      <c r="Y261" s="280"/>
      <c r="Z261" s="284"/>
      <c r="AA261" s="284"/>
      <c r="AB261" s="284"/>
      <c r="AC261" s="284"/>
      <c r="AD261" s="284"/>
      <c r="AE261" s="284"/>
      <c r="AF261" s="447"/>
      <c r="AG261" s="447"/>
      <c r="AH261" s="447"/>
      <c r="AI261" s="382"/>
      <c r="AJ261" s="382"/>
      <c r="AK261" s="382"/>
      <c r="AL261" s="382"/>
      <c r="AM261" s="382"/>
      <c r="AN261" s="382"/>
      <c r="AO261" s="382"/>
      <c r="AP261" s="382"/>
      <c r="AQ261" s="382"/>
      <c r="AR261" s="382"/>
      <c r="AS261" s="382"/>
      <c r="AT261" s="382"/>
      <c r="AU261" s="382"/>
      <c r="AV261" s="382"/>
      <c r="AW261" s="382"/>
      <c r="AX261" s="382"/>
      <c r="AY261" s="382"/>
      <c r="AZ261" s="382"/>
      <c r="BA261" s="382"/>
      <c r="BB261" s="382"/>
      <c r="BC261" s="382"/>
      <c r="BD261" s="382"/>
      <c r="BE261" s="382"/>
      <c r="BF261" s="382"/>
      <c r="BG261" s="382"/>
      <c r="BH261" s="382"/>
      <c r="BI261" s="382"/>
      <c r="BJ261" s="382"/>
      <c r="BK261" s="382"/>
      <c r="BL261" s="382"/>
      <c r="BM261" s="382"/>
      <c r="BN261" s="382"/>
      <c r="BO261" s="382"/>
    </row>
    <row r="262" spans="1:67" s="88" customFormat="1" ht="10.55" customHeight="1" x14ac:dyDescent="0.2">
      <c r="A262" s="675"/>
      <c r="B262" s="2807"/>
      <c r="C262" s="2808"/>
      <c r="D262" s="2809"/>
      <c r="E262" s="2561"/>
      <c r="F262" s="2562"/>
      <c r="G262" s="1015"/>
      <c r="H262" s="524"/>
      <c r="I262" s="1409">
        <f t="shared" si="60"/>
        <v>0</v>
      </c>
      <c r="J262" s="1421">
        <f t="shared" si="61"/>
        <v>0</v>
      </c>
      <c r="K262" s="679"/>
      <c r="L262" s="1002"/>
      <c r="M262" s="1428">
        <f t="shared" si="62"/>
        <v>0</v>
      </c>
      <c r="N262" s="1111"/>
      <c r="O262" s="674">
        <f t="shared" si="63"/>
        <v>0</v>
      </c>
      <c r="P262" s="682"/>
      <c r="Q262" s="286"/>
      <c r="R262" s="287"/>
      <c r="S262" s="280"/>
      <c r="T262" s="280"/>
      <c r="U262" s="280"/>
      <c r="V262" s="280"/>
      <c r="W262" s="280"/>
      <c r="X262" s="280"/>
      <c r="Y262" s="280"/>
      <c r="Z262" s="284"/>
      <c r="AA262" s="284"/>
      <c r="AB262" s="284"/>
      <c r="AC262" s="284"/>
      <c r="AD262" s="284"/>
      <c r="AE262" s="284"/>
      <c r="AF262" s="447"/>
      <c r="AG262" s="447"/>
      <c r="AH262" s="447"/>
      <c r="AI262" s="382"/>
      <c r="AJ262" s="382"/>
      <c r="AK262" s="382"/>
      <c r="AL262" s="382"/>
      <c r="AM262" s="382"/>
      <c r="AN262" s="382"/>
      <c r="AO262" s="382"/>
      <c r="AP262" s="382"/>
      <c r="AQ262" s="382"/>
      <c r="AR262" s="382"/>
      <c r="AS262" s="382"/>
      <c r="AT262" s="382"/>
      <c r="AU262" s="382"/>
      <c r="AV262" s="382"/>
      <c r="AW262" s="382"/>
      <c r="AX262" s="382"/>
      <c r="AY262" s="382"/>
      <c r="AZ262" s="382"/>
      <c r="BA262" s="382"/>
      <c r="BB262" s="382"/>
      <c r="BC262" s="382"/>
      <c r="BD262" s="382"/>
      <c r="BE262" s="382"/>
      <c r="BF262" s="382"/>
      <c r="BG262" s="382"/>
      <c r="BH262" s="382"/>
      <c r="BI262" s="382"/>
      <c r="BJ262" s="382"/>
      <c r="BK262" s="382"/>
      <c r="BL262" s="382"/>
      <c r="BM262" s="382"/>
      <c r="BN262" s="382"/>
      <c r="BO262" s="382"/>
    </row>
    <row r="263" spans="1:67" s="88" customFormat="1" ht="10.55" customHeight="1" x14ac:dyDescent="0.2">
      <c r="A263" s="675"/>
      <c r="B263" s="2807"/>
      <c r="C263" s="2808"/>
      <c r="D263" s="2809"/>
      <c r="E263" s="2561"/>
      <c r="F263" s="2562"/>
      <c r="G263" s="1015"/>
      <c r="H263" s="524"/>
      <c r="I263" s="1409">
        <f t="shared" si="60"/>
        <v>0</v>
      </c>
      <c r="J263" s="1421">
        <f t="shared" si="61"/>
        <v>0</v>
      </c>
      <c r="K263" s="679"/>
      <c r="L263" s="1002"/>
      <c r="M263" s="1428">
        <f t="shared" si="62"/>
        <v>0</v>
      </c>
      <c r="N263" s="1111"/>
      <c r="O263" s="674">
        <f t="shared" si="63"/>
        <v>0</v>
      </c>
      <c r="P263" s="682"/>
      <c r="Q263" s="286"/>
      <c r="R263" s="287"/>
      <c r="S263" s="280"/>
      <c r="T263" s="280"/>
      <c r="U263" s="280"/>
      <c r="V263" s="280"/>
      <c r="W263" s="280"/>
      <c r="X263" s="280"/>
      <c r="Y263" s="280"/>
      <c r="Z263" s="284"/>
      <c r="AA263" s="284"/>
      <c r="AB263" s="284"/>
      <c r="AC263" s="284"/>
      <c r="AD263" s="284"/>
      <c r="AE263" s="284"/>
      <c r="AF263" s="447"/>
      <c r="AG263" s="447"/>
      <c r="AH263" s="447"/>
      <c r="AI263" s="382"/>
      <c r="AJ263" s="382"/>
      <c r="AK263" s="382"/>
      <c r="AL263" s="382"/>
      <c r="AM263" s="382"/>
      <c r="AN263" s="382"/>
      <c r="AO263" s="382"/>
      <c r="AP263" s="382"/>
      <c r="AQ263" s="382"/>
      <c r="AR263" s="382"/>
      <c r="AS263" s="382"/>
      <c r="AT263" s="382"/>
      <c r="AU263" s="382"/>
      <c r="AV263" s="382"/>
      <c r="AW263" s="382"/>
      <c r="AX263" s="382"/>
      <c r="AY263" s="382"/>
      <c r="AZ263" s="382"/>
      <c r="BA263" s="382"/>
      <c r="BB263" s="382"/>
      <c r="BC263" s="382"/>
      <c r="BD263" s="382"/>
      <c r="BE263" s="382"/>
      <c r="BF263" s="382"/>
      <c r="BG263" s="382"/>
      <c r="BH263" s="382"/>
      <c r="BI263" s="382"/>
      <c r="BJ263" s="382"/>
      <c r="BK263" s="382"/>
      <c r="BL263" s="382"/>
      <c r="BM263" s="382"/>
      <c r="BN263" s="382"/>
      <c r="BO263" s="382"/>
    </row>
    <row r="264" spans="1:67" s="88" customFormat="1" ht="10.55" customHeight="1" x14ac:dyDescent="0.2">
      <c r="A264" s="675"/>
      <c r="B264" s="2807"/>
      <c r="C264" s="2808"/>
      <c r="D264" s="2809"/>
      <c r="E264" s="2561"/>
      <c r="F264" s="2562"/>
      <c r="G264" s="1015"/>
      <c r="H264" s="524"/>
      <c r="I264" s="1409">
        <f t="shared" si="60"/>
        <v>0</v>
      </c>
      <c r="J264" s="1421">
        <f t="shared" si="61"/>
        <v>0</v>
      </c>
      <c r="K264" s="679"/>
      <c r="L264" s="1002"/>
      <c r="M264" s="1428">
        <f t="shared" si="62"/>
        <v>0</v>
      </c>
      <c r="N264" s="1111"/>
      <c r="O264" s="674">
        <f t="shared" si="63"/>
        <v>0</v>
      </c>
      <c r="P264" s="682"/>
      <c r="Q264" s="286"/>
      <c r="R264" s="287"/>
      <c r="S264" s="280"/>
      <c r="T264" s="280"/>
      <c r="U264" s="280"/>
      <c r="V264" s="280"/>
      <c r="W264" s="280"/>
      <c r="X264" s="280"/>
      <c r="Y264" s="280"/>
      <c r="Z264" s="284"/>
      <c r="AA264" s="284"/>
      <c r="AB264" s="284"/>
      <c r="AC264" s="284"/>
      <c r="AD264" s="284"/>
      <c r="AE264" s="284"/>
      <c r="AF264" s="447"/>
      <c r="AG264" s="447"/>
      <c r="AH264" s="447"/>
      <c r="AI264" s="382"/>
      <c r="AJ264" s="382"/>
      <c r="AK264" s="382"/>
      <c r="AL264" s="382"/>
      <c r="AM264" s="382"/>
      <c r="AN264" s="382"/>
      <c r="AO264" s="382"/>
      <c r="AP264" s="382"/>
      <c r="AQ264" s="382"/>
      <c r="AR264" s="382"/>
      <c r="AS264" s="382"/>
      <c r="AT264" s="382"/>
      <c r="AU264" s="382"/>
      <c r="AV264" s="382"/>
      <c r="AW264" s="382"/>
      <c r="AX264" s="382"/>
      <c r="AY264" s="382"/>
      <c r="AZ264" s="382"/>
      <c r="BA264" s="382"/>
      <c r="BB264" s="382"/>
      <c r="BC264" s="382"/>
      <c r="BD264" s="382"/>
      <c r="BE264" s="382"/>
      <c r="BF264" s="382"/>
      <c r="BG264" s="382"/>
      <c r="BH264" s="382"/>
      <c r="BI264" s="382"/>
      <c r="BJ264" s="382"/>
      <c r="BK264" s="382"/>
      <c r="BL264" s="382"/>
      <c r="BM264" s="382"/>
      <c r="BN264" s="382"/>
      <c r="BO264" s="382"/>
    </row>
    <row r="265" spans="1:67" s="88" customFormat="1" ht="10.55" customHeight="1" x14ac:dyDescent="0.2">
      <c r="A265" s="675"/>
      <c r="B265" s="2807"/>
      <c r="C265" s="2808"/>
      <c r="D265" s="2809"/>
      <c r="E265" s="2561"/>
      <c r="F265" s="2562"/>
      <c r="G265" s="1015"/>
      <c r="H265" s="524"/>
      <c r="I265" s="1409">
        <f t="shared" si="60"/>
        <v>0</v>
      </c>
      <c r="J265" s="1421">
        <f t="shared" si="61"/>
        <v>0</v>
      </c>
      <c r="K265" s="679"/>
      <c r="L265" s="1002"/>
      <c r="M265" s="1428">
        <f t="shared" si="62"/>
        <v>0</v>
      </c>
      <c r="N265" s="1111"/>
      <c r="O265" s="674">
        <f t="shared" si="63"/>
        <v>0</v>
      </c>
      <c r="P265" s="682"/>
      <c r="Q265" s="286"/>
      <c r="R265" s="287"/>
      <c r="S265" s="280"/>
      <c r="T265" s="280"/>
      <c r="U265" s="280"/>
      <c r="V265" s="280"/>
      <c r="W265" s="280"/>
      <c r="X265" s="280"/>
      <c r="Y265" s="280"/>
      <c r="Z265" s="284"/>
      <c r="AA265" s="284"/>
      <c r="AB265" s="284"/>
      <c r="AC265" s="284"/>
      <c r="AD265" s="284"/>
      <c r="AE265" s="284"/>
      <c r="AF265" s="447"/>
      <c r="AG265" s="447"/>
      <c r="AH265" s="447"/>
      <c r="AI265" s="382"/>
      <c r="AJ265" s="382"/>
      <c r="AK265" s="382"/>
      <c r="AL265" s="382"/>
      <c r="AM265" s="382"/>
      <c r="AN265" s="382"/>
      <c r="AO265" s="382"/>
      <c r="AP265" s="382"/>
      <c r="AQ265" s="382"/>
      <c r="AR265" s="382"/>
      <c r="AS265" s="382"/>
      <c r="AT265" s="382"/>
      <c r="AU265" s="382"/>
      <c r="AV265" s="382"/>
      <c r="AW265" s="382"/>
      <c r="AX265" s="382"/>
      <c r="AY265" s="382"/>
      <c r="AZ265" s="382"/>
      <c r="BA265" s="382"/>
      <c r="BB265" s="382"/>
      <c r="BC265" s="382"/>
      <c r="BD265" s="382"/>
      <c r="BE265" s="382"/>
      <c r="BF265" s="382"/>
      <c r="BG265" s="382"/>
      <c r="BH265" s="382"/>
      <c r="BI265" s="382"/>
      <c r="BJ265" s="382"/>
      <c r="BK265" s="382"/>
      <c r="BL265" s="382"/>
      <c r="BM265" s="382"/>
      <c r="BN265" s="382"/>
      <c r="BO265" s="382"/>
    </row>
    <row r="266" spans="1:67" s="88" customFormat="1" ht="10.55" customHeight="1" x14ac:dyDescent="0.2">
      <c r="A266" s="675"/>
      <c r="B266" s="2807"/>
      <c r="C266" s="2808"/>
      <c r="D266" s="2809"/>
      <c r="E266" s="2561"/>
      <c r="F266" s="2562"/>
      <c r="G266" s="1015"/>
      <c r="H266" s="524"/>
      <c r="I266" s="1409">
        <f t="shared" si="60"/>
        <v>0</v>
      </c>
      <c r="J266" s="1421">
        <f t="shared" si="61"/>
        <v>0</v>
      </c>
      <c r="K266" s="679"/>
      <c r="L266" s="1002"/>
      <c r="M266" s="1428">
        <f t="shared" si="62"/>
        <v>0</v>
      </c>
      <c r="N266" s="1111"/>
      <c r="O266" s="674">
        <f t="shared" si="63"/>
        <v>0</v>
      </c>
      <c r="P266" s="682"/>
      <c r="Q266" s="286"/>
      <c r="R266" s="287"/>
      <c r="S266" s="280"/>
      <c r="T266" s="280"/>
      <c r="U266" s="280"/>
      <c r="V266" s="280"/>
      <c r="W266" s="280"/>
      <c r="X266" s="280"/>
      <c r="Y266" s="280"/>
      <c r="Z266" s="284"/>
      <c r="AA266" s="284"/>
      <c r="AB266" s="284"/>
      <c r="AC266" s="284"/>
      <c r="AD266" s="284"/>
      <c r="AE266" s="284"/>
      <c r="AF266" s="447"/>
      <c r="AG266" s="447"/>
      <c r="AH266" s="447"/>
      <c r="AI266" s="382"/>
      <c r="AJ266" s="382"/>
      <c r="AK266" s="382"/>
      <c r="AL266" s="382"/>
      <c r="AM266" s="382"/>
      <c r="AN266" s="382"/>
      <c r="AO266" s="382"/>
      <c r="AP266" s="382"/>
      <c r="AQ266" s="382"/>
      <c r="AR266" s="382"/>
      <c r="AS266" s="382"/>
      <c r="AT266" s="382"/>
      <c r="AU266" s="382"/>
      <c r="AV266" s="382"/>
      <c r="AW266" s="382"/>
      <c r="AX266" s="382"/>
      <c r="AY266" s="382"/>
      <c r="AZ266" s="382"/>
      <c r="BA266" s="382"/>
      <c r="BB266" s="382"/>
      <c r="BC266" s="382"/>
      <c r="BD266" s="382"/>
      <c r="BE266" s="382"/>
      <c r="BF266" s="382"/>
      <c r="BG266" s="382"/>
      <c r="BH266" s="382"/>
      <c r="BI266" s="382"/>
      <c r="BJ266" s="382"/>
      <c r="BK266" s="382"/>
      <c r="BL266" s="382"/>
      <c r="BM266" s="382"/>
      <c r="BN266" s="382"/>
      <c r="BO266" s="382"/>
    </row>
    <row r="267" spans="1:67" s="88" customFormat="1" ht="10.55" customHeight="1" x14ac:dyDescent="0.2">
      <c r="A267" s="675"/>
      <c r="B267" s="2807"/>
      <c r="C267" s="2808"/>
      <c r="D267" s="2809"/>
      <c r="E267" s="2561"/>
      <c r="F267" s="2562"/>
      <c r="G267" s="1015"/>
      <c r="H267" s="524"/>
      <c r="I267" s="1409">
        <f t="shared" si="60"/>
        <v>0</v>
      </c>
      <c r="J267" s="1421">
        <f t="shared" si="61"/>
        <v>0</v>
      </c>
      <c r="K267" s="679"/>
      <c r="L267" s="1002"/>
      <c r="M267" s="1428">
        <f t="shared" si="62"/>
        <v>0</v>
      </c>
      <c r="N267" s="1111"/>
      <c r="O267" s="674">
        <f t="shared" si="63"/>
        <v>0</v>
      </c>
      <c r="P267" s="682"/>
      <c r="Q267" s="286"/>
      <c r="R267" s="287"/>
      <c r="S267" s="280"/>
      <c r="T267" s="280"/>
      <c r="U267" s="280"/>
      <c r="V267" s="280"/>
      <c r="W267" s="280"/>
      <c r="X267" s="280"/>
      <c r="Y267" s="280"/>
      <c r="Z267" s="284"/>
      <c r="AA267" s="284"/>
      <c r="AB267" s="284"/>
      <c r="AC267" s="284"/>
      <c r="AD267" s="284"/>
      <c r="AE267" s="284"/>
      <c r="AF267" s="447"/>
      <c r="AG267" s="447"/>
      <c r="AH267" s="447"/>
      <c r="AI267" s="382"/>
      <c r="AJ267" s="382"/>
      <c r="AK267" s="382"/>
      <c r="AL267" s="382"/>
      <c r="AM267" s="382"/>
      <c r="AN267" s="382"/>
      <c r="AO267" s="382"/>
      <c r="AP267" s="382"/>
      <c r="AQ267" s="382"/>
      <c r="AR267" s="382"/>
      <c r="AS267" s="382"/>
      <c r="AT267" s="382"/>
      <c r="AU267" s="382"/>
      <c r="AV267" s="382"/>
      <c r="AW267" s="382"/>
      <c r="AX267" s="382"/>
      <c r="AY267" s="382"/>
      <c r="AZ267" s="382"/>
      <c r="BA267" s="382"/>
      <c r="BB267" s="382"/>
      <c r="BC267" s="382"/>
      <c r="BD267" s="382"/>
      <c r="BE267" s="382"/>
      <c r="BF267" s="382"/>
      <c r="BG267" s="382"/>
      <c r="BH267" s="382"/>
      <c r="BI267" s="382"/>
      <c r="BJ267" s="382"/>
      <c r="BK267" s="382"/>
      <c r="BL267" s="382"/>
      <c r="BM267" s="382"/>
      <c r="BN267" s="382"/>
      <c r="BO267" s="382"/>
    </row>
    <row r="268" spans="1:67" s="88" customFormat="1" ht="10.55" customHeight="1" x14ac:dyDescent="0.2">
      <c r="A268" s="675"/>
      <c r="B268" s="2807"/>
      <c r="C268" s="2808"/>
      <c r="D268" s="2809"/>
      <c r="E268" s="2561"/>
      <c r="F268" s="2562"/>
      <c r="G268" s="1015"/>
      <c r="H268" s="524"/>
      <c r="I268" s="1409">
        <f t="shared" si="60"/>
        <v>0</v>
      </c>
      <c r="J268" s="1421">
        <f t="shared" si="61"/>
        <v>0</v>
      </c>
      <c r="K268" s="679"/>
      <c r="L268" s="1002"/>
      <c r="M268" s="1428">
        <f t="shared" si="62"/>
        <v>0</v>
      </c>
      <c r="N268" s="1111"/>
      <c r="O268" s="674">
        <f t="shared" si="63"/>
        <v>0</v>
      </c>
      <c r="P268" s="682"/>
      <c r="Q268" s="286"/>
      <c r="R268" s="287"/>
      <c r="S268" s="280"/>
      <c r="T268" s="280"/>
      <c r="U268" s="280"/>
      <c r="V268" s="280"/>
      <c r="W268" s="280"/>
      <c r="X268" s="280"/>
      <c r="Y268" s="280"/>
      <c r="Z268" s="284"/>
      <c r="AA268" s="284"/>
      <c r="AB268" s="284"/>
      <c r="AC268" s="284"/>
      <c r="AD268" s="284"/>
      <c r="AE268" s="284"/>
      <c r="AF268" s="447"/>
      <c r="AG268" s="447"/>
      <c r="AH268" s="447"/>
      <c r="AI268" s="382"/>
      <c r="AJ268" s="382"/>
      <c r="AK268" s="382"/>
      <c r="AL268" s="382"/>
      <c r="AM268" s="382"/>
      <c r="AN268" s="382"/>
      <c r="AO268" s="382"/>
      <c r="AP268" s="382"/>
      <c r="AQ268" s="382"/>
      <c r="AR268" s="382"/>
      <c r="AS268" s="382"/>
      <c r="AT268" s="382"/>
      <c r="AU268" s="382"/>
      <c r="AV268" s="382"/>
      <c r="AW268" s="382"/>
      <c r="AX268" s="382"/>
      <c r="AY268" s="382"/>
      <c r="AZ268" s="382"/>
      <c r="BA268" s="382"/>
      <c r="BB268" s="382"/>
      <c r="BC268" s="382"/>
      <c r="BD268" s="382"/>
      <c r="BE268" s="382"/>
      <c r="BF268" s="382"/>
      <c r="BG268" s="382"/>
      <c r="BH268" s="382"/>
      <c r="BI268" s="382"/>
      <c r="BJ268" s="382"/>
      <c r="BK268" s="382"/>
      <c r="BL268" s="382"/>
      <c r="BM268" s="382"/>
      <c r="BN268" s="382"/>
      <c r="BO268" s="382"/>
    </row>
    <row r="269" spans="1:67" s="88" customFormat="1" ht="10.55" customHeight="1" x14ac:dyDescent="0.2">
      <c r="A269" s="675"/>
      <c r="B269" s="2807"/>
      <c r="C269" s="2808"/>
      <c r="D269" s="2809"/>
      <c r="E269" s="2561"/>
      <c r="F269" s="2562"/>
      <c r="G269" s="1015"/>
      <c r="H269" s="524"/>
      <c r="I269" s="1409">
        <f t="shared" si="60"/>
        <v>0</v>
      </c>
      <c r="J269" s="1421">
        <f t="shared" si="61"/>
        <v>0</v>
      </c>
      <c r="K269" s="679"/>
      <c r="L269" s="1002"/>
      <c r="M269" s="1428">
        <f t="shared" si="62"/>
        <v>0</v>
      </c>
      <c r="N269" s="1111"/>
      <c r="O269" s="674">
        <f t="shared" si="63"/>
        <v>0</v>
      </c>
      <c r="P269" s="682"/>
      <c r="Q269" s="286"/>
      <c r="R269" s="287"/>
      <c r="S269" s="280"/>
      <c r="T269" s="280"/>
      <c r="U269" s="280"/>
      <c r="V269" s="280"/>
      <c r="W269" s="280"/>
      <c r="X269" s="280"/>
      <c r="Y269" s="280"/>
      <c r="Z269" s="284"/>
      <c r="AA269" s="284"/>
      <c r="AB269" s="284"/>
      <c r="AC269" s="284"/>
      <c r="AD269" s="284"/>
      <c r="AE269" s="284"/>
      <c r="AF269" s="447"/>
      <c r="AG269" s="447"/>
      <c r="AH269" s="447"/>
      <c r="AI269" s="382"/>
      <c r="AJ269" s="382"/>
      <c r="AK269" s="382"/>
      <c r="AL269" s="382"/>
      <c r="AM269" s="382"/>
      <c r="AN269" s="382"/>
      <c r="AO269" s="382"/>
      <c r="AP269" s="382"/>
      <c r="AQ269" s="382"/>
      <c r="AR269" s="382"/>
      <c r="AS269" s="382"/>
      <c r="AT269" s="382"/>
      <c r="AU269" s="382"/>
      <c r="AV269" s="382"/>
      <c r="AW269" s="382"/>
      <c r="AX269" s="382"/>
      <c r="AY269" s="382"/>
      <c r="AZ269" s="382"/>
      <c r="BA269" s="382"/>
      <c r="BB269" s="382"/>
      <c r="BC269" s="382"/>
      <c r="BD269" s="382"/>
      <c r="BE269" s="382"/>
      <c r="BF269" s="382"/>
      <c r="BG269" s="382"/>
      <c r="BH269" s="382"/>
      <c r="BI269" s="382"/>
      <c r="BJ269" s="382"/>
      <c r="BK269" s="382"/>
      <c r="BL269" s="382"/>
      <c r="BM269" s="382"/>
      <c r="BN269" s="382"/>
      <c r="BO269" s="382"/>
    </row>
    <row r="270" spans="1:67" s="88" customFormat="1" ht="10.55" customHeight="1" x14ac:dyDescent="0.2">
      <c r="A270" s="1017"/>
      <c r="B270" s="2804"/>
      <c r="C270" s="2805"/>
      <c r="D270" s="2806"/>
      <c r="E270" s="2793"/>
      <c r="F270" s="2794"/>
      <c r="G270" s="1018"/>
      <c r="H270" s="1019"/>
      <c r="I270" s="1436">
        <f t="shared" si="60"/>
        <v>0</v>
      </c>
      <c r="J270" s="1422"/>
      <c r="K270" s="680"/>
      <c r="L270" s="1020"/>
      <c r="M270" s="1429">
        <f t="shared" si="62"/>
        <v>0</v>
      </c>
      <c r="N270" s="1111"/>
      <c r="O270" s="674">
        <f t="shared" si="63"/>
        <v>0</v>
      </c>
      <c r="P270" s="682"/>
      <c r="Q270" s="286"/>
      <c r="R270" s="287"/>
      <c r="S270" s="280"/>
      <c r="T270" s="280"/>
      <c r="U270" s="280"/>
      <c r="V270" s="280"/>
      <c r="W270" s="280"/>
      <c r="X270" s="280"/>
      <c r="Y270" s="280"/>
      <c r="Z270" s="284"/>
      <c r="AA270" s="284"/>
      <c r="AB270" s="284"/>
      <c r="AC270" s="284"/>
      <c r="AD270" s="284"/>
      <c r="AE270" s="284"/>
      <c r="AF270" s="447"/>
      <c r="AG270" s="447"/>
      <c r="AH270" s="447"/>
      <c r="AI270" s="382"/>
      <c r="AJ270" s="382"/>
      <c r="AK270" s="382"/>
      <c r="AL270" s="382"/>
      <c r="AM270" s="382"/>
      <c r="AN270" s="382"/>
      <c r="AO270" s="382"/>
      <c r="AP270" s="382"/>
      <c r="AQ270" s="382"/>
      <c r="AR270" s="382"/>
      <c r="AS270" s="382"/>
      <c r="AT270" s="382"/>
      <c r="AU270" s="382"/>
      <c r="AV270" s="382"/>
      <c r="AW270" s="382"/>
      <c r="AX270" s="382"/>
      <c r="AY270" s="382"/>
      <c r="AZ270" s="382"/>
      <c r="BA270" s="382"/>
      <c r="BB270" s="382"/>
      <c r="BC270" s="382"/>
      <c r="BD270" s="382"/>
      <c r="BE270" s="382"/>
      <c r="BF270" s="382"/>
      <c r="BG270" s="382"/>
      <c r="BH270" s="382"/>
      <c r="BI270" s="382"/>
      <c r="BJ270" s="382"/>
      <c r="BK270" s="382"/>
      <c r="BL270" s="382"/>
      <c r="BM270" s="382"/>
      <c r="BN270" s="382"/>
      <c r="BO270" s="382"/>
    </row>
    <row r="271" spans="1:67" s="88" customFormat="1" ht="10.55" customHeight="1" x14ac:dyDescent="0.2">
      <c r="A271" s="1122" t="s">
        <v>406</v>
      </c>
      <c r="B271" s="2783"/>
      <c r="C271" s="2784"/>
      <c r="D271" s="2785"/>
      <c r="E271" s="2810">
        <f>SUM(E272:E284)</f>
        <v>0</v>
      </c>
      <c r="F271" s="2811"/>
      <c r="G271" s="2747"/>
      <c r="H271" s="2748"/>
      <c r="I271" s="1435">
        <f>IF(E271=0,0,J271/E271)</f>
        <v>0</v>
      </c>
      <c r="J271" s="1423">
        <f>SUM(J272:J284)</f>
        <v>0</v>
      </c>
      <c r="K271" s="2749">
        <f>IF(E271=0,0,M271/E271*100)</f>
        <v>0</v>
      </c>
      <c r="L271" s="2750"/>
      <c r="M271" s="1430">
        <f>SUM(M272:M284)</f>
        <v>0</v>
      </c>
      <c r="N271" s="1111"/>
      <c r="O271" s="387">
        <f>IF(H271="",G271,H271)</f>
        <v>0</v>
      </c>
      <c r="P271" s="682"/>
      <c r="Q271" s="286"/>
      <c r="R271" s="287"/>
      <c r="S271" s="280"/>
      <c r="T271" s="280"/>
      <c r="U271" s="280"/>
      <c r="V271" s="280"/>
      <c r="W271" s="280"/>
      <c r="X271" s="280"/>
      <c r="Y271" s="280"/>
      <c r="Z271" s="284"/>
      <c r="AA271" s="284"/>
      <c r="AB271" s="284"/>
      <c r="AC271" s="284"/>
      <c r="AD271" s="284"/>
      <c r="AE271" s="284"/>
      <c r="AF271" s="447"/>
      <c r="AG271" s="447"/>
      <c r="AH271" s="447"/>
      <c r="AI271" s="382"/>
      <c r="AJ271" s="382"/>
      <c r="AK271" s="382"/>
      <c r="AL271" s="382"/>
      <c r="AM271" s="382"/>
      <c r="AN271" s="382"/>
      <c r="AO271" s="382"/>
      <c r="AP271" s="382"/>
      <c r="AQ271" s="382"/>
      <c r="AR271" s="382"/>
      <c r="AS271" s="382"/>
      <c r="AT271" s="382"/>
      <c r="AU271" s="382"/>
      <c r="AV271" s="382"/>
      <c r="AW271" s="382"/>
      <c r="AX271" s="382"/>
      <c r="AY271" s="382"/>
      <c r="AZ271" s="382"/>
      <c r="BA271" s="382"/>
      <c r="BB271" s="382"/>
      <c r="BC271" s="382"/>
      <c r="BD271" s="382"/>
      <c r="BE271" s="382"/>
      <c r="BF271" s="382"/>
      <c r="BG271" s="382"/>
      <c r="BH271" s="382"/>
      <c r="BI271" s="382"/>
      <c r="BJ271" s="382"/>
      <c r="BK271" s="382"/>
      <c r="BL271" s="382"/>
      <c r="BM271" s="382"/>
      <c r="BN271" s="382"/>
      <c r="BO271" s="382"/>
    </row>
    <row r="272" spans="1:67" s="88" customFormat="1" ht="10.55" customHeight="1" x14ac:dyDescent="0.2">
      <c r="A272" s="1013" t="s">
        <v>407</v>
      </c>
      <c r="B272" s="2790"/>
      <c r="C272" s="2791"/>
      <c r="D272" s="2792"/>
      <c r="E272" s="2734"/>
      <c r="F272" s="2735"/>
      <c r="G272" s="1785">
        <v>15</v>
      </c>
      <c r="H272" s="524"/>
      <c r="I272" s="1409">
        <f t="shared" ref="I272:I285" si="64">IF($O272&gt;0,-PMT(($I$9),$O272,1),0)</f>
        <v>8.0766456051533542E-2</v>
      </c>
      <c r="J272" s="1421">
        <f t="shared" ref="J272:J284" si="65">ROUND(E272*I272,0)</f>
        <v>0</v>
      </c>
      <c r="K272" s="678">
        <v>0</v>
      </c>
      <c r="L272" s="1002"/>
      <c r="M272" s="1428">
        <f t="shared" ref="M272:M285" si="66">ROUND(E272/100*IF(ISBLANK(L272),K272,L272),0)</f>
        <v>0</v>
      </c>
      <c r="N272" s="1111"/>
      <c r="O272" s="674">
        <f t="shared" ref="O272:O285" si="67">IF(ISBLANK(H272),G272,H272)</f>
        <v>15</v>
      </c>
      <c r="P272" s="682"/>
      <c r="Q272" s="286"/>
      <c r="R272" s="287"/>
      <c r="S272" s="280"/>
      <c r="T272" s="280"/>
      <c r="U272" s="280"/>
      <c r="V272" s="280"/>
      <c r="W272" s="280"/>
      <c r="X272" s="280"/>
      <c r="Y272" s="280"/>
      <c r="Z272" s="284"/>
      <c r="AA272" s="284"/>
      <c r="AB272" s="284"/>
      <c r="AC272" s="284"/>
      <c r="AD272" s="284"/>
      <c r="AE272" s="284"/>
      <c r="AF272" s="447"/>
      <c r="AG272" s="447"/>
      <c r="AH272" s="447"/>
      <c r="AI272" s="382"/>
      <c r="AJ272" s="382"/>
      <c r="AK272" s="382"/>
      <c r="AL272" s="382"/>
      <c r="AM272" s="382"/>
      <c r="AN272" s="382"/>
      <c r="AO272" s="382"/>
      <c r="AP272" s="382"/>
      <c r="AQ272" s="382"/>
      <c r="AR272" s="382"/>
      <c r="AS272" s="382"/>
      <c r="AT272" s="382"/>
      <c r="AU272" s="382"/>
      <c r="AV272" s="382"/>
      <c r="AW272" s="382"/>
      <c r="AX272" s="382"/>
      <c r="AY272" s="382"/>
      <c r="AZ272" s="382"/>
      <c r="BA272" s="382"/>
      <c r="BB272" s="382"/>
      <c r="BC272" s="382"/>
      <c r="BD272" s="382"/>
      <c r="BE272" s="382"/>
      <c r="BF272" s="382"/>
      <c r="BG272" s="382"/>
      <c r="BH272" s="382"/>
      <c r="BI272" s="382"/>
      <c r="BJ272" s="382"/>
      <c r="BK272" s="382"/>
      <c r="BL272" s="382"/>
      <c r="BM272" s="382"/>
      <c r="BN272" s="382"/>
      <c r="BO272" s="382"/>
    </row>
    <row r="273" spans="1:67" s="88" customFormat="1" ht="10.55" customHeight="1" x14ac:dyDescent="0.2">
      <c r="A273" s="1013" t="s">
        <v>408</v>
      </c>
      <c r="B273" s="2807"/>
      <c r="C273" s="2808"/>
      <c r="D273" s="2809"/>
      <c r="E273" s="2561"/>
      <c r="F273" s="2562"/>
      <c r="G273" s="1785">
        <v>15</v>
      </c>
      <c r="H273" s="524"/>
      <c r="I273" s="1409">
        <f t="shared" si="64"/>
        <v>8.0766456051533542E-2</v>
      </c>
      <c r="J273" s="1421">
        <f t="shared" si="65"/>
        <v>0</v>
      </c>
      <c r="K273" s="678">
        <v>0</v>
      </c>
      <c r="L273" s="1002"/>
      <c r="M273" s="1428">
        <f t="shared" si="66"/>
        <v>0</v>
      </c>
      <c r="N273" s="1111"/>
      <c r="O273" s="674">
        <f t="shared" si="67"/>
        <v>15</v>
      </c>
      <c r="P273" s="682"/>
      <c r="Q273" s="286"/>
      <c r="R273" s="287"/>
      <c r="S273" s="280"/>
      <c r="T273" s="280"/>
      <c r="U273" s="280"/>
      <c r="V273" s="280"/>
      <c r="W273" s="280"/>
      <c r="X273" s="280"/>
      <c r="Y273" s="280"/>
      <c r="Z273" s="284"/>
      <c r="AA273" s="284"/>
      <c r="AB273" s="284"/>
      <c r="AC273" s="284"/>
      <c r="AD273" s="284"/>
      <c r="AE273" s="284"/>
      <c r="AF273" s="447"/>
      <c r="AG273" s="447"/>
      <c r="AH273" s="447"/>
      <c r="AI273" s="382"/>
      <c r="AJ273" s="382"/>
      <c r="AK273" s="382"/>
      <c r="AL273" s="382"/>
      <c r="AM273" s="382"/>
      <c r="AN273" s="382"/>
      <c r="AO273" s="382"/>
      <c r="AP273" s="382"/>
      <c r="AQ273" s="382"/>
      <c r="AR273" s="382"/>
      <c r="AS273" s="382"/>
      <c r="AT273" s="382"/>
      <c r="AU273" s="382"/>
      <c r="AV273" s="382"/>
      <c r="AW273" s="382"/>
      <c r="AX273" s="382"/>
      <c r="AY273" s="382"/>
      <c r="AZ273" s="382"/>
      <c r="BA273" s="382"/>
      <c r="BB273" s="382"/>
      <c r="BC273" s="382"/>
      <c r="BD273" s="382"/>
      <c r="BE273" s="382"/>
      <c r="BF273" s="382"/>
      <c r="BG273" s="382"/>
      <c r="BH273" s="382"/>
      <c r="BI273" s="382"/>
      <c r="BJ273" s="382"/>
      <c r="BK273" s="382"/>
      <c r="BL273" s="382"/>
      <c r="BM273" s="382"/>
      <c r="BN273" s="382"/>
      <c r="BO273" s="382"/>
    </row>
    <row r="274" spans="1:67" s="88" customFormat="1" ht="10.55" customHeight="1" x14ac:dyDescent="0.2">
      <c r="A274" s="1013" t="s">
        <v>409</v>
      </c>
      <c r="B274" s="2807"/>
      <c r="C274" s="2808"/>
      <c r="D274" s="2809"/>
      <c r="E274" s="2561"/>
      <c r="F274" s="2562"/>
      <c r="G274" s="1785">
        <v>20</v>
      </c>
      <c r="H274" s="524"/>
      <c r="I274" s="1409">
        <f t="shared" si="64"/>
        <v>6.4147128734474465E-2</v>
      </c>
      <c r="J274" s="1421">
        <f t="shared" si="65"/>
        <v>0</v>
      </c>
      <c r="K274" s="678">
        <v>1</v>
      </c>
      <c r="L274" s="1002"/>
      <c r="M274" s="1428">
        <f t="shared" si="66"/>
        <v>0</v>
      </c>
      <c r="N274" s="1111"/>
      <c r="O274" s="674">
        <f t="shared" si="67"/>
        <v>20</v>
      </c>
      <c r="P274" s="682"/>
      <c r="Q274" s="286"/>
      <c r="R274" s="287"/>
      <c r="S274" s="280"/>
      <c r="T274" s="280"/>
      <c r="U274" s="280"/>
      <c r="V274" s="280"/>
      <c r="W274" s="280"/>
      <c r="X274" s="280"/>
      <c r="Y274" s="280"/>
      <c r="Z274" s="284"/>
      <c r="AA274" s="284"/>
      <c r="AB274" s="284"/>
      <c r="AC274" s="284"/>
      <c r="AD274" s="284"/>
      <c r="AE274" s="284"/>
      <c r="AF274" s="447"/>
      <c r="AG274" s="447"/>
      <c r="AH274" s="447"/>
      <c r="AI274" s="382"/>
      <c r="AJ274" s="382"/>
      <c r="AK274" s="382"/>
      <c r="AL274" s="382"/>
      <c r="AM274" s="382"/>
      <c r="AN274" s="382"/>
      <c r="AO274" s="382"/>
      <c r="AP274" s="382"/>
      <c r="AQ274" s="382"/>
      <c r="AR274" s="382"/>
      <c r="AS274" s="382"/>
      <c r="AT274" s="382"/>
      <c r="AU274" s="382"/>
      <c r="AV274" s="382"/>
      <c r="AW274" s="382"/>
      <c r="AX274" s="382"/>
      <c r="AY274" s="382"/>
      <c r="AZ274" s="382"/>
      <c r="BA274" s="382"/>
      <c r="BB274" s="382"/>
      <c r="BC274" s="382"/>
      <c r="BD274" s="382"/>
      <c r="BE274" s="382"/>
      <c r="BF274" s="382"/>
      <c r="BG274" s="382"/>
      <c r="BH274" s="382"/>
      <c r="BI274" s="382"/>
      <c r="BJ274" s="382"/>
      <c r="BK274" s="382"/>
      <c r="BL274" s="382"/>
      <c r="BM274" s="382"/>
      <c r="BN274" s="382"/>
      <c r="BO274" s="382"/>
    </row>
    <row r="275" spans="1:67" s="88" customFormat="1" ht="10.55" customHeight="1" x14ac:dyDescent="0.2">
      <c r="A275" s="1013" t="s">
        <v>410</v>
      </c>
      <c r="B275" s="2807"/>
      <c r="C275" s="2808"/>
      <c r="D275" s="2809"/>
      <c r="E275" s="2561"/>
      <c r="F275" s="2562"/>
      <c r="G275" s="1785">
        <v>30</v>
      </c>
      <c r="H275" s="524"/>
      <c r="I275" s="1409">
        <f t="shared" si="64"/>
        <v>4.7777640736176463E-2</v>
      </c>
      <c r="J275" s="1421">
        <f t="shared" si="65"/>
        <v>0</v>
      </c>
      <c r="K275" s="678">
        <v>0.5</v>
      </c>
      <c r="L275" s="1002"/>
      <c r="M275" s="1428">
        <f t="shared" si="66"/>
        <v>0</v>
      </c>
      <c r="N275" s="1111"/>
      <c r="O275" s="674">
        <f t="shared" si="67"/>
        <v>30</v>
      </c>
      <c r="P275" s="682"/>
      <c r="Q275" s="286"/>
      <c r="R275" s="287"/>
      <c r="S275" s="280"/>
      <c r="T275" s="280"/>
      <c r="U275" s="280"/>
      <c r="V275" s="280"/>
      <c r="W275" s="280"/>
      <c r="X275" s="280"/>
      <c r="Y275" s="280"/>
      <c r="Z275" s="284"/>
      <c r="AA275" s="284"/>
      <c r="AB275" s="284"/>
      <c r="AC275" s="284"/>
      <c r="AD275" s="284"/>
      <c r="AE275" s="284"/>
      <c r="AF275" s="447"/>
      <c r="AG275" s="447"/>
      <c r="AH275" s="447"/>
      <c r="AI275" s="382"/>
      <c r="AJ275" s="382"/>
      <c r="AK275" s="382"/>
      <c r="AL275" s="382"/>
      <c r="AM275" s="382"/>
      <c r="AN275" s="382"/>
      <c r="AO275" s="382"/>
      <c r="AP275" s="382"/>
      <c r="AQ275" s="382"/>
      <c r="AR275" s="382"/>
      <c r="AS275" s="382"/>
      <c r="AT275" s="382"/>
      <c r="AU275" s="382"/>
      <c r="AV275" s="382"/>
      <c r="AW275" s="382"/>
      <c r="AX275" s="382"/>
      <c r="AY275" s="382"/>
      <c r="AZ275" s="382"/>
      <c r="BA275" s="382"/>
      <c r="BB275" s="382"/>
      <c r="BC275" s="382"/>
      <c r="BD275" s="382"/>
      <c r="BE275" s="382"/>
      <c r="BF275" s="382"/>
      <c r="BG275" s="382"/>
      <c r="BH275" s="382"/>
      <c r="BI275" s="382"/>
      <c r="BJ275" s="382"/>
      <c r="BK275" s="382"/>
      <c r="BL275" s="382"/>
      <c r="BM275" s="382"/>
      <c r="BN275" s="382"/>
      <c r="BO275" s="382"/>
    </row>
    <row r="276" spans="1:67" s="88" customFormat="1" ht="10.55" customHeight="1" x14ac:dyDescent="0.2">
      <c r="A276" s="1013" t="s">
        <v>283</v>
      </c>
      <c r="B276" s="2807"/>
      <c r="C276" s="2808"/>
      <c r="D276" s="2809"/>
      <c r="E276" s="2561"/>
      <c r="F276" s="2562"/>
      <c r="G276" s="1785">
        <v>15</v>
      </c>
      <c r="H276" s="524"/>
      <c r="I276" s="1409">
        <f t="shared" si="64"/>
        <v>8.0766456051533542E-2</v>
      </c>
      <c r="J276" s="1421">
        <f t="shared" si="65"/>
        <v>0</v>
      </c>
      <c r="K276" s="678">
        <v>2</v>
      </c>
      <c r="L276" s="1002"/>
      <c r="M276" s="1428">
        <f t="shared" si="66"/>
        <v>0</v>
      </c>
      <c r="N276" s="1111"/>
      <c r="O276" s="674">
        <f t="shared" si="67"/>
        <v>15</v>
      </c>
      <c r="P276" s="682"/>
      <c r="Q276" s="286"/>
      <c r="R276" s="287"/>
      <c r="S276" s="280"/>
      <c r="T276" s="280"/>
      <c r="U276" s="280"/>
      <c r="V276" s="280"/>
      <c r="W276" s="280"/>
      <c r="X276" s="280"/>
      <c r="Y276" s="280"/>
      <c r="Z276" s="284"/>
      <c r="AA276" s="284"/>
      <c r="AB276" s="284"/>
      <c r="AC276" s="284"/>
      <c r="AD276" s="284"/>
      <c r="AE276" s="284"/>
      <c r="AF276" s="447"/>
      <c r="AG276" s="447"/>
      <c r="AH276" s="447"/>
      <c r="AI276" s="382"/>
      <c r="AJ276" s="382"/>
      <c r="AK276" s="382"/>
      <c r="AL276" s="382"/>
      <c r="AM276" s="382"/>
      <c r="AN276" s="382"/>
      <c r="AO276" s="382"/>
      <c r="AP276" s="382"/>
      <c r="AQ276" s="382"/>
      <c r="AR276" s="382"/>
      <c r="AS276" s="382"/>
      <c r="AT276" s="382"/>
      <c r="AU276" s="382"/>
      <c r="AV276" s="382"/>
      <c r="AW276" s="382"/>
      <c r="AX276" s="382"/>
      <c r="AY276" s="382"/>
      <c r="AZ276" s="382"/>
      <c r="BA276" s="382"/>
      <c r="BB276" s="382"/>
      <c r="BC276" s="382"/>
      <c r="BD276" s="382"/>
      <c r="BE276" s="382"/>
      <c r="BF276" s="382"/>
      <c r="BG276" s="382"/>
      <c r="BH276" s="382"/>
      <c r="BI276" s="382"/>
      <c r="BJ276" s="382"/>
      <c r="BK276" s="382"/>
      <c r="BL276" s="382"/>
      <c r="BM276" s="382"/>
      <c r="BN276" s="382"/>
      <c r="BO276" s="382"/>
    </row>
    <row r="277" spans="1:67" s="88" customFormat="1" ht="10.55" customHeight="1" x14ac:dyDescent="0.2">
      <c r="A277" s="1013" t="s">
        <v>411</v>
      </c>
      <c r="B277" s="2807"/>
      <c r="C277" s="2808"/>
      <c r="D277" s="2809"/>
      <c r="E277" s="2561"/>
      <c r="F277" s="2562"/>
      <c r="G277" s="1785">
        <v>20</v>
      </c>
      <c r="H277" s="524"/>
      <c r="I277" s="1409">
        <f t="shared" si="64"/>
        <v>6.4147128734474465E-2</v>
      </c>
      <c r="J277" s="1421">
        <f t="shared" si="65"/>
        <v>0</v>
      </c>
      <c r="K277" s="678">
        <v>1</v>
      </c>
      <c r="L277" s="1002"/>
      <c r="M277" s="1428">
        <f t="shared" si="66"/>
        <v>0</v>
      </c>
      <c r="N277" s="1111"/>
      <c r="O277" s="674">
        <f t="shared" si="67"/>
        <v>20</v>
      </c>
      <c r="P277" s="682"/>
      <c r="Q277" s="286"/>
      <c r="R277" s="287"/>
      <c r="S277" s="280"/>
      <c r="T277" s="280"/>
      <c r="U277" s="280"/>
      <c r="V277" s="280"/>
      <c r="W277" s="280"/>
      <c r="X277" s="280"/>
      <c r="Y277" s="280"/>
      <c r="Z277" s="284"/>
      <c r="AA277" s="284"/>
      <c r="AB277" s="284"/>
      <c r="AC277" s="284"/>
      <c r="AD277" s="284"/>
      <c r="AE277" s="284"/>
      <c r="AF277" s="447"/>
      <c r="AG277" s="447"/>
      <c r="AH277" s="447"/>
      <c r="AI277" s="382"/>
      <c r="AJ277" s="382"/>
      <c r="AK277" s="382"/>
      <c r="AL277" s="382"/>
      <c r="AM277" s="382"/>
      <c r="AN277" s="382"/>
      <c r="AO277" s="382"/>
      <c r="AP277" s="382"/>
      <c r="AQ277" s="382"/>
      <c r="AR277" s="382"/>
      <c r="AS277" s="382"/>
      <c r="AT277" s="382"/>
      <c r="AU277" s="382"/>
      <c r="AV277" s="382"/>
      <c r="AW277" s="382"/>
      <c r="AX277" s="382"/>
      <c r="AY277" s="382"/>
      <c r="AZ277" s="382"/>
      <c r="BA277" s="382"/>
      <c r="BB277" s="382"/>
      <c r="BC277" s="382"/>
      <c r="BD277" s="382"/>
      <c r="BE277" s="382"/>
      <c r="BF277" s="382"/>
      <c r="BG277" s="382"/>
      <c r="BH277" s="382"/>
      <c r="BI277" s="382"/>
      <c r="BJ277" s="382"/>
      <c r="BK277" s="382"/>
      <c r="BL277" s="382"/>
      <c r="BM277" s="382"/>
      <c r="BN277" s="382"/>
      <c r="BO277" s="382"/>
    </row>
    <row r="278" spans="1:67" s="88" customFormat="1" ht="10.55" customHeight="1" x14ac:dyDescent="0.2">
      <c r="A278" s="1013" t="s">
        <v>412</v>
      </c>
      <c r="B278" s="2807"/>
      <c r="C278" s="2808"/>
      <c r="D278" s="2809"/>
      <c r="E278" s="2561"/>
      <c r="F278" s="2562"/>
      <c r="G278" s="1785">
        <v>20</v>
      </c>
      <c r="H278" s="524"/>
      <c r="I278" s="1409">
        <f t="shared" si="64"/>
        <v>6.4147128734474465E-2</v>
      </c>
      <c r="J278" s="1421">
        <f t="shared" si="65"/>
        <v>0</v>
      </c>
      <c r="K278" s="678">
        <v>1</v>
      </c>
      <c r="L278" s="1002"/>
      <c r="M278" s="1428">
        <f t="shared" si="66"/>
        <v>0</v>
      </c>
      <c r="N278" s="1111"/>
      <c r="O278" s="674">
        <f t="shared" si="67"/>
        <v>20</v>
      </c>
      <c r="P278" s="682"/>
      <c r="Q278" s="286"/>
      <c r="R278" s="287"/>
      <c r="S278" s="280"/>
      <c r="T278" s="280"/>
      <c r="U278" s="280"/>
      <c r="V278" s="280"/>
      <c r="W278" s="280"/>
      <c r="X278" s="280"/>
      <c r="Y278" s="280"/>
      <c r="Z278" s="284"/>
      <c r="AA278" s="284"/>
      <c r="AB278" s="284"/>
      <c r="AC278" s="284"/>
      <c r="AD278" s="284"/>
      <c r="AE278" s="284"/>
      <c r="AF278" s="447"/>
      <c r="AG278" s="447"/>
      <c r="AH278" s="447"/>
      <c r="AI278" s="382"/>
      <c r="AJ278" s="382"/>
      <c r="AK278" s="382"/>
      <c r="AL278" s="382"/>
      <c r="AM278" s="382"/>
      <c r="AN278" s="382"/>
      <c r="AO278" s="382"/>
      <c r="AP278" s="382"/>
      <c r="AQ278" s="382"/>
      <c r="AR278" s="382"/>
      <c r="AS278" s="382"/>
      <c r="AT278" s="382"/>
      <c r="AU278" s="382"/>
      <c r="AV278" s="382"/>
      <c r="AW278" s="382"/>
      <c r="AX278" s="382"/>
      <c r="AY278" s="382"/>
      <c r="AZ278" s="382"/>
      <c r="BA278" s="382"/>
      <c r="BB278" s="382"/>
      <c r="BC278" s="382"/>
      <c r="BD278" s="382"/>
      <c r="BE278" s="382"/>
      <c r="BF278" s="382"/>
      <c r="BG278" s="382"/>
      <c r="BH278" s="382"/>
      <c r="BI278" s="382"/>
      <c r="BJ278" s="382"/>
      <c r="BK278" s="382"/>
      <c r="BL278" s="382"/>
      <c r="BM278" s="382"/>
      <c r="BN278" s="382"/>
      <c r="BO278" s="382"/>
    </row>
    <row r="279" spans="1:67" s="88" customFormat="1" ht="10.55" customHeight="1" x14ac:dyDescent="0.2">
      <c r="A279" s="1013" t="s">
        <v>413</v>
      </c>
      <c r="B279" s="2807"/>
      <c r="C279" s="2808"/>
      <c r="D279" s="2809"/>
      <c r="E279" s="2561"/>
      <c r="F279" s="2562"/>
      <c r="G279" s="1785">
        <v>15</v>
      </c>
      <c r="H279" s="524"/>
      <c r="I279" s="1409">
        <f t="shared" si="64"/>
        <v>8.0766456051533542E-2</v>
      </c>
      <c r="J279" s="1421">
        <f t="shared" si="65"/>
        <v>0</v>
      </c>
      <c r="K279" s="678">
        <v>2.5</v>
      </c>
      <c r="L279" s="1002"/>
      <c r="M279" s="1428">
        <f t="shared" si="66"/>
        <v>0</v>
      </c>
      <c r="N279" s="1111"/>
      <c r="O279" s="674">
        <f t="shared" si="67"/>
        <v>15</v>
      </c>
      <c r="P279" s="682"/>
      <c r="Q279" s="286"/>
      <c r="R279" s="287"/>
      <c r="S279" s="280"/>
      <c r="T279" s="280"/>
      <c r="U279" s="280"/>
      <c r="V279" s="280"/>
      <c r="W279" s="280"/>
      <c r="X279" s="280"/>
      <c r="Y279" s="280"/>
      <c r="Z279" s="284"/>
      <c r="AA279" s="284"/>
      <c r="AB279" s="284"/>
      <c r="AC279" s="284"/>
      <c r="AD279" s="284"/>
      <c r="AE279" s="284"/>
      <c r="AF279" s="447"/>
      <c r="AG279" s="447"/>
      <c r="AH279" s="447"/>
      <c r="AI279" s="382"/>
      <c r="AJ279" s="382"/>
      <c r="AK279" s="382"/>
      <c r="AL279" s="382"/>
      <c r="AM279" s="382"/>
      <c r="AN279" s="382"/>
      <c r="AO279" s="382"/>
      <c r="AP279" s="382"/>
      <c r="AQ279" s="382"/>
      <c r="AR279" s="382"/>
      <c r="AS279" s="382"/>
      <c r="AT279" s="382"/>
      <c r="AU279" s="382"/>
      <c r="AV279" s="382"/>
      <c r="AW279" s="382"/>
      <c r="AX279" s="382"/>
      <c r="AY279" s="382"/>
      <c r="AZ279" s="382"/>
      <c r="BA279" s="382"/>
      <c r="BB279" s="382"/>
      <c r="BC279" s="382"/>
      <c r="BD279" s="382"/>
      <c r="BE279" s="382"/>
      <c r="BF279" s="382"/>
      <c r="BG279" s="382"/>
      <c r="BH279" s="382"/>
      <c r="BI279" s="382"/>
      <c r="BJ279" s="382"/>
      <c r="BK279" s="382"/>
      <c r="BL279" s="382"/>
      <c r="BM279" s="382"/>
      <c r="BN279" s="382"/>
      <c r="BO279" s="382"/>
    </row>
    <row r="280" spans="1:67" s="88" customFormat="1" ht="10.55" customHeight="1" x14ac:dyDescent="0.2">
      <c r="A280" s="1013" t="s">
        <v>414</v>
      </c>
      <c r="B280" s="2807"/>
      <c r="C280" s="2808"/>
      <c r="D280" s="2809"/>
      <c r="E280" s="2561"/>
      <c r="F280" s="2562"/>
      <c r="G280" s="1785">
        <v>15</v>
      </c>
      <c r="H280" s="524"/>
      <c r="I280" s="1409">
        <f t="shared" si="64"/>
        <v>8.0766456051533542E-2</v>
      </c>
      <c r="J280" s="1421">
        <f t="shared" si="65"/>
        <v>0</v>
      </c>
      <c r="K280" s="678">
        <v>2.5</v>
      </c>
      <c r="L280" s="1002"/>
      <c r="M280" s="1428">
        <f t="shared" si="66"/>
        <v>0</v>
      </c>
      <c r="N280" s="1111"/>
      <c r="O280" s="674">
        <f t="shared" si="67"/>
        <v>15</v>
      </c>
      <c r="P280" s="682"/>
      <c r="Q280" s="286"/>
      <c r="R280" s="287"/>
      <c r="S280" s="280"/>
      <c r="T280" s="280"/>
      <c r="U280" s="280"/>
      <c r="V280" s="280"/>
      <c r="W280" s="280"/>
      <c r="X280" s="280"/>
      <c r="Y280" s="280"/>
      <c r="Z280" s="284"/>
      <c r="AA280" s="284"/>
      <c r="AB280" s="284"/>
      <c r="AC280" s="284"/>
      <c r="AD280" s="284"/>
      <c r="AE280" s="284"/>
      <c r="AF280" s="447"/>
      <c r="AG280" s="447"/>
      <c r="AH280" s="447"/>
      <c r="AI280" s="382"/>
      <c r="AJ280" s="382"/>
      <c r="AK280" s="382"/>
      <c r="AL280" s="382"/>
      <c r="AM280" s="382"/>
      <c r="AN280" s="382"/>
      <c r="AO280" s="382"/>
      <c r="AP280" s="382"/>
      <c r="AQ280" s="382"/>
      <c r="AR280" s="382"/>
      <c r="AS280" s="382"/>
      <c r="AT280" s="382"/>
      <c r="AU280" s="382"/>
      <c r="AV280" s="382"/>
      <c r="AW280" s="382"/>
      <c r="AX280" s="382"/>
      <c r="AY280" s="382"/>
      <c r="AZ280" s="382"/>
      <c r="BA280" s="382"/>
      <c r="BB280" s="382"/>
      <c r="BC280" s="382"/>
      <c r="BD280" s="382"/>
      <c r="BE280" s="382"/>
      <c r="BF280" s="382"/>
      <c r="BG280" s="382"/>
      <c r="BH280" s="382"/>
      <c r="BI280" s="382"/>
      <c r="BJ280" s="382"/>
      <c r="BK280" s="382"/>
      <c r="BL280" s="382"/>
      <c r="BM280" s="382"/>
      <c r="BN280" s="382"/>
      <c r="BO280" s="382"/>
    </row>
    <row r="281" spans="1:67" s="88" customFormat="1" ht="10.55" customHeight="1" x14ac:dyDescent="0.2">
      <c r="A281" s="675"/>
      <c r="B281" s="2807"/>
      <c r="C281" s="2808"/>
      <c r="D281" s="2809"/>
      <c r="E281" s="2561"/>
      <c r="F281" s="2562"/>
      <c r="G281" s="1015"/>
      <c r="H281" s="524"/>
      <c r="I281" s="1409">
        <f t="shared" si="64"/>
        <v>0</v>
      </c>
      <c r="J281" s="1421">
        <f t="shared" si="65"/>
        <v>0</v>
      </c>
      <c r="K281" s="679"/>
      <c r="L281" s="1002"/>
      <c r="M281" s="1428">
        <f t="shared" si="66"/>
        <v>0</v>
      </c>
      <c r="N281" s="1111"/>
      <c r="O281" s="674">
        <f t="shared" si="67"/>
        <v>0</v>
      </c>
      <c r="P281" s="682"/>
      <c r="Q281" s="286"/>
      <c r="R281" s="287"/>
      <c r="S281" s="280"/>
      <c r="T281" s="280"/>
      <c r="U281" s="280"/>
      <c r="V281" s="280"/>
      <c r="W281" s="280"/>
      <c r="X281" s="280"/>
      <c r="Y281" s="280"/>
      <c r="Z281" s="284"/>
      <c r="AA281" s="284"/>
      <c r="AB281" s="284"/>
      <c r="AC281" s="284"/>
      <c r="AD281" s="284"/>
      <c r="AE281" s="284"/>
      <c r="AF281" s="447"/>
      <c r="AG281" s="447"/>
      <c r="AH281" s="447"/>
      <c r="AI281" s="382"/>
      <c r="AJ281" s="382"/>
      <c r="AK281" s="382"/>
      <c r="AL281" s="382"/>
      <c r="AM281" s="382"/>
      <c r="AN281" s="382"/>
      <c r="AO281" s="382"/>
      <c r="AP281" s="382"/>
      <c r="AQ281" s="382"/>
      <c r="AR281" s="382"/>
      <c r="AS281" s="382"/>
      <c r="AT281" s="382"/>
      <c r="AU281" s="382"/>
      <c r="AV281" s="382"/>
      <c r="AW281" s="382"/>
      <c r="AX281" s="382"/>
      <c r="AY281" s="382"/>
      <c r="AZ281" s="382"/>
      <c r="BA281" s="382"/>
      <c r="BB281" s="382"/>
      <c r="BC281" s="382"/>
      <c r="BD281" s="382"/>
      <c r="BE281" s="382"/>
      <c r="BF281" s="382"/>
      <c r="BG281" s="382"/>
      <c r="BH281" s="382"/>
      <c r="BI281" s="382"/>
      <c r="BJ281" s="382"/>
      <c r="BK281" s="382"/>
      <c r="BL281" s="382"/>
      <c r="BM281" s="382"/>
      <c r="BN281" s="382"/>
      <c r="BO281" s="382"/>
    </row>
    <row r="282" spans="1:67" s="88" customFormat="1" ht="10.55" customHeight="1" x14ac:dyDescent="0.2">
      <c r="A282" s="675"/>
      <c r="B282" s="2807"/>
      <c r="C282" s="2808"/>
      <c r="D282" s="2809"/>
      <c r="E282" s="2561"/>
      <c r="F282" s="2562"/>
      <c r="G282" s="1015"/>
      <c r="H282" s="524"/>
      <c r="I282" s="1409">
        <f t="shared" si="64"/>
        <v>0</v>
      </c>
      <c r="J282" s="1421">
        <f t="shared" si="65"/>
        <v>0</v>
      </c>
      <c r="K282" s="679"/>
      <c r="L282" s="1002"/>
      <c r="M282" s="1428">
        <f t="shared" si="66"/>
        <v>0</v>
      </c>
      <c r="N282" s="1111"/>
      <c r="O282" s="674">
        <f t="shared" si="67"/>
        <v>0</v>
      </c>
      <c r="P282" s="682"/>
      <c r="Q282" s="286"/>
      <c r="R282" s="287"/>
      <c r="S282" s="280"/>
      <c r="T282" s="280"/>
      <c r="U282" s="280"/>
      <c r="V282" s="280"/>
      <c r="W282" s="280"/>
      <c r="X282" s="280"/>
      <c r="Y282" s="280"/>
      <c r="Z282" s="284"/>
      <c r="AA282" s="284"/>
      <c r="AB282" s="284"/>
      <c r="AC282" s="284"/>
      <c r="AD282" s="284"/>
      <c r="AE282" s="284"/>
      <c r="AF282" s="447"/>
      <c r="AG282" s="447"/>
      <c r="AH282" s="447"/>
      <c r="AI282" s="382"/>
      <c r="AJ282" s="382"/>
      <c r="AK282" s="382"/>
      <c r="AL282" s="382"/>
      <c r="AM282" s="382"/>
      <c r="AN282" s="382"/>
      <c r="AO282" s="382"/>
      <c r="AP282" s="382"/>
      <c r="AQ282" s="382"/>
      <c r="AR282" s="382"/>
      <c r="AS282" s="382"/>
      <c r="AT282" s="382"/>
      <c r="AU282" s="382"/>
      <c r="AV282" s="382"/>
      <c r="AW282" s="382"/>
      <c r="AX282" s="382"/>
      <c r="AY282" s="382"/>
      <c r="AZ282" s="382"/>
      <c r="BA282" s="382"/>
      <c r="BB282" s="382"/>
      <c r="BC282" s="382"/>
      <c r="BD282" s="382"/>
      <c r="BE282" s="382"/>
      <c r="BF282" s="382"/>
      <c r="BG282" s="382"/>
      <c r="BH282" s="382"/>
      <c r="BI282" s="382"/>
      <c r="BJ282" s="382"/>
      <c r="BK282" s="382"/>
      <c r="BL282" s="382"/>
      <c r="BM282" s="382"/>
      <c r="BN282" s="382"/>
      <c r="BO282" s="382"/>
    </row>
    <row r="283" spans="1:67" s="88" customFormat="1" ht="10.55" customHeight="1" x14ac:dyDescent="0.2">
      <c r="A283" s="675"/>
      <c r="B283" s="2807"/>
      <c r="C283" s="2808"/>
      <c r="D283" s="2809"/>
      <c r="E283" s="2561"/>
      <c r="F283" s="2562"/>
      <c r="G283" s="1015"/>
      <c r="H283" s="524"/>
      <c r="I283" s="1409">
        <f t="shared" si="64"/>
        <v>0</v>
      </c>
      <c r="J283" s="1421">
        <f t="shared" si="65"/>
        <v>0</v>
      </c>
      <c r="K283" s="679"/>
      <c r="L283" s="1002"/>
      <c r="M283" s="1428">
        <f t="shared" si="66"/>
        <v>0</v>
      </c>
      <c r="N283" s="1111"/>
      <c r="O283" s="674">
        <f t="shared" si="67"/>
        <v>0</v>
      </c>
      <c r="P283" s="682"/>
      <c r="Q283" s="286"/>
      <c r="R283" s="287"/>
      <c r="S283" s="280"/>
      <c r="T283" s="280"/>
      <c r="U283" s="280"/>
      <c r="V283" s="280"/>
      <c r="W283" s="280"/>
      <c r="X283" s="280"/>
      <c r="Y283" s="280"/>
      <c r="Z283" s="284"/>
      <c r="AA283" s="284"/>
      <c r="AB283" s="284"/>
      <c r="AC283" s="284"/>
      <c r="AD283" s="284"/>
      <c r="AE283" s="284"/>
      <c r="AF283" s="447"/>
      <c r="AG283" s="447"/>
      <c r="AH283" s="447"/>
      <c r="AI283" s="382"/>
      <c r="AJ283" s="382"/>
      <c r="AK283" s="382"/>
      <c r="AL283" s="382"/>
      <c r="AM283" s="382"/>
      <c r="AN283" s="382"/>
      <c r="AO283" s="382"/>
      <c r="AP283" s="382"/>
      <c r="AQ283" s="382"/>
      <c r="AR283" s="382"/>
      <c r="AS283" s="382"/>
      <c r="AT283" s="382"/>
      <c r="AU283" s="382"/>
      <c r="AV283" s="382"/>
      <c r="AW283" s="382"/>
      <c r="AX283" s="382"/>
      <c r="AY283" s="382"/>
      <c r="AZ283" s="382"/>
      <c r="BA283" s="382"/>
      <c r="BB283" s="382"/>
      <c r="BC283" s="382"/>
      <c r="BD283" s="382"/>
      <c r="BE283" s="382"/>
      <c r="BF283" s="382"/>
      <c r="BG283" s="382"/>
      <c r="BH283" s="382"/>
      <c r="BI283" s="382"/>
      <c r="BJ283" s="382"/>
      <c r="BK283" s="382"/>
      <c r="BL283" s="382"/>
      <c r="BM283" s="382"/>
      <c r="BN283" s="382"/>
      <c r="BO283" s="382"/>
    </row>
    <row r="284" spans="1:67" s="88" customFormat="1" ht="10.55" customHeight="1" x14ac:dyDescent="0.2">
      <c r="A284" s="675"/>
      <c r="B284" s="2807"/>
      <c r="C284" s="2808"/>
      <c r="D284" s="2809"/>
      <c r="E284" s="2561"/>
      <c r="F284" s="2562"/>
      <c r="G284" s="1015"/>
      <c r="H284" s="524"/>
      <c r="I284" s="1409">
        <f t="shared" si="64"/>
        <v>0</v>
      </c>
      <c r="J284" s="1421">
        <f t="shared" si="65"/>
        <v>0</v>
      </c>
      <c r="K284" s="679"/>
      <c r="L284" s="1002"/>
      <c r="M284" s="1428">
        <f t="shared" si="66"/>
        <v>0</v>
      </c>
      <c r="N284" s="1111"/>
      <c r="O284" s="674">
        <f t="shared" si="67"/>
        <v>0</v>
      </c>
      <c r="P284" s="682"/>
      <c r="Q284" s="286"/>
      <c r="R284" s="287"/>
      <c r="S284" s="280"/>
      <c r="T284" s="280"/>
      <c r="U284" s="280"/>
      <c r="V284" s="280"/>
      <c r="W284" s="280"/>
      <c r="X284" s="280"/>
      <c r="Y284" s="280"/>
      <c r="Z284" s="284"/>
      <c r="AA284" s="284"/>
      <c r="AB284" s="284"/>
      <c r="AC284" s="284"/>
      <c r="AD284" s="284"/>
      <c r="AE284" s="284"/>
      <c r="AF284" s="447"/>
      <c r="AG284" s="447"/>
      <c r="AH284" s="447"/>
      <c r="AI284" s="382"/>
      <c r="AJ284" s="382"/>
      <c r="AK284" s="382"/>
      <c r="AL284" s="382"/>
      <c r="AM284" s="382"/>
      <c r="AN284" s="382"/>
      <c r="AO284" s="382"/>
      <c r="AP284" s="382"/>
      <c r="AQ284" s="382"/>
      <c r="AR284" s="382"/>
      <c r="AS284" s="382"/>
      <c r="AT284" s="382"/>
      <c r="AU284" s="382"/>
      <c r="AV284" s="382"/>
      <c r="AW284" s="382"/>
      <c r="AX284" s="382"/>
      <c r="AY284" s="382"/>
      <c r="AZ284" s="382"/>
      <c r="BA284" s="382"/>
      <c r="BB284" s="382"/>
      <c r="BC284" s="382"/>
      <c r="BD284" s="382"/>
      <c r="BE284" s="382"/>
      <c r="BF284" s="382"/>
      <c r="BG284" s="382"/>
      <c r="BH284" s="382"/>
      <c r="BI284" s="382"/>
      <c r="BJ284" s="382"/>
      <c r="BK284" s="382"/>
      <c r="BL284" s="382"/>
      <c r="BM284" s="382"/>
      <c r="BN284" s="382"/>
      <c r="BO284" s="382"/>
    </row>
    <row r="285" spans="1:67" s="88" customFormat="1" ht="10.55" customHeight="1" x14ac:dyDescent="0.2">
      <c r="A285" s="1085"/>
      <c r="B285" s="2804"/>
      <c r="C285" s="2805"/>
      <c r="D285" s="2806"/>
      <c r="E285" s="2793"/>
      <c r="F285" s="2794"/>
      <c r="G285" s="1086"/>
      <c r="H285" s="1087"/>
      <c r="I285" s="1437">
        <f t="shared" si="64"/>
        <v>0</v>
      </c>
      <c r="J285" s="1413"/>
      <c r="K285" s="1088"/>
      <c r="L285" s="1089"/>
      <c r="M285" s="1431">
        <f t="shared" si="66"/>
        <v>0</v>
      </c>
      <c r="N285" s="1111"/>
      <c r="O285" s="674">
        <f t="shared" si="67"/>
        <v>0</v>
      </c>
      <c r="P285" s="682"/>
      <c r="Q285" s="286"/>
      <c r="R285" s="287"/>
      <c r="S285" s="280"/>
      <c r="T285" s="280"/>
      <c r="U285" s="280"/>
      <c r="V285" s="280"/>
      <c r="W285" s="280"/>
      <c r="X285" s="280"/>
      <c r="Y285" s="280"/>
      <c r="Z285" s="284"/>
      <c r="AA285" s="284"/>
      <c r="AB285" s="284"/>
      <c r="AC285" s="284"/>
      <c r="AD285" s="284"/>
      <c r="AE285" s="284"/>
      <c r="AF285" s="447"/>
      <c r="AG285" s="447"/>
      <c r="AH285" s="447"/>
      <c r="AI285" s="382"/>
      <c r="AJ285" s="382"/>
      <c r="AK285" s="382"/>
      <c r="AL285" s="382"/>
      <c r="AM285" s="382"/>
      <c r="AN285" s="382"/>
      <c r="AO285" s="382"/>
      <c r="AP285" s="382"/>
      <c r="AQ285" s="382"/>
      <c r="AR285" s="382"/>
      <c r="AS285" s="382"/>
      <c r="AT285" s="382"/>
      <c r="AU285" s="382"/>
      <c r="AV285" s="382"/>
      <c r="AW285" s="382"/>
      <c r="AX285" s="382"/>
      <c r="AY285" s="382"/>
      <c r="AZ285" s="382"/>
      <c r="BA285" s="382"/>
      <c r="BB285" s="382"/>
      <c r="BC285" s="382"/>
      <c r="BD285" s="382"/>
      <c r="BE285" s="382"/>
      <c r="BF285" s="382"/>
      <c r="BG285" s="382"/>
      <c r="BH285" s="382"/>
      <c r="BI285" s="382"/>
      <c r="BJ285" s="382"/>
      <c r="BK285" s="382"/>
      <c r="BL285" s="382"/>
      <c r="BM285" s="382"/>
      <c r="BN285" s="382"/>
      <c r="BO285" s="382"/>
    </row>
    <row r="286" spans="1:67" s="88" customFormat="1" ht="10.55" customHeight="1" x14ac:dyDescent="0.2">
      <c r="A286" s="1122" t="s">
        <v>415</v>
      </c>
      <c r="B286" s="2783"/>
      <c r="C286" s="2784"/>
      <c r="D286" s="2785"/>
      <c r="E286" s="2810">
        <f>SUM(E287:E299)</f>
        <v>0</v>
      </c>
      <c r="F286" s="2811"/>
      <c r="G286" s="2747"/>
      <c r="H286" s="2748"/>
      <c r="I286" s="1435">
        <f>IF(E286=0,0,J286/E286)</f>
        <v>0</v>
      </c>
      <c r="J286" s="1423">
        <f>SUM(J287:J299)</f>
        <v>0</v>
      </c>
      <c r="K286" s="2749">
        <f>IF(E286=0,0,M286/E286*100)</f>
        <v>0</v>
      </c>
      <c r="L286" s="2750"/>
      <c r="M286" s="1430">
        <f>SUM(M287:M299)</f>
        <v>0</v>
      </c>
      <c r="N286" s="1111"/>
      <c r="O286" s="387">
        <f>IF(H286="",G286,H286)</f>
        <v>0</v>
      </c>
      <c r="P286" s="682"/>
      <c r="Q286" s="286"/>
      <c r="R286" s="287"/>
      <c r="S286" s="280"/>
      <c r="T286" s="280"/>
      <c r="U286" s="280"/>
      <c r="V286" s="280"/>
      <c r="W286" s="280"/>
      <c r="X286" s="280"/>
      <c r="Y286" s="280"/>
      <c r="Z286" s="284"/>
      <c r="AA286" s="284"/>
      <c r="AB286" s="284"/>
      <c r="AC286" s="284"/>
      <c r="AD286" s="284"/>
      <c r="AE286" s="284"/>
      <c r="AF286" s="447"/>
      <c r="AG286" s="447"/>
      <c r="AH286" s="447"/>
      <c r="AI286" s="382"/>
      <c r="AJ286" s="382"/>
      <c r="AK286" s="382"/>
      <c r="AL286" s="382"/>
      <c r="AM286" s="382"/>
      <c r="AN286" s="382"/>
      <c r="AO286" s="382"/>
      <c r="AP286" s="382"/>
      <c r="AQ286" s="382"/>
      <c r="AR286" s="382"/>
      <c r="AS286" s="382"/>
      <c r="AT286" s="382"/>
      <c r="AU286" s="382"/>
      <c r="AV286" s="382"/>
      <c r="AW286" s="382"/>
      <c r="AX286" s="382"/>
      <c r="AY286" s="382"/>
      <c r="AZ286" s="382"/>
      <c r="BA286" s="382"/>
      <c r="BB286" s="382"/>
      <c r="BC286" s="382"/>
      <c r="BD286" s="382"/>
      <c r="BE286" s="382"/>
      <c r="BF286" s="382"/>
      <c r="BG286" s="382"/>
      <c r="BH286" s="382"/>
      <c r="BI286" s="382"/>
      <c r="BJ286" s="382"/>
      <c r="BK286" s="382"/>
      <c r="BL286" s="382"/>
      <c r="BM286" s="382"/>
      <c r="BN286" s="382"/>
      <c r="BO286" s="382"/>
    </row>
    <row r="287" spans="1:67" s="88" customFormat="1" ht="10.55" customHeight="1" x14ac:dyDescent="0.2">
      <c r="A287" s="1013" t="s">
        <v>416</v>
      </c>
      <c r="B287" s="2790"/>
      <c r="C287" s="2791"/>
      <c r="D287" s="2792"/>
      <c r="E287" s="2734"/>
      <c r="F287" s="2735"/>
      <c r="G287" s="1785">
        <v>20</v>
      </c>
      <c r="H287" s="524"/>
      <c r="I287" s="1409">
        <f t="shared" ref="I287:I300" si="68">IF($O287&gt;0,-PMT(($I$9),$O287,1),0)</f>
        <v>6.4147128734474465E-2</v>
      </c>
      <c r="J287" s="1421">
        <f t="shared" ref="J287:J299" si="69">ROUND(E287*I287,0)</f>
        <v>0</v>
      </c>
      <c r="K287" s="687"/>
      <c r="L287" s="1003"/>
      <c r="M287" s="1428">
        <f t="shared" ref="M287:M300" si="70">ROUND(E287/100*IF(ISBLANK(L287),K287,L287),0)</f>
        <v>0</v>
      </c>
      <c r="N287" s="1111"/>
      <c r="O287" s="674">
        <f t="shared" ref="O287:O300" si="71">IF(ISBLANK(H287),G287,H287)</f>
        <v>20</v>
      </c>
      <c r="P287" s="682"/>
      <c r="Q287" s="286"/>
      <c r="R287" s="287"/>
      <c r="S287" s="280"/>
      <c r="T287" s="280"/>
      <c r="U287" s="280"/>
      <c r="V287" s="280"/>
      <c r="W287" s="280"/>
      <c r="X287" s="280"/>
      <c r="Y287" s="280"/>
      <c r="Z287" s="284"/>
      <c r="AA287" s="284"/>
      <c r="AB287" s="284"/>
      <c r="AC287" s="284"/>
      <c r="AD287" s="284"/>
      <c r="AE287" s="284"/>
      <c r="AF287" s="447"/>
      <c r="AG287" s="447"/>
      <c r="AH287" s="447"/>
      <c r="AI287" s="382"/>
      <c r="AJ287" s="382"/>
      <c r="AK287" s="382"/>
      <c r="AL287" s="382"/>
      <c r="AM287" s="382"/>
      <c r="AN287" s="382"/>
      <c r="AO287" s="382"/>
      <c r="AP287" s="382"/>
      <c r="AQ287" s="382"/>
      <c r="AR287" s="382"/>
      <c r="AS287" s="382"/>
      <c r="AT287" s="382"/>
      <c r="AU287" s="382"/>
      <c r="AV287" s="382"/>
      <c r="AW287" s="382"/>
      <c r="AX287" s="382"/>
      <c r="AY287" s="382"/>
      <c r="AZ287" s="382"/>
      <c r="BA287" s="382"/>
      <c r="BB287" s="382"/>
      <c r="BC287" s="382"/>
      <c r="BD287" s="382"/>
      <c r="BE287" s="382"/>
      <c r="BF287" s="382"/>
      <c r="BG287" s="382"/>
      <c r="BH287" s="382"/>
      <c r="BI287" s="382"/>
      <c r="BJ287" s="382"/>
      <c r="BK287" s="382"/>
      <c r="BL287" s="382"/>
      <c r="BM287" s="382"/>
      <c r="BN287" s="382"/>
      <c r="BO287" s="382"/>
    </row>
    <row r="288" spans="1:67" s="88" customFormat="1" ht="10.55" customHeight="1" x14ac:dyDescent="0.2">
      <c r="A288" s="1013" t="s">
        <v>417</v>
      </c>
      <c r="B288" s="2807"/>
      <c r="C288" s="2808"/>
      <c r="D288" s="2809"/>
      <c r="E288" s="2561"/>
      <c r="F288" s="2562"/>
      <c r="G288" s="1785">
        <v>20</v>
      </c>
      <c r="H288" s="524"/>
      <c r="I288" s="1409">
        <f t="shared" si="68"/>
        <v>6.4147128734474465E-2</v>
      </c>
      <c r="J288" s="1421">
        <f t="shared" si="69"/>
        <v>0</v>
      </c>
      <c r="K288" s="678"/>
      <c r="L288" s="1002"/>
      <c r="M288" s="1428">
        <f t="shared" si="70"/>
        <v>0</v>
      </c>
      <c r="N288" s="1111"/>
      <c r="O288" s="674">
        <f t="shared" si="71"/>
        <v>20</v>
      </c>
      <c r="P288" s="682"/>
      <c r="Q288" s="286"/>
      <c r="R288" s="287"/>
      <c r="S288" s="280"/>
      <c r="T288" s="280"/>
      <c r="U288" s="280"/>
      <c r="V288" s="280"/>
      <c r="W288" s="280"/>
      <c r="X288" s="280"/>
      <c r="Y288" s="280"/>
      <c r="Z288" s="284"/>
      <c r="AA288" s="284"/>
      <c r="AB288" s="284"/>
      <c r="AC288" s="284"/>
      <c r="AD288" s="284"/>
      <c r="AE288" s="284"/>
      <c r="AF288" s="447"/>
      <c r="AG288" s="447"/>
      <c r="AH288" s="447"/>
      <c r="AI288" s="382"/>
      <c r="AJ288" s="382"/>
      <c r="AK288" s="382"/>
      <c r="AL288" s="382"/>
      <c r="AM288" s="382"/>
      <c r="AN288" s="382"/>
      <c r="AO288" s="382"/>
      <c r="AP288" s="382"/>
      <c r="AQ288" s="382"/>
      <c r="AR288" s="382"/>
      <c r="AS288" s="382"/>
      <c r="AT288" s="382"/>
      <c r="AU288" s="382"/>
      <c r="AV288" s="382"/>
      <c r="AW288" s="382"/>
      <c r="AX288" s="382"/>
      <c r="AY288" s="382"/>
      <c r="AZ288" s="382"/>
      <c r="BA288" s="382"/>
      <c r="BB288" s="382"/>
      <c r="BC288" s="382"/>
      <c r="BD288" s="382"/>
      <c r="BE288" s="382"/>
      <c r="BF288" s="382"/>
      <c r="BG288" s="382"/>
      <c r="BH288" s="382"/>
      <c r="BI288" s="382"/>
      <c r="BJ288" s="382"/>
      <c r="BK288" s="382"/>
      <c r="BL288" s="382"/>
      <c r="BM288" s="382"/>
      <c r="BN288" s="382"/>
      <c r="BO288" s="382"/>
    </row>
    <row r="289" spans="1:67" s="88" customFormat="1" ht="10.55" customHeight="1" x14ac:dyDescent="0.2">
      <c r="A289" s="1013" t="s">
        <v>418</v>
      </c>
      <c r="B289" s="2807"/>
      <c r="C289" s="2808"/>
      <c r="D289" s="2809"/>
      <c r="E289" s="2561"/>
      <c r="F289" s="2562"/>
      <c r="G289" s="1785">
        <v>20</v>
      </c>
      <c r="H289" s="524"/>
      <c r="I289" s="1409">
        <f t="shared" si="68"/>
        <v>6.4147128734474465E-2</v>
      </c>
      <c r="J289" s="1421">
        <f t="shared" si="69"/>
        <v>0</v>
      </c>
      <c r="K289" s="678">
        <v>0.5</v>
      </c>
      <c r="L289" s="1002"/>
      <c r="M289" s="1428">
        <f t="shared" si="70"/>
        <v>0</v>
      </c>
      <c r="N289" s="1111"/>
      <c r="O289" s="674">
        <f t="shared" si="71"/>
        <v>20</v>
      </c>
      <c r="P289" s="682"/>
      <c r="Q289" s="286"/>
      <c r="R289" s="287"/>
      <c r="S289" s="280"/>
      <c r="T289" s="280"/>
      <c r="U289" s="280"/>
      <c r="V289" s="280"/>
      <c r="W289" s="280"/>
      <c r="X289" s="280"/>
      <c r="Y289" s="280"/>
      <c r="Z289" s="284"/>
      <c r="AA289" s="284"/>
      <c r="AB289" s="284"/>
      <c r="AC289" s="284"/>
      <c r="AD289" s="284"/>
      <c r="AE289" s="284"/>
      <c r="AF289" s="447"/>
      <c r="AG289" s="447"/>
      <c r="AH289" s="447"/>
      <c r="AI289" s="382"/>
      <c r="AJ289" s="382"/>
      <c r="AK289" s="382"/>
      <c r="AL289" s="382"/>
      <c r="AM289" s="382"/>
      <c r="AN289" s="382"/>
      <c r="AO289" s="382"/>
      <c r="AP289" s="382"/>
      <c r="AQ289" s="382"/>
      <c r="AR289" s="382"/>
      <c r="AS289" s="382"/>
      <c r="AT289" s="382"/>
      <c r="AU289" s="382"/>
      <c r="AV289" s="382"/>
      <c r="AW289" s="382"/>
      <c r="AX289" s="382"/>
      <c r="AY289" s="382"/>
      <c r="AZ289" s="382"/>
      <c r="BA289" s="382"/>
      <c r="BB289" s="382"/>
      <c r="BC289" s="382"/>
      <c r="BD289" s="382"/>
      <c r="BE289" s="382"/>
      <c r="BF289" s="382"/>
      <c r="BG289" s="382"/>
      <c r="BH289" s="382"/>
      <c r="BI289" s="382"/>
      <c r="BJ289" s="382"/>
      <c r="BK289" s="382"/>
      <c r="BL289" s="382"/>
      <c r="BM289" s="382"/>
      <c r="BN289" s="382"/>
      <c r="BO289" s="382"/>
    </row>
    <row r="290" spans="1:67" s="88" customFormat="1" ht="10.55" customHeight="1" x14ac:dyDescent="0.2">
      <c r="A290" s="1013" t="s">
        <v>419</v>
      </c>
      <c r="B290" s="2807"/>
      <c r="C290" s="2808"/>
      <c r="D290" s="2809"/>
      <c r="E290" s="2561"/>
      <c r="F290" s="2562"/>
      <c r="G290" s="1785">
        <v>20</v>
      </c>
      <c r="H290" s="524"/>
      <c r="I290" s="1409">
        <f t="shared" si="68"/>
        <v>6.4147128734474465E-2</v>
      </c>
      <c r="J290" s="1421">
        <f t="shared" si="69"/>
        <v>0</v>
      </c>
      <c r="K290" s="678"/>
      <c r="L290" s="1002"/>
      <c r="M290" s="1428">
        <f t="shared" si="70"/>
        <v>0</v>
      </c>
      <c r="N290" s="1111"/>
      <c r="O290" s="674">
        <f t="shared" si="71"/>
        <v>20</v>
      </c>
      <c r="P290" s="682"/>
      <c r="Q290" s="286"/>
      <c r="R290" s="287"/>
      <c r="S290" s="280"/>
      <c r="T290" s="280"/>
      <c r="U290" s="280"/>
      <c r="V290" s="280"/>
      <c r="W290" s="280"/>
      <c r="X290" s="280"/>
      <c r="Y290" s="280"/>
      <c r="Z290" s="284"/>
      <c r="AA290" s="284"/>
      <c r="AB290" s="284"/>
      <c r="AC290" s="284"/>
      <c r="AD290" s="284"/>
      <c r="AE290" s="284"/>
      <c r="AF290" s="447"/>
      <c r="AG290" s="447"/>
      <c r="AH290" s="447"/>
      <c r="AI290" s="382"/>
      <c r="AJ290" s="382"/>
      <c r="AK290" s="382"/>
      <c r="AL290" s="382"/>
      <c r="AM290" s="382"/>
      <c r="AN290" s="382"/>
      <c r="AO290" s="382"/>
      <c r="AP290" s="382"/>
      <c r="AQ290" s="382"/>
      <c r="AR290" s="382"/>
      <c r="AS290" s="382"/>
      <c r="AT290" s="382"/>
      <c r="AU290" s="382"/>
      <c r="AV290" s="382"/>
      <c r="AW290" s="382"/>
      <c r="AX290" s="382"/>
      <c r="AY290" s="382"/>
      <c r="AZ290" s="382"/>
      <c r="BA290" s="382"/>
      <c r="BB290" s="382"/>
      <c r="BC290" s="382"/>
      <c r="BD290" s="382"/>
      <c r="BE290" s="382"/>
      <c r="BF290" s="382"/>
      <c r="BG290" s="382"/>
      <c r="BH290" s="382"/>
      <c r="BI290" s="382"/>
      <c r="BJ290" s="382"/>
      <c r="BK290" s="382"/>
      <c r="BL290" s="382"/>
      <c r="BM290" s="382"/>
      <c r="BN290" s="382"/>
      <c r="BO290" s="382"/>
    </row>
    <row r="291" spans="1:67" s="88" customFormat="1" ht="10.55" customHeight="1" x14ac:dyDescent="0.2">
      <c r="A291" s="1013" t="s">
        <v>420</v>
      </c>
      <c r="B291" s="2807"/>
      <c r="C291" s="2808"/>
      <c r="D291" s="2809"/>
      <c r="E291" s="2561"/>
      <c r="F291" s="2562"/>
      <c r="G291" s="1785">
        <v>20</v>
      </c>
      <c r="H291" s="524"/>
      <c r="I291" s="1409">
        <f t="shared" si="68"/>
        <v>6.4147128734474465E-2</v>
      </c>
      <c r="J291" s="1421">
        <f t="shared" si="69"/>
        <v>0</v>
      </c>
      <c r="K291" s="678"/>
      <c r="L291" s="1002"/>
      <c r="M291" s="1428">
        <f t="shared" si="70"/>
        <v>0</v>
      </c>
      <c r="N291" s="1111"/>
      <c r="O291" s="674">
        <f t="shared" si="71"/>
        <v>20</v>
      </c>
      <c r="P291" s="682"/>
      <c r="Q291" s="286"/>
      <c r="R291" s="287"/>
      <c r="S291" s="280"/>
      <c r="T291" s="280"/>
      <c r="U291" s="280"/>
      <c r="V291" s="280"/>
      <c r="W291" s="280"/>
      <c r="X291" s="280"/>
      <c r="Y291" s="280"/>
      <c r="Z291" s="284"/>
      <c r="AA291" s="284"/>
      <c r="AB291" s="284"/>
      <c r="AC291" s="284"/>
      <c r="AD291" s="284"/>
      <c r="AE291" s="284"/>
      <c r="AF291" s="447"/>
      <c r="AG291" s="447"/>
      <c r="AH291" s="447"/>
      <c r="AI291" s="382"/>
      <c r="AJ291" s="382"/>
      <c r="AK291" s="382"/>
      <c r="AL291" s="382"/>
      <c r="AM291" s="382"/>
      <c r="AN291" s="382"/>
      <c r="AO291" s="382"/>
      <c r="AP291" s="382"/>
      <c r="AQ291" s="382"/>
      <c r="AR291" s="382"/>
      <c r="AS291" s="382"/>
      <c r="AT291" s="382"/>
      <c r="AU291" s="382"/>
      <c r="AV291" s="382"/>
      <c r="AW291" s="382"/>
      <c r="AX291" s="382"/>
      <c r="AY291" s="382"/>
      <c r="AZ291" s="382"/>
      <c r="BA291" s="382"/>
      <c r="BB291" s="382"/>
      <c r="BC291" s="382"/>
      <c r="BD291" s="382"/>
      <c r="BE291" s="382"/>
      <c r="BF291" s="382"/>
      <c r="BG291" s="382"/>
      <c r="BH291" s="382"/>
      <c r="BI291" s="382"/>
      <c r="BJ291" s="382"/>
      <c r="BK291" s="382"/>
      <c r="BL291" s="382"/>
      <c r="BM291" s="382"/>
      <c r="BN291" s="382"/>
      <c r="BO291" s="382"/>
    </row>
    <row r="292" spans="1:67" s="88" customFormat="1" ht="10.55" customHeight="1" x14ac:dyDescent="0.2">
      <c r="A292" s="1013" t="s">
        <v>421</v>
      </c>
      <c r="B292" s="2807"/>
      <c r="C292" s="2808"/>
      <c r="D292" s="2809"/>
      <c r="E292" s="2561"/>
      <c r="F292" s="2562"/>
      <c r="G292" s="1785">
        <v>20</v>
      </c>
      <c r="H292" s="524"/>
      <c r="I292" s="1409">
        <f t="shared" si="68"/>
        <v>6.4147128734474465E-2</v>
      </c>
      <c r="J292" s="1421">
        <f t="shared" si="69"/>
        <v>0</v>
      </c>
      <c r="K292" s="678">
        <v>2</v>
      </c>
      <c r="L292" s="1002"/>
      <c r="M292" s="1428">
        <f t="shared" si="70"/>
        <v>0</v>
      </c>
      <c r="N292" s="1111"/>
      <c r="O292" s="674">
        <f t="shared" si="71"/>
        <v>20</v>
      </c>
      <c r="P292" s="682"/>
      <c r="Q292" s="286"/>
      <c r="R292" s="287"/>
      <c r="S292" s="280"/>
      <c r="T292" s="280"/>
      <c r="U292" s="280"/>
      <c r="V292" s="280"/>
      <c r="W292" s="280"/>
      <c r="X292" s="280"/>
      <c r="Y292" s="280"/>
      <c r="Z292" s="284"/>
      <c r="AA292" s="284"/>
      <c r="AB292" s="284"/>
      <c r="AC292" s="284"/>
      <c r="AD292" s="284"/>
      <c r="AE292" s="284"/>
      <c r="AF292" s="447"/>
      <c r="AG292" s="447"/>
      <c r="AH292" s="447"/>
      <c r="AI292" s="382"/>
      <c r="AJ292" s="382"/>
      <c r="AK292" s="382"/>
      <c r="AL292" s="382"/>
      <c r="AM292" s="382"/>
      <c r="AN292" s="382"/>
      <c r="AO292" s="382"/>
      <c r="AP292" s="382"/>
      <c r="AQ292" s="382"/>
      <c r="AR292" s="382"/>
      <c r="AS292" s="382"/>
      <c r="AT292" s="382"/>
      <c r="AU292" s="382"/>
      <c r="AV292" s="382"/>
      <c r="AW292" s="382"/>
      <c r="AX292" s="382"/>
      <c r="AY292" s="382"/>
      <c r="AZ292" s="382"/>
      <c r="BA292" s="382"/>
      <c r="BB292" s="382"/>
      <c r="BC292" s="382"/>
      <c r="BD292" s="382"/>
      <c r="BE292" s="382"/>
      <c r="BF292" s="382"/>
      <c r="BG292" s="382"/>
      <c r="BH292" s="382"/>
      <c r="BI292" s="382"/>
      <c r="BJ292" s="382"/>
      <c r="BK292" s="382"/>
      <c r="BL292" s="382"/>
      <c r="BM292" s="382"/>
      <c r="BN292" s="382"/>
      <c r="BO292" s="382"/>
    </row>
    <row r="293" spans="1:67" s="88" customFormat="1" ht="10.55" customHeight="1" x14ac:dyDescent="0.2">
      <c r="A293" s="1013" t="s">
        <v>422</v>
      </c>
      <c r="B293" s="2807"/>
      <c r="C293" s="2808"/>
      <c r="D293" s="2809"/>
      <c r="E293" s="2561"/>
      <c r="F293" s="2562"/>
      <c r="G293" s="1785">
        <v>20</v>
      </c>
      <c r="H293" s="524"/>
      <c r="I293" s="1409">
        <f t="shared" si="68"/>
        <v>6.4147128734474465E-2</v>
      </c>
      <c r="J293" s="1421">
        <f t="shared" si="69"/>
        <v>0</v>
      </c>
      <c r="K293" s="678"/>
      <c r="L293" s="1002"/>
      <c r="M293" s="1428">
        <f t="shared" si="70"/>
        <v>0</v>
      </c>
      <c r="N293" s="1111"/>
      <c r="O293" s="674">
        <f t="shared" si="71"/>
        <v>20</v>
      </c>
      <c r="P293" s="682"/>
      <c r="Q293" s="286"/>
      <c r="R293" s="287"/>
      <c r="S293" s="280"/>
      <c r="T293" s="280"/>
      <c r="U293" s="280"/>
      <c r="V293" s="280"/>
      <c r="W293" s="280"/>
      <c r="X293" s="280"/>
      <c r="Y293" s="280"/>
      <c r="Z293" s="284"/>
      <c r="AA293" s="284"/>
      <c r="AB293" s="284"/>
      <c r="AC293" s="284"/>
      <c r="AD293" s="284"/>
      <c r="AE293" s="284"/>
      <c r="AF293" s="447"/>
      <c r="AG293" s="447"/>
      <c r="AH293" s="447"/>
      <c r="AI293" s="382"/>
      <c r="AJ293" s="382"/>
      <c r="AK293" s="382"/>
      <c r="AL293" s="382"/>
      <c r="AM293" s="382"/>
      <c r="AN293" s="382"/>
      <c r="AO293" s="382"/>
      <c r="AP293" s="382"/>
      <c r="AQ293" s="382"/>
      <c r="AR293" s="382"/>
      <c r="AS293" s="382"/>
      <c r="AT293" s="382"/>
      <c r="AU293" s="382"/>
      <c r="AV293" s="382"/>
      <c r="AW293" s="382"/>
      <c r="AX293" s="382"/>
      <c r="AY293" s="382"/>
      <c r="AZ293" s="382"/>
      <c r="BA293" s="382"/>
      <c r="BB293" s="382"/>
      <c r="BC293" s="382"/>
      <c r="BD293" s="382"/>
      <c r="BE293" s="382"/>
      <c r="BF293" s="382"/>
      <c r="BG293" s="382"/>
      <c r="BH293" s="382"/>
      <c r="BI293" s="382"/>
      <c r="BJ293" s="382"/>
      <c r="BK293" s="382"/>
      <c r="BL293" s="382"/>
      <c r="BM293" s="382"/>
      <c r="BN293" s="382"/>
      <c r="BO293" s="382"/>
    </row>
    <row r="294" spans="1:67" s="88" customFormat="1" ht="10.55" customHeight="1" x14ac:dyDescent="0.2">
      <c r="A294" s="1013" t="s">
        <v>423</v>
      </c>
      <c r="B294" s="2807"/>
      <c r="C294" s="2808"/>
      <c r="D294" s="2809"/>
      <c r="E294" s="2561"/>
      <c r="F294" s="2562"/>
      <c r="G294" s="1785">
        <v>20</v>
      </c>
      <c r="H294" s="524"/>
      <c r="I294" s="1409">
        <f t="shared" si="68"/>
        <v>6.4147128734474465E-2</v>
      </c>
      <c r="J294" s="1421">
        <f t="shared" si="69"/>
        <v>0</v>
      </c>
      <c r="K294" s="678"/>
      <c r="L294" s="1002"/>
      <c r="M294" s="1428">
        <f t="shared" si="70"/>
        <v>0</v>
      </c>
      <c r="N294" s="1111"/>
      <c r="O294" s="674">
        <f t="shared" si="71"/>
        <v>20</v>
      </c>
      <c r="P294" s="682"/>
      <c r="Q294" s="286"/>
      <c r="R294" s="287"/>
      <c r="S294" s="280"/>
      <c r="T294" s="280"/>
      <c r="U294" s="280"/>
      <c r="V294" s="280"/>
      <c r="W294" s="280"/>
      <c r="X294" s="280"/>
      <c r="Y294" s="280"/>
      <c r="Z294" s="284"/>
      <c r="AA294" s="284"/>
      <c r="AB294" s="284"/>
      <c r="AC294" s="284"/>
      <c r="AD294" s="284"/>
      <c r="AE294" s="284"/>
      <c r="AF294" s="447"/>
      <c r="AG294" s="447"/>
      <c r="AH294" s="447"/>
      <c r="AI294" s="382"/>
      <c r="AJ294" s="382"/>
      <c r="AK294" s="382"/>
      <c r="AL294" s="382"/>
      <c r="AM294" s="382"/>
      <c r="AN294" s="382"/>
      <c r="AO294" s="382"/>
      <c r="AP294" s="382"/>
      <c r="AQ294" s="382"/>
      <c r="AR294" s="382"/>
      <c r="AS294" s="382"/>
      <c r="AT294" s="382"/>
      <c r="AU294" s="382"/>
      <c r="AV294" s="382"/>
      <c r="AW294" s="382"/>
      <c r="AX294" s="382"/>
      <c r="AY294" s="382"/>
      <c r="AZ294" s="382"/>
      <c r="BA294" s="382"/>
      <c r="BB294" s="382"/>
      <c r="BC294" s="382"/>
      <c r="BD294" s="382"/>
      <c r="BE294" s="382"/>
      <c r="BF294" s="382"/>
      <c r="BG294" s="382"/>
      <c r="BH294" s="382"/>
      <c r="BI294" s="382"/>
      <c r="BJ294" s="382"/>
      <c r="BK294" s="382"/>
      <c r="BL294" s="382"/>
      <c r="BM294" s="382"/>
      <c r="BN294" s="382"/>
      <c r="BO294" s="382"/>
    </row>
    <row r="295" spans="1:67" s="88" customFormat="1" ht="10.55" customHeight="1" x14ac:dyDescent="0.2">
      <c r="A295" s="675"/>
      <c r="B295" s="2807"/>
      <c r="C295" s="2808"/>
      <c r="D295" s="2809"/>
      <c r="E295" s="2561"/>
      <c r="F295" s="2562"/>
      <c r="G295" s="1015"/>
      <c r="H295" s="524"/>
      <c r="I295" s="1409">
        <f t="shared" si="68"/>
        <v>0</v>
      </c>
      <c r="J295" s="1421">
        <f t="shared" si="69"/>
        <v>0</v>
      </c>
      <c r="K295" s="679"/>
      <c r="L295" s="1002"/>
      <c r="M295" s="1428">
        <f t="shared" si="70"/>
        <v>0</v>
      </c>
      <c r="N295" s="1111"/>
      <c r="O295" s="674">
        <f t="shared" si="71"/>
        <v>0</v>
      </c>
      <c r="P295" s="682"/>
      <c r="Q295" s="286"/>
      <c r="R295" s="287"/>
      <c r="S295" s="280"/>
      <c r="T295" s="280"/>
      <c r="U295" s="280"/>
      <c r="V295" s="280"/>
      <c r="W295" s="280"/>
      <c r="X295" s="280"/>
      <c r="Y295" s="280"/>
      <c r="Z295" s="284"/>
      <c r="AA295" s="284"/>
      <c r="AB295" s="284"/>
      <c r="AC295" s="284"/>
      <c r="AD295" s="284"/>
      <c r="AE295" s="284"/>
      <c r="AF295" s="447"/>
      <c r="AG295" s="447"/>
      <c r="AH295" s="447"/>
      <c r="AI295" s="382"/>
      <c r="AJ295" s="382"/>
      <c r="AK295" s="382"/>
      <c r="AL295" s="382"/>
      <c r="AM295" s="382"/>
      <c r="AN295" s="382"/>
      <c r="AO295" s="382"/>
      <c r="AP295" s="382"/>
      <c r="AQ295" s="382"/>
      <c r="AR295" s="382"/>
      <c r="AS295" s="382"/>
      <c r="AT295" s="382"/>
      <c r="AU295" s="382"/>
      <c r="AV295" s="382"/>
      <c r="AW295" s="382"/>
      <c r="AX295" s="382"/>
      <c r="AY295" s="382"/>
      <c r="AZ295" s="382"/>
      <c r="BA295" s="382"/>
      <c r="BB295" s="382"/>
      <c r="BC295" s="382"/>
      <c r="BD295" s="382"/>
      <c r="BE295" s="382"/>
      <c r="BF295" s="382"/>
      <c r="BG295" s="382"/>
      <c r="BH295" s="382"/>
      <c r="BI295" s="382"/>
      <c r="BJ295" s="382"/>
      <c r="BK295" s="382"/>
      <c r="BL295" s="382"/>
      <c r="BM295" s="382"/>
      <c r="BN295" s="382"/>
      <c r="BO295" s="382"/>
    </row>
    <row r="296" spans="1:67" s="88" customFormat="1" ht="10.55" customHeight="1" x14ac:dyDescent="0.2">
      <c r="A296" s="675"/>
      <c r="B296" s="2807"/>
      <c r="C296" s="2808"/>
      <c r="D296" s="2809"/>
      <c r="E296" s="2561"/>
      <c r="F296" s="2562"/>
      <c r="G296" s="1015"/>
      <c r="H296" s="524"/>
      <c r="I296" s="1409">
        <f t="shared" si="68"/>
        <v>0</v>
      </c>
      <c r="J296" s="1421">
        <f t="shared" si="69"/>
        <v>0</v>
      </c>
      <c r="K296" s="679"/>
      <c r="L296" s="1002"/>
      <c r="M296" s="1428">
        <f t="shared" si="70"/>
        <v>0</v>
      </c>
      <c r="N296" s="1111"/>
      <c r="O296" s="674">
        <f t="shared" si="71"/>
        <v>0</v>
      </c>
      <c r="P296" s="682"/>
      <c r="Q296" s="286"/>
      <c r="R296" s="287"/>
      <c r="S296" s="280"/>
      <c r="T296" s="280"/>
      <c r="U296" s="280"/>
      <c r="V296" s="280"/>
      <c r="W296" s="280"/>
      <c r="X296" s="280"/>
      <c r="Y296" s="280"/>
      <c r="Z296" s="284"/>
      <c r="AA296" s="284"/>
      <c r="AB296" s="284"/>
      <c r="AC296" s="284"/>
      <c r="AD296" s="284"/>
      <c r="AE296" s="284"/>
      <c r="AF296" s="447"/>
      <c r="AG296" s="447"/>
      <c r="AH296" s="447"/>
      <c r="AI296" s="382"/>
      <c r="AJ296" s="382"/>
      <c r="AK296" s="382"/>
      <c r="AL296" s="382"/>
      <c r="AM296" s="382"/>
      <c r="AN296" s="382"/>
      <c r="AO296" s="382"/>
      <c r="AP296" s="382"/>
      <c r="AQ296" s="382"/>
      <c r="AR296" s="382"/>
      <c r="AS296" s="382"/>
      <c r="AT296" s="382"/>
      <c r="AU296" s="382"/>
      <c r="AV296" s="382"/>
      <c r="AW296" s="382"/>
      <c r="AX296" s="382"/>
      <c r="AY296" s="382"/>
      <c r="AZ296" s="382"/>
      <c r="BA296" s="382"/>
      <c r="BB296" s="382"/>
      <c r="BC296" s="382"/>
      <c r="BD296" s="382"/>
      <c r="BE296" s="382"/>
      <c r="BF296" s="382"/>
      <c r="BG296" s="382"/>
      <c r="BH296" s="382"/>
      <c r="BI296" s="382"/>
      <c r="BJ296" s="382"/>
      <c r="BK296" s="382"/>
      <c r="BL296" s="382"/>
      <c r="BM296" s="382"/>
      <c r="BN296" s="382"/>
      <c r="BO296" s="382"/>
    </row>
    <row r="297" spans="1:67" s="88" customFormat="1" ht="10.55" customHeight="1" x14ac:dyDescent="0.2">
      <c r="A297" s="675"/>
      <c r="B297" s="2807"/>
      <c r="C297" s="2808"/>
      <c r="D297" s="2809"/>
      <c r="E297" s="2561"/>
      <c r="F297" s="2562"/>
      <c r="G297" s="1015"/>
      <c r="H297" s="524"/>
      <c r="I297" s="1409">
        <f t="shared" si="68"/>
        <v>0</v>
      </c>
      <c r="J297" s="1421">
        <f t="shared" si="69"/>
        <v>0</v>
      </c>
      <c r="K297" s="679"/>
      <c r="L297" s="1002"/>
      <c r="M297" s="1428">
        <f t="shared" si="70"/>
        <v>0</v>
      </c>
      <c r="N297" s="1111"/>
      <c r="O297" s="674">
        <f t="shared" si="71"/>
        <v>0</v>
      </c>
      <c r="P297" s="682"/>
      <c r="Q297" s="286"/>
      <c r="R297" s="287"/>
      <c r="S297" s="280"/>
      <c r="T297" s="280"/>
      <c r="U297" s="280"/>
      <c r="V297" s="280"/>
      <c r="W297" s="280"/>
      <c r="X297" s="280"/>
      <c r="Y297" s="280"/>
      <c r="Z297" s="284"/>
      <c r="AA297" s="284"/>
      <c r="AB297" s="284"/>
      <c r="AC297" s="284"/>
      <c r="AD297" s="284"/>
      <c r="AE297" s="284"/>
      <c r="AF297" s="447"/>
      <c r="AG297" s="447"/>
      <c r="AH297" s="447"/>
      <c r="AI297" s="382"/>
      <c r="AJ297" s="382"/>
      <c r="AK297" s="382"/>
      <c r="AL297" s="382"/>
      <c r="AM297" s="382"/>
      <c r="AN297" s="382"/>
      <c r="AO297" s="382"/>
      <c r="AP297" s="382"/>
      <c r="AQ297" s="382"/>
      <c r="AR297" s="382"/>
      <c r="AS297" s="382"/>
      <c r="AT297" s="382"/>
      <c r="AU297" s="382"/>
      <c r="AV297" s="382"/>
      <c r="AW297" s="382"/>
      <c r="AX297" s="382"/>
      <c r="AY297" s="382"/>
      <c r="AZ297" s="382"/>
      <c r="BA297" s="382"/>
      <c r="BB297" s="382"/>
      <c r="BC297" s="382"/>
      <c r="BD297" s="382"/>
      <c r="BE297" s="382"/>
      <c r="BF297" s="382"/>
      <c r="BG297" s="382"/>
      <c r="BH297" s="382"/>
      <c r="BI297" s="382"/>
      <c r="BJ297" s="382"/>
      <c r="BK297" s="382"/>
      <c r="BL297" s="382"/>
      <c r="BM297" s="382"/>
      <c r="BN297" s="382"/>
      <c r="BO297" s="382"/>
    </row>
    <row r="298" spans="1:67" s="88" customFormat="1" ht="10.55" customHeight="1" x14ac:dyDescent="0.2">
      <c r="A298" s="675"/>
      <c r="B298" s="2807"/>
      <c r="C298" s="2808"/>
      <c r="D298" s="2809"/>
      <c r="E298" s="2561"/>
      <c r="F298" s="2562"/>
      <c r="G298" s="1015"/>
      <c r="H298" s="524"/>
      <c r="I298" s="1409">
        <f t="shared" si="68"/>
        <v>0</v>
      </c>
      <c r="J298" s="1421">
        <f t="shared" si="69"/>
        <v>0</v>
      </c>
      <c r="K298" s="679"/>
      <c r="L298" s="1002"/>
      <c r="M298" s="1428">
        <f t="shared" si="70"/>
        <v>0</v>
      </c>
      <c r="N298" s="1111"/>
      <c r="O298" s="674">
        <f t="shared" si="71"/>
        <v>0</v>
      </c>
      <c r="P298" s="682"/>
      <c r="Q298" s="286"/>
      <c r="R298" s="287"/>
      <c r="S298" s="280"/>
      <c r="T298" s="280"/>
      <c r="U298" s="280"/>
      <c r="V298" s="280"/>
      <c r="W298" s="280"/>
      <c r="X298" s="280"/>
      <c r="Y298" s="280"/>
      <c r="Z298" s="284"/>
      <c r="AA298" s="284"/>
      <c r="AB298" s="284"/>
      <c r="AC298" s="284"/>
      <c r="AD298" s="284"/>
      <c r="AE298" s="284"/>
      <c r="AF298" s="447"/>
      <c r="AG298" s="447"/>
      <c r="AH298" s="447"/>
      <c r="AI298" s="382"/>
      <c r="AJ298" s="382"/>
      <c r="AK298" s="382"/>
      <c r="AL298" s="382"/>
      <c r="AM298" s="382"/>
      <c r="AN298" s="382"/>
      <c r="AO298" s="382"/>
      <c r="AP298" s="382"/>
      <c r="AQ298" s="382"/>
      <c r="AR298" s="382"/>
      <c r="AS298" s="382"/>
      <c r="AT298" s="382"/>
      <c r="AU298" s="382"/>
      <c r="AV298" s="382"/>
      <c r="AW298" s="382"/>
      <c r="AX298" s="382"/>
      <c r="AY298" s="382"/>
      <c r="AZ298" s="382"/>
      <c r="BA298" s="382"/>
      <c r="BB298" s="382"/>
      <c r="BC298" s="382"/>
      <c r="BD298" s="382"/>
      <c r="BE298" s="382"/>
      <c r="BF298" s="382"/>
      <c r="BG298" s="382"/>
      <c r="BH298" s="382"/>
      <c r="BI298" s="382"/>
      <c r="BJ298" s="382"/>
      <c r="BK298" s="382"/>
      <c r="BL298" s="382"/>
      <c r="BM298" s="382"/>
      <c r="BN298" s="382"/>
      <c r="BO298" s="382"/>
    </row>
    <row r="299" spans="1:67" s="88" customFormat="1" ht="10.55" customHeight="1" x14ac:dyDescent="0.2">
      <c r="A299" s="675"/>
      <c r="B299" s="2807"/>
      <c r="C299" s="2808"/>
      <c r="D299" s="2809"/>
      <c r="E299" s="2561"/>
      <c r="F299" s="2562"/>
      <c r="G299" s="1015"/>
      <c r="H299" s="524"/>
      <c r="I299" s="1409">
        <f t="shared" si="68"/>
        <v>0</v>
      </c>
      <c r="J299" s="1421">
        <f t="shared" si="69"/>
        <v>0</v>
      </c>
      <c r="K299" s="679"/>
      <c r="L299" s="1002"/>
      <c r="M299" s="1428">
        <f t="shared" si="70"/>
        <v>0</v>
      </c>
      <c r="N299" s="1111"/>
      <c r="O299" s="674">
        <f t="shared" si="71"/>
        <v>0</v>
      </c>
      <c r="P299" s="682"/>
      <c r="Q299" s="286"/>
      <c r="R299" s="287"/>
      <c r="S299" s="280"/>
      <c r="T299" s="280"/>
      <c r="U299" s="280"/>
      <c r="V299" s="280"/>
      <c r="W299" s="280"/>
      <c r="X299" s="280"/>
      <c r="Y299" s="280"/>
      <c r="Z299" s="284"/>
      <c r="AA299" s="284"/>
      <c r="AB299" s="284"/>
      <c r="AC299" s="284"/>
      <c r="AD299" s="284"/>
      <c r="AE299" s="284"/>
      <c r="AF299" s="447"/>
      <c r="AG299" s="447"/>
      <c r="AH299" s="447"/>
      <c r="AI299" s="382"/>
      <c r="AJ299" s="382"/>
      <c r="AK299" s="382"/>
      <c r="AL299" s="382"/>
      <c r="AM299" s="382"/>
      <c r="AN299" s="382"/>
      <c r="AO299" s="382"/>
      <c r="AP299" s="382"/>
      <c r="AQ299" s="382"/>
      <c r="AR299" s="382"/>
      <c r="AS299" s="382"/>
      <c r="AT299" s="382"/>
      <c r="AU299" s="382"/>
      <c r="AV299" s="382"/>
      <c r="AW299" s="382"/>
      <c r="AX299" s="382"/>
      <c r="AY299" s="382"/>
      <c r="AZ299" s="382"/>
      <c r="BA299" s="382"/>
      <c r="BB299" s="382"/>
      <c r="BC299" s="382"/>
      <c r="BD299" s="382"/>
      <c r="BE299" s="382"/>
      <c r="BF299" s="382"/>
      <c r="BG299" s="382"/>
      <c r="BH299" s="382"/>
      <c r="BI299" s="382"/>
      <c r="BJ299" s="382"/>
      <c r="BK299" s="382"/>
      <c r="BL299" s="382"/>
      <c r="BM299" s="382"/>
      <c r="BN299" s="382"/>
      <c r="BO299" s="382"/>
    </row>
    <row r="300" spans="1:67" s="88" customFormat="1" ht="10.55" customHeight="1" x14ac:dyDescent="0.2">
      <c r="A300" s="1085"/>
      <c r="B300" s="2804"/>
      <c r="C300" s="2805"/>
      <c r="D300" s="2806"/>
      <c r="E300" s="2793"/>
      <c r="F300" s="2794"/>
      <c r="G300" s="1086"/>
      <c r="H300" s="1087"/>
      <c r="I300" s="1437">
        <f t="shared" si="68"/>
        <v>0</v>
      </c>
      <c r="J300" s="1413"/>
      <c r="K300" s="1088"/>
      <c r="L300" s="1089"/>
      <c r="M300" s="1431">
        <f t="shared" si="70"/>
        <v>0</v>
      </c>
      <c r="N300" s="1111"/>
      <c r="O300" s="674">
        <f t="shared" si="71"/>
        <v>0</v>
      </c>
      <c r="P300" s="682"/>
      <c r="Q300" s="286"/>
      <c r="R300" s="287"/>
      <c r="S300" s="280"/>
      <c r="T300" s="280"/>
      <c r="U300" s="280"/>
      <c r="V300" s="280"/>
      <c r="W300" s="280"/>
      <c r="X300" s="280"/>
      <c r="Y300" s="280"/>
      <c r="Z300" s="284"/>
      <c r="AA300" s="284"/>
      <c r="AB300" s="284"/>
      <c r="AC300" s="284"/>
      <c r="AD300" s="284"/>
      <c r="AE300" s="284"/>
      <c r="AF300" s="447"/>
      <c r="AG300" s="447"/>
      <c r="AH300" s="447"/>
      <c r="AI300" s="382"/>
      <c r="AJ300" s="382"/>
      <c r="AK300" s="382"/>
      <c r="AL300" s="382"/>
      <c r="AM300" s="382"/>
      <c r="AN300" s="382"/>
      <c r="AO300" s="382"/>
      <c r="AP300" s="382"/>
      <c r="AQ300" s="382"/>
      <c r="AR300" s="382"/>
      <c r="AS300" s="382"/>
      <c r="AT300" s="382"/>
      <c r="AU300" s="382"/>
      <c r="AV300" s="382"/>
      <c r="AW300" s="382"/>
      <c r="AX300" s="382"/>
      <c r="AY300" s="382"/>
      <c r="AZ300" s="382"/>
      <c r="BA300" s="382"/>
      <c r="BB300" s="382"/>
      <c r="BC300" s="382"/>
      <c r="BD300" s="382"/>
      <c r="BE300" s="382"/>
      <c r="BF300" s="382"/>
      <c r="BG300" s="382"/>
      <c r="BH300" s="382"/>
      <c r="BI300" s="382"/>
      <c r="BJ300" s="382"/>
      <c r="BK300" s="382"/>
      <c r="BL300" s="382"/>
      <c r="BM300" s="382"/>
      <c r="BN300" s="382"/>
      <c r="BO300" s="382"/>
    </row>
    <row r="301" spans="1:67" s="88" customFormat="1" ht="10.55" customHeight="1" x14ac:dyDescent="0.2">
      <c r="A301" s="1122" t="s">
        <v>424</v>
      </c>
      <c r="B301" s="2783"/>
      <c r="C301" s="2784"/>
      <c r="D301" s="2785"/>
      <c r="E301" s="2810">
        <f>SUM(E302:E314)</f>
        <v>0</v>
      </c>
      <c r="F301" s="2811"/>
      <c r="G301" s="2747"/>
      <c r="H301" s="2748"/>
      <c r="I301" s="1435">
        <f>IF(E301=0,0,J301/E301)</f>
        <v>0</v>
      </c>
      <c r="J301" s="1423">
        <f>SUM(J302:J314)</f>
        <v>0</v>
      </c>
      <c r="K301" s="2749">
        <f>IF(E301=0,0,M301/E301*100)</f>
        <v>0</v>
      </c>
      <c r="L301" s="2750"/>
      <c r="M301" s="1430">
        <f>SUM(M302:M314)</f>
        <v>0</v>
      </c>
      <c r="N301" s="1111"/>
      <c r="O301" s="387">
        <f>IF(H301="",G301,H301)</f>
        <v>0</v>
      </c>
      <c r="P301" s="682"/>
      <c r="Q301" s="286"/>
      <c r="R301" s="287"/>
      <c r="S301" s="280"/>
      <c r="T301" s="280"/>
      <c r="U301" s="280"/>
      <c r="V301" s="280"/>
      <c r="W301" s="280"/>
      <c r="X301" s="280"/>
      <c r="Y301" s="280"/>
      <c r="Z301" s="284"/>
      <c r="AA301" s="284"/>
      <c r="AB301" s="284"/>
      <c r="AC301" s="284"/>
      <c r="AD301" s="284"/>
      <c r="AE301" s="284"/>
      <c r="AF301" s="447"/>
      <c r="AG301" s="447"/>
      <c r="AH301" s="447"/>
      <c r="AI301" s="382"/>
      <c r="AJ301" s="382"/>
      <c r="AK301" s="382"/>
      <c r="AL301" s="382"/>
      <c r="AM301" s="382"/>
      <c r="AN301" s="382"/>
      <c r="AO301" s="382"/>
      <c r="AP301" s="382"/>
      <c r="AQ301" s="382"/>
      <c r="AR301" s="382"/>
      <c r="AS301" s="382"/>
      <c r="AT301" s="382"/>
      <c r="AU301" s="382"/>
      <c r="AV301" s="382"/>
      <c r="AW301" s="382"/>
      <c r="AX301" s="382"/>
      <c r="AY301" s="382"/>
      <c r="AZ301" s="382"/>
      <c r="BA301" s="382"/>
      <c r="BB301" s="382"/>
      <c r="BC301" s="382"/>
      <c r="BD301" s="382"/>
      <c r="BE301" s="382"/>
      <c r="BF301" s="382"/>
      <c r="BG301" s="382"/>
      <c r="BH301" s="382"/>
      <c r="BI301" s="382"/>
      <c r="BJ301" s="382"/>
      <c r="BK301" s="382"/>
      <c r="BL301" s="382"/>
      <c r="BM301" s="382"/>
      <c r="BN301" s="382"/>
      <c r="BO301" s="382"/>
    </row>
    <row r="302" spans="1:67" s="88" customFormat="1" ht="10.55" customHeight="1" x14ac:dyDescent="0.2">
      <c r="A302" s="675"/>
      <c r="B302" s="2790"/>
      <c r="C302" s="2791"/>
      <c r="D302" s="2792"/>
      <c r="E302" s="2734"/>
      <c r="F302" s="2735"/>
      <c r="G302" s="1014"/>
      <c r="H302" s="524"/>
      <c r="I302" s="1409">
        <f t="shared" ref="I302:I315" si="72">IF($O302&gt;0,-PMT(($I$9),$O302,1),0)</f>
        <v>0</v>
      </c>
      <c r="J302" s="1421">
        <f t="shared" ref="J302:J314" si="73">ROUND(E302*I302,0)</f>
        <v>0</v>
      </c>
      <c r="K302" s="687"/>
      <c r="L302" s="1003"/>
      <c r="M302" s="1428">
        <f t="shared" ref="M302:M315" si="74">ROUND(E302/100*IF(ISBLANK(L302),K302,L302),0)</f>
        <v>0</v>
      </c>
      <c r="N302" s="1111"/>
      <c r="O302" s="674">
        <f t="shared" ref="O302:O315" si="75">IF(ISBLANK(H302),G302,H302)</f>
        <v>0</v>
      </c>
      <c r="P302" s="682"/>
      <c r="Q302" s="286"/>
      <c r="R302" s="287"/>
      <c r="S302" s="280"/>
      <c r="T302" s="280"/>
      <c r="U302" s="280"/>
      <c r="V302" s="280"/>
      <c r="W302" s="280"/>
      <c r="X302" s="280"/>
      <c r="Y302" s="280"/>
      <c r="Z302" s="284"/>
      <c r="AA302" s="284"/>
      <c r="AB302" s="284"/>
      <c r="AC302" s="284"/>
      <c r="AD302" s="284"/>
      <c r="AE302" s="284"/>
      <c r="AF302" s="447"/>
      <c r="AG302" s="447"/>
      <c r="AH302" s="447"/>
      <c r="AI302" s="382"/>
      <c r="AJ302" s="382"/>
      <c r="AK302" s="382"/>
      <c r="AL302" s="382"/>
      <c r="AM302" s="382"/>
      <c r="AN302" s="382"/>
      <c r="AO302" s="382"/>
      <c r="AP302" s="382"/>
      <c r="AQ302" s="382"/>
      <c r="AR302" s="382"/>
      <c r="AS302" s="382"/>
      <c r="AT302" s="382"/>
      <c r="AU302" s="382"/>
      <c r="AV302" s="382"/>
      <c r="AW302" s="382"/>
      <c r="AX302" s="382"/>
      <c r="AY302" s="382"/>
      <c r="AZ302" s="382"/>
      <c r="BA302" s="382"/>
      <c r="BB302" s="382"/>
      <c r="BC302" s="382"/>
      <c r="BD302" s="382"/>
      <c r="BE302" s="382"/>
      <c r="BF302" s="382"/>
      <c r="BG302" s="382"/>
      <c r="BH302" s="382"/>
      <c r="BI302" s="382"/>
      <c r="BJ302" s="382"/>
      <c r="BK302" s="382"/>
      <c r="BL302" s="382"/>
      <c r="BM302" s="382"/>
      <c r="BN302" s="382"/>
      <c r="BO302" s="382"/>
    </row>
    <row r="303" spans="1:67" s="88" customFormat="1" ht="10.55" customHeight="1" x14ac:dyDescent="0.2">
      <c r="A303" s="675"/>
      <c r="B303" s="2807"/>
      <c r="C303" s="2808"/>
      <c r="D303" s="2809"/>
      <c r="E303" s="2561"/>
      <c r="F303" s="2562"/>
      <c r="G303" s="1014"/>
      <c r="H303" s="524"/>
      <c r="I303" s="1409">
        <f t="shared" si="72"/>
        <v>0</v>
      </c>
      <c r="J303" s="1421">
        <f t="shared" si="73"/>
        <v>0</v>
      </c>
      <c r="K303" s="678"/>
      <c r="L303" s="1002"/>
      <c r="M303" s="1428">
        <f t="shared" si="74"/>
        <v>0</v>
      </c>
      <c r="N303" s="1111"/>
      <c r="O303" s="674">
        <f t="shared" si="75"/>
        <v>0</v>
      </c>
      <c r="P303" s="682"/>
      <c r="Q303" s="286"/>
      <c r="R303" s="287"/>
      <c r="S303" s="280"/>
      <c r="T303" s="280"/>
      <c r="U303" s="280"/>
      <c r="V303" s="280"/>
      <c r="W303" s="280"/>
      <c r="X303" s="280"/>
      <c r="Y303" s="280"/>
      <c r="Z303" s="284"/>
      <c r="AA303" s="284"/>
      <c r="AB303" s="284"/>
      <c r="AC303" s="284"/>
      <c r="AD303" s="284"/>
      <c r="AE303" s="284"/>
      <c r="AF303" s="447"/>
      <c r="AG303" s="447"/>
      <c r="AH303" s="447"/>
      <c r="AI303" s="382"/>
      <c r="AJ303" s="382"/>
      <c r="AK303" s="382"/>
      <c r="AL303" s="382"/>
      <c r="AM303" s="382"/>
      <c r="AN303" s="382"/>
      <c r="AO303" s="382"/>
      <c r="AP303" s="382"/>
      <c r="AQ303" s="382"/>
      <c r="AR303" s="382"/>
      <c r="AS303" s="382"/>
      <c r="AT303" s="382"/>
      <c r="AU303" s="382"/>
      <c r="AV303" s="382"/>
      <c r="AW303" s="382"/>
      <c r="AX303" s="382"/>
      <c r="AY303" s="382"/>
      <c r="AZ303" s="382"/>
      <c r="BA303" s="382"/>
      <c r="BB303" s="382"/>
      <c r="BC303" s="382"/>
      <c r="BD303" s="382"/>
      <c r="BE303" s="382"/>
      <c r="BF303" s="382"/>
      <c r="BG303" s="382"/>
      <c r="BH303" s="382"/>
      <c r="BI303" s="382"/>
      <c r="BJ303" s="382"/>
      <c r="BK303" s="382"/>
      <c r="BL303" s="382"/>
      <c r="BM303" s="382"/>
      <c r="BN303" s="382"/>
      <c r="BO303" s="382"/>
    </row>
    <row r="304" spans="1:67" s="88" customFormat="1" ht="10.55" customHeight="1" x14ac:dyDescent="0.2">
      <c r="A304" s="675"/>
      <c r="B304" s="2807"/>
      <c r="C304" s="2808"/>
      <c r="D304" s="2809"/>
      <c r="E304" s="2561"/>
      <c r="F304" s="2562"/>
      <c r="G304" s="1014"/>
      <c r="H304" s="524"/>
      <c r="I304" s="1409">
        <f t="shared" si="72"/>
        <v>0</v>
      </c>
      <c r="J304" s="1421">
        <f t="shared" si="73"/>
        <v>0</v>
      </c>
      <c r="K304" s="678"/>
      <c r="L304" s="1002"/>
      <c r="M304" s="1428">
        <f t="shared" si="74"/>
        <v>0</v>
      </c>
      <c r="N304" s="1111"/>
      <c r="O304" s="674">
        <f t="shared" si="75"/>
        <v>0</v>
      </c>
      <c r="P304" s="682"/>
      <c r="Q304" s="286"/>
      <c r="R304" s="287"/>
      <c r="S304" s="280"/>
      <c r="T304" s="280"/>
      <c r="U304" s="280"/>
      <c r="V304" s="280"/>
      <c r="W304" s="280"/>
      <c r="X304" s="280"/>
      <c r="Y304" s="280"/>
      <c r="Z304" s="284"/>
      <c r="AA304" s="284"/>
      <c r="AB304" s="284"/>
      <c r="AC304" s="284"/>
      <c r="AD304" s="284"/>
      <c r="AE304" s="284"/>
      <c r="AF304" s="447"/>
      <c r="AG304" s="447"/>
      <c r="AH304" s="447"/>
      <c r="AI304" s="382"/>
      <c r="AJ304" s="382"/>
      <c r="AK304" s="382"/>
      <c r="AL304" s="382"/>
      <c r="AM304" s="382"/>
      <c r="AN304" s="382"/>
      <c r="AO304" s="382"/>
      <c r="AP304" s="382"/>
      <c r="AQ304" s="382"/>
      <c r="AR304" s="382"/>
      <c r="AS304" s="382"/>
      <c r="AT304" s="382"/>
      <c r="AU304" s="382"/>
      <c r="AV304" s="382"/>
      <c r="AW304" s="382"/>
      <c r="AX304" s="382"/>
      <c r="AY304" s="382"/>
      <c r="AZ304" s="382"/>
      <c r="BA304" s="382"/>
      <c r="BB304" s="382"/>
      <c r="BC304" s="382"/>
      <c r="BD304" s="382"/>
      <c r="BE304" s="382"/>
      <c r="BF304" s="382"/>
      <c r="BG304" s="382"/>
      <c r="BH304" s="382"/>
      <c r="BI304" s="382"/>
      <c r="BJ304" s="382"/>
      <c r="BK304" s="382"/>
      <c r="BL304" s="382"/>
      <c r="BM304" s="382"/>
      <c r="BN304" s="382"/>
      <c r="BO304" s="382"/>
    </row>
    <row r="305" spans="1:67" s="88" customFormat="1" ht="10.55" customHeight="1" x14ac:dyDescent="0.2">
      <c r="A305" s="675"/>
      <c r="B305" s="2807"/>
      <c r="C305" s="2808"/>
      <c r="D305" s="2809"/>
      <c r="E305" s="2561"/>
      <c r="F305" s="2562"/>
      <c r="G305" s="1014"/>
      <c r="H305" s="524"/>
      <c r="I305" s="1409">
        <f t="shared" si="72"/>
        <v>0</v>
      </c>
      <c r="J305" s="1421">
        <f t="shared" si="73"/>
        <v>0</v>
      </c>
      <c r="K305" s="678"/>
      <c r="L305" s="1002"/>
      <c r="M305" s="1428">
        <f t="shared" si="74"/>
        <v>0</v>
      </c>
      <c r="N305" s="1111"/>
      <c r="O305" s="674">
        <f t="shared" si="75"/>
        <v>0</v>
      </c>
      <c r="P305" s="682"/>
      <c r="Q305" s="286"/>
      <c r="R305" s="287"/>
      <c r="S305" s="280"/>
      <c r="T305" s="280"/>
      <c r="U305" s="280"/>
      <c r="V305" s="280"/>
      <c r="W305" s="280"/>
      <c r="X305" s="280"/>
      <c r="Y305" s="280"/>
      <c r="Z305" s="284"/>
      <c r="AA305" s="284"/>
      <c r="AB305" s="284"/>
      <c r="AC305" s="284"/>
      <c r="AD305" s="284"/>
      <c r="AE305" s="284"/>
      <c r="AF305" s="447"/>
      <c r="AG305" s="447"/>
      <c r="AH305" s="447"/>
      <c r="AI305" s="382"/>
      <c r="AJ305" s="382"/>
      <c r="AK305" s="382"/>
      <c r="AL305" s="382"/>
      <c r="AM305" s="382"/>
      <c r="AN305" s="382"/>
      <c r="AO305" s="382"/>
      <c r="AP305" s="382"/>
      <c r="AQ305" s="382"/>
      <c r="AR305" s="382"/>
      <c r="AS305" s="382"/>
      <c r="AT305" s="382"/>
      <c r="AU305" s="382"/>
      <c r="AV305" s="382"/>
      <c r="AW305" s="382"/>
      <c r="AX305" s="382"/>
      <c r="AY305" s="382"/>
      <c r="AZ305" s="382"/>
      <c r="BA305" s="382"/>
      <c r="BB305" s="382"/>
      <c r="BC305" s="382"/>
      <c r="BD305" s="382"/>
      <c r="BE305" s="382"/>
      <c r="BF305" s="382"/>
      <c r="BG305" s="382"/>
      <c r="BH305" s="382"/>
      <c r="BI305" s="382"/>
      <c r="BJ305" s="382"/>
      <c r="BK305" s="382"/>
      <c r="BL305" s="382"/>
      <c r="BM305" s="382"/>
      <c r="BN305" s="382"/>
      <c r="BO305" s="382"/>
    </row>
    <row r="306" spans="1:67" s="88" customFormat="1" ht="10.55" customHeight="1" x14ac:dyDescent="0.2">
      <c r="A306" s="675"/>
      <c r="B306" s="2807"/>
      <c r="C306" s="2808"/>
      <c r="D306" s="2809"/>
      <c r="E306" s="2561"/>
      <c r="F306" s="2562"/>
      <c r="G306" s="1014"/>
      <c r="H306" s="524"/>
      <c r="I306" s="1409">
        <f t="shared" si="72"/>
        <v>0</v>
      </c>
      <c r="J306" s="1421">
        <f t="shared" si="73"/>
        <v>0</v>
      </c>
      <c r="K306" s="678"/>
      <c r="L306" s="1002"/>
      <c r="M306" s="1428">
        <f t="shared" si="74"/>
        <v>0</v>
      </c>
      <c r="N306" s="1111"/>
      <c r="O306" s="674">
        <f t="shared" si="75"/>
        <v>0</v>
      </c>
      <c r="P306" s="682"/>
      <c r="Q306" s="286"/>
      <c r="R306" s="287"/>
      <c r="S306" s="280"/>
      <c r="T306" s="280"/>
      <c r="U306" s="280"/>
      <c r="V306" s="280"/>
      <c r="W306" s="280"/>
      <c r="X306" s="280"/>
      <c r="Y306" s="280"/>
      <c r="Z306" s="284"/>
      <c r="AA306" s="284"/>
      <c r="AB306" s="284"/>
      <c r="AC306" s="284"/>
      <c r="AD306" s="284"/>
      <c r="AE306" s="284"/>
      <c r="AF306" s="447"/>
      <c r="AG306" s="447"/>
      <c r="AH306" s="447"/>
      <c r="AI306" s="382"/>
      <c r="AJ306" s="382"/>
      <c r="AK306" s="382"/>
      <c r="AL306" s="382"/>
      <c r="AM306" s="382"/>
      <c r="AN306" s="382"/>
      <c r="AO306" s="382"/>
      <c r="AP306" s="382"/>
      <c r="AQ306" s="382"/>
      <c r="AR306" s="382"/>
      <c r="AS306" s="382"/>
      <c r="AT306" s="382"/>
      <c r="AU306" s="382"/>
      <c r="AV306" s="382"/>
      <c r="AW306" s="382"/>
      <c r="AX306" s="382"/>
      <c r="AY306" s="382"/>
      <c r="AZ306" s="382"/>
      <c r="BA306" s="382"/>
      <c r="BB306" s="382"/>
      <c r="BC306" s="382"/>
      <c r="BD306" s="382"/>
      <c r="BE306" s="382"/>
      <c r="BF306" s="382"/>
      <c r="BG306" s="382"/>
      <c r="BH306" s="382"/>
      <c r="BI306" s="382"/>
      <c r="BJ306" s="382"/>
      <c r="BK306" s="382"/>
      <c r="BL306" s="382"/>
      <c r="BM306" s="382"/>
      <c r="BN306" s="382"/>
      <c r="BO306" s="382"/>
    </row>
    <row r="307" spans="1:67" s="88" customFormat="1" ht="10.55" customHeight="1" x14ac:dyDescent="0.2">
      <c r="A307" s="675"/>
      <c r="B307" s="2807"/>
      <c r="C307" s="2808"/>
      <c r="D307" s="2809"/>
      <c r="E307" s="2561"/>
      <c r="F307" s="2562"/>
      <c r="G307" s="1014"/>
      <c r="H307" s="524"/>
      <c r="I307" s="1409">
        <f t="shared" si="72"/>
        <v>0</v>
      </c>
      <c r="J307" s="1421">
        <f t="shared" si="73"/>
        <v>0</v>
      </c>
      <c r="K307" s="678"/>
      <c r="L307" s="1002"/>
      <c r="M307" s="1428">
        <f t="shared" si="74"/>
        <v>0</v>
      </c>
      <c r="N307" s="1111"/>
      <c r="O307" s="674">
        <f t="shared" si="75"/>
        <v>0</v>
      </c>
      <c r="P307" s="682"/>
      <c r="Q307" s="286"/>
      <c r="R307" s="287"/>
      <c r="S307" s="280"/>
      <c r="T307" s="280"/>
      <c r="U307" s="280"/>
      <c r="V307" s="280"/>
      <c r="W307" s="280"/>
      <c r="X307" s="280"/>
      <c r="Y307" s="280"/>
      <c r="Z307" s="284"/>
      <c r="AA307" s="284"/>
      <c r="AB307" s="284"/>
      <c r="AC307" s="284"/>
      <c r="AD307" s="284"/>
      <c r="AE307" s="284"/>
      <c r="AF307" s="447"/>
      <c r="AG307" s="447"/>
      <c r="AH307" s="447"/>
      <c r="AI307" s="382"/>
      <c r="AJ307" s="382"/>
      <c r="AK307" s="382"/>
      <c r="AL307" s="382"/>
      <c r="AM307" s="382"/>
      <c r="AN307" s="382"/>
      <c r="AO307" s="382"/>
      <c r="AP307" s="382"/>
      <c r="AQ307" s="382"/>
      <c r="AR307" s="382"/>
      <c r="AS307" s="382"/>
      <c r="AT307" s="382"/>
      <c r="AU307" s="382"/>
      <c r="AV307" s="382"/>
      <c r="AW307" s="382"/>
      <c r="AX307" s="382"/>
      <c r="AY307" s="382"/>
      <c r="AZ307" s="382"/>
      <c r="BA307" s="382"/>
      <c r="BB307" s="382"/>
      <c r="BC307" s="382"/>
      <c r="BD307" s="382"/>
      <c r="BE307" s="382"/>
      <c r="BF307" s="382"/>
      <c r="BG307" s="382"/>
      <c r="BH307" s="382"/>
      <c r="BI307" s="382"/>
      <c r="BJ307" s="382"/>
      <c r="BK307" s="382"/>
      <c r="BL307" s="382"/>
      <c r="BM307" s="382"/>
      <c r="BN307" s="382"/>
      <c r="BO307" s="382"/>
    </row>
    <row r="308" spans="1:67" s="88" customFormat="1" ht="10.55" customHeight="1" x14ac:dyDescent="0.2">
      <c r="A308" s="675"/>
      <c r="B308" s="2807"/>
      <c r="C308" s="2808"/>
      <c r="D308" s="2809"/>
      <c r="E308" s="2561"/>
      <c r="F308" s="2562"/>
      <c r="G308" s="1014"/>
      <c r="H308" s="524"/>
      <c r="I308" s="1409">
        <f t="shared" si="72"/>
        <v>0</v>
      </c>
      <c r="J308" s="1421">
        <f t="shared" si="73"/>
        <v>0</v>
      </c>
      <c r="K308" s="678"/>
      <c r="L308" s="1002"/>
      <c r="M308" s="1428">
        <f t="shared" si="74"/>
        <v>0</v>
      </c>
      <c r="N308" s="1111"/>
      <c r="O308" s="674">
        <f t="shared" si="75"/>
        <v>0</v>
      </c>
      <c r="P308" s="682"/>
      <c r="Q308" s="286"/>
      <c r="R308" s="287"/>
      <c r="S308" s="280"/>
      <c r="T308" s="280"/>
      <c r="U308" s="280"/>
      <c r="V308" s="280"/>
      <c r="W308" s="280"/>
      <c r="X308" s="280"/>
      <c r="Y308" s="280"/>
      <c r="Z308" s="284"/>
      <c r="AA308" s="284"/>
      <c r="AB308" s="284"/>
      <c r="AC308" s="284"/>
      <c r="AD308" s="284"/>
      <c r="AE308" s="284"/>
      <c r="AF308" s="447"/>
      <c r="AG308" s="447"/>
      <c r="AH308" s="447"/>
      <c r="AI308" s="382"/>
      <c r="AJ308" s="382"/>
      <c r="AK308" s="382"/>
      <c r="AL308" s="382"/>
      <c r="AM308" s="382"/>
      <c r="AN308" s="382"/>
      <c r="AO308" s="382"/>
      <c r="AP308" s="382"/>
      <c r="AQ308" s="382"/>
      <c r="AR308" s="382"/>
      <c r="AS308" s="382"/>
      <c r="AT308" s="382"/>
      <c r="AU308" s="382"/>
      <c r="AV308" s="382"/>
      <c r="AW308" s="382"/>
      <c r="AX308" s="382"/>
      <c r="AY308" s="382"/>
      <c r="AZ308" s="382"/>
      <c r="BA308" s="382"/>
      <c r="BB308" s="382"/>
      <c r="BC308" s="382"/>
      <c r="BD308" s="382"/>
      <c r="BE308" s="382"/>
      <c r="BF308" s="382"/>
      <c r="BG308" s="382"/>
      <c r="BH308" s="382"/>
      <c r="BI308" s="382"/>
      <c r="BJ308" s="382"/>
      <c r="BK308" s="382"/>
      <c r="BL308" s="382"/>
      <c r="BM308" s="382"/>
      <c r="BN308" s="382"/>
      <c r="BO308" s="382"/>
    </row>
    <row r="309" spans="1:67" s="88" customFormat="1" ht="10.55" customHeight="1" x14ac:dyDescent="0.2">
      <c r="A309" s="675"/>
      <c r="B309" s="2807"/>
      <c r="C309" s="2808"/>
      <c r="D309" s="2809"/>
      <c r="E309" s="2561"/>
      <c r="F309" s="2562"/>
      <c r="G309" s="1015"/>
      <c r="H309" s="524"/>
      <c r="I309" s="1409">
        <f t="shared" si="72"/>
        <v>0</v>
      </c>
      <c r="J309" s="1421">
        <f t="shared" si="73"/>
        <v>0</v>
      </c>
      <c r="K309" s="679"/>
      <c r="L309" s="1002"/>
      <c r="M309" s="1428">
        <f t="shared" si="74"/>
        <v>0</v>
      </c>
      <c r="N309" s="1111"/>
      <c r="O309" s="674">
        <f t="shared" si="75"/>
        <v>0</v>
      </c>
      <c r="P309" s="682"/>
      <c r="Q309" s="286"/>
      <c r="R309" s="287"/>
      <c r="S309" s="280"/>
      <c r="T309" s="280"/>
      <c r="U309" s="280"/>
      <c r="V309" s="280"/>
      <c r="W309" s="280"/>
      <c r="X309" s="280"/>
      <c r="Y309" s="280"/>
      <c r="Z309" s="284"/>
      <c r="AA309" s="284"/>
      <c r="AB309" s="284"/>
      <c r="AC309" s="284"/>
      <c r="AD309" s="284"/>
      <c r="AE309" s="284"/>
      <c r="AF309" s="447"/>
      <c r="AG309" s="447"/>
      <c r="AH309" s="447"/>
      <c r="AI309" s="382"/>
      <c r="AJ309" s="382"/>
      <c r="AK309" s="382"/>
      <c r="AL309" s="382"/>
      <c r="AM309" s="382"/>
      <c r="AN309" s="382"/>
      <c r="AO309" s="382"/>
      <c r="AP309" s="382"/>
      <c r="AQ309" s="382"/>
      <c r="AR309" s="382"/>
      <c r="AS309" s="382"/>
      <c r="AT309" s="382"/>
      <c r="AU309" s="382"/>
      <c r="AV309" s="382"/>
      <c r="AW309" s="382"/>
      <c r="AX309" s="382"/>
      <c r="AY309" s="382"/>
      <c r="AZ309" s="382"/>
      <c r="BA309" s="382"/>
      <c r="BB309" s="382"/>
      <c r="BC309" s="382"/>
      <c r="BD309" s="382"/>
      <c r="BE309" s="382"/>
      <c r="BF309" s="382"/>
      <c r="BG309" s="382"/>
      <c r="BH309" s="382"/>
      <c r="BI309" s="382"/>
      <c r="BJ309" s="382"/>
      <c r="BK309" s="382"/>
      <c r="BL309" s="382"/>
      <c r="BM309" s="382"/>
      <c r="BN309" s="382"/>
      <c r="BO309" s="382"/>
    </row>
    <row r="310" spans="1:67" s="88" customFormat="1" ht="10.55" customHeight="1" x14ac:dyDescent="0.2">
      <c r="A310" s="675"/>
      <c r="B310" s="2807"/>
      <c r="C310" s="2808"/>
      <c r="D310" s="2809"/>
      <c r="E310" s="2561"/>
      <c r="F310" s="2562"/>
      <c r="G310" s="1015"/>
      <c r="H310" s="524"/>
      <c r="I310" s="1409">
        <f t="shared" si="72"/>
        <v>0</v>
      </c>
      <c r="J310" s="1421">
        <f t="shared" si="73"/>
        <v>0</v>
      </c>
      <c r="K310" s="679"/>
      <c r="L310" s="1002"/>
      <c r="M310" s="1428">
        <f t="shared" si="74"/>
        <v>0</v>
      </c>
      <c r="N310" s="1111"/>
      <c r="O310" s="674">
        <f t="shared" si="75"/>
        <v>0</v>
      </c>
      <c r="P310" s="682"/>
      <c r="Q310" s="286"/>
      <c r="R310" s="287"/>
      <c r="S310" s="280"/>
      <c r="T310" s="280"/>
      <c r="U310" s="280"/>
      <c r="V310" s="280"/>
      <c r="W310" s="280"/>
      <c r="X310" s="280"/>
      <c r="Y310" s="280"/>
      <c r="Z310" s="284"/>
      <c r="AA310" s="284"/>
      <c r="AB310" s="284"/>
      <c r="AC310" s="284"/>
      <c r="AD310" s="284"/>
      <c r="AE310" s="284"/>
      <c r="AF310" s="447"/>
      <c r="AG310" s="447"/>
      <c r="AH310" s="447"/>
      <c r="AI310" s="382"/>
      <c r="AJ310" s="382"/>
      <c r="AK310" s="382"/>
      <c r="AL310" s="382"/>
      <c r="AM310" s="382"/>
      <c r="AN310" s="382"/>
      <c r="AO310" s="382"/>
      <c r="AP310" s="382"/>
      <c r="AQ310" s="382"/>
      <c r="AR310" s="382"/>
      <c r="AS310" s="382"/>
      <c r="AT310" s="382"/>
      <c r="AU310" s="382"/>
      <c r="AV310" s="382"/>
      <c r="AW310" s="382"/>
      <c r="AX310" s="382"/>
      <c r="AY310" s="382"/>
      <c r="AZ310" s="382"/>
      <c r="BA310" s="382"/>
      <c r="BB310" s="382"/>
      <c r="BC310" s="382"/>
      <c r="BD310" s="382"/>
      <c r="BE310" s="382"/>
      <c r="BF310" s="382"/>
      <c r="BG310" s="382"/>
      <c r="BH310" s="382"/>
      <c r="BI310" s="382"/>
      <c r="BJ310" s="382"/>
      <c r="BK310" s="382"/>
      <c r="BL310" s="382"/>
      <c r="BM310" s="382"/>
      <c r="BN310" s="382"/>
      <c r="BO310" s="382"/>
    </row>
    <row r="311" spans="1:67" s="88" customFormat="1" ht="10.55" customHeight="1" x14ac:dyDescent="0.2">
      <c r="A311" s="675"/>
      <c r="B311" s="2807"/>
      <c r="C311" s="2808"/>
      <c r="D311" s="2809"/>
      <c r="E311" s="2561"/>
      <c r="F311" s="2562"/>
      <c r="G311" s="1015"/>
      <c r="H311" s="524"/>
      <c r="I311" s="1409">
        <f t="shared" si="72"/>
        <v>0</v>
      </c>
      <c r="J311" s="1421">
        <f t="shared" si="73"/>
        <v>0</v>
      </c>
      <c r="K311" s="679"/>
      <c r="L311" s="1002"/>
      <c r="M311" s="1428">
        <f t="shared" si="74"/>
        <v>0</v>
      </c>
      <c r="N311" s="1111"/>
      <c r="O311" s="674">
        <f t="shared" si="75"/>
        <v>0</v>
      </c>
      <c r="P311" s="682"/>
      <c r="Q311" s="286"/>
      <c r="R311" s="287"/>
      <c r="S311" s="280"/>
      <c r="T311" s="280"/>
      <c r="U311" s="280"/>
      <c r="V311" s="280"/>
      <c r="W311" s="280"/>
      <c r="X311" s="280"/>
      <c r="Y311" s="280"/>
      <c r="Z311" s="284"/>
      <c r="AA311" s="284"/>
      <c r="AB311" s="284"/>
      <c r="AC311" s="284"/>
      <c r="AD311" s="284"/>
      <c r="AE311" s="284"/>
      <c r="AF311" s="447"/>
      <c r="AG311" s="447"/>
      <c r="AH311" s="447"/>
      <c r="AI311" s="382"/>
      <c r="AJ311" s="382"/>
      <c r="AK311" s="382"/>
      <c r="AL311" s="382"/>
      <c r="AM311" s="382"/>
      <c r="AN311" s="382"/>
      <c r="AO311" s="382"/>
      <c r="AP311" s="382"/>
      <c r="AQ311" s="382"/>
      <c r="AR311" s="382"/>
      <c r="AS311" s="382"/>
      <c r="AT311" s="382"/>
      <c r="AU311" s="382"/>
      <c r="AV311" s="382"/>
      <c r="AW311" s="382"/>
      <c r="AX311" s="382"/>
      <c r="AY311" s="382"/>
      <c r="AZ311" s="382"/>
      <c r="BA311" s="382"/>
      <c r="BB311" s="382"/>
      <c r="BC311" s="382"/>
      <c r="BD311" s="382"/>
      <c r="BE311" s="382"/>
      <c r="BF311" s="382"/>
      <c r="BG311" s="382"/>
      <c r="BH311" s="382"/>
      <c r="BI311" s="382"/>
      <c r="BJ311" s="382"/>
      <c r="BK311" s="382"/>
      <c r="BL311" s="382"/>
      <c r="BM311" s="382"/>
      <c r="BN311" s="382"/>
      <c r="BO311" s="382"/>
    </row>
    <row r="312" spans="1:67" s="88" customFormat="1" ht="10.55" customHeight="1" x14ac:dyDescent="0.2">
      <c r="A312" s="675"/>
      <c r="B312" s="2807"/>
      <c r="C312" s="2808"/>
      <c r="D312" s="2809"/>
      <c r="E312" s="2561"/>
      <c r="F312" s="2562"/>
      <c r="G312" s="1015"/>
      <c r="H312" s="524"/>
      <c r="I312" s="1409">
        <f t="shared" si="72"/>
        <v>0</v>
      </c>
      <c r="J312" s="1421">
        <f t="shared" si="73"/>
        <v>0</v>
      </c>
      <c r="K312" s="679"/>
      <c r="L312" s="1002"/>
      <c r="M312" s="1428">
        <f t="shared" si="74"/>
        <v>0</v>
      </c>
      <c r="N312" s="1111"/>
      <c r="O312" s="674">
        <f t="shared" si="75"/>
        <v>0</v>
      </c>
      <c r="P312" s="682"/>
      <c r="Q312" s="286"/>
      <c r="R312" s="287"/>
      <c r="S312" s="280"/>
      <c r="T312" s="280"/>
      <c r="U312" s="280"/>
      <c r="V312" s="280"/>
      <c r="W312" s="280"/>
      <c r="X312" s="280"/>
      <c r="Y312" s="280"/>
      <c r="Z312" s="284"/>
      <c r="AA312" s="284"/>
      <c r="AB312" s="284"/>
      <c r="AC312" s="284"/>
      <c r="AD312" s="284"/>
      <c r="AE312" s="284"/>
      <c r="AF312" s="447"/>
      <c r="AG312" s="447"/>
      <c r="AH312" s="447"/>
      <c r="AI312" s="382"/>
      <c r="AJ312" s="382"/>
      <c r="AK312" s="382"/>
      <c r="AL312" s="382"/>
      <c r="AM312" s="382"/>
      <c r="AN312" s="382"/>
      <c r="AO312" s="382"/>
      <c r="AP312" s="382"/>
      <c r="AQ312" s="382"/>
      <c r="AR312" s="382"/>
      <c r="AS312" s="382"/>
      <c r="AT312" s="382"/>
      <c r="AU312" s="382"/>
      <c r="AV312" s="382"/>
      <c r="AW312" s="382"/>
      <c r="AX312" s="382"/>
      <c r="AY312" s="382"/>
      <c r="AZ312" s="382"/>
      <c r="BA312" s="382"/>
      <c r="BB312" s="382"/>
      <c r="BC312" s="382"/>
      <c r="BD312" s="382"/>
      <c r="BE312" s="382"/>
      <c r="BF312" s="382"/>
      <c r="BG312" s="382"/>
      <c r="BH312" s="382"/>
      <c r="BI312" s="382"/>
      <c r="BJ312" s="382"/>
      <c r="BK312" s="382"/>
      <c r="BL312" s="382"/>
      <c r="BM312" s="382"/>
      <c r="BN312" s="382"/>
      <c r="BO312" s="382"/>
    </row>
    <row r="313" spans="1:67" s="88" customFormat="1" ht="10.55" customHeight="1" x14ac:dyDescent="0.2">
      <c r="A313" s="675"/>
      <c r="B313" s="2807"/>
      <c r="C313" s="2808"/>
      <c r="D313" s="2809"/>
      <c r="E313" s="2561"/>
      <c r="F313" s="2562"/>
      <c r="G313" s="1015"/>
      <c r="H313" s="524"/>
      <c r="I313" s="1409">
        <f t="shared" si="72"/>
        <v>0</v>
      </c>
      <c r="J313" s="1421">
        <f t="shared" si="73"/>
        <v>0</v>
      </c>
      <c r="K313" s="679"/>
      <c r="L313" s="1002"/>
      <c r="M313" s="1428">
        <f t="shared" si="74"/>
        <v>0</v>
      </c>
      <c r="N313" s="1111"/>
      <c r="O313" s="674">
        <f t="shared" si="75"/>
        <v>0</v>
      </c>
      <c r="P313" s="682"/>
      <c r="Q313" s="286"/>
      <c r="R313" s="287"/>
      <c r="S313" s="280"/>
      <c r="T313" s="280"/>
      <c r="U313" s="280"/>
      <c r="V313" s="280"/>
      <c r="W313" s="280"/>
      <c r="X313" s="280"/>
      <c r="Y313" s="280"/>
      <c r="Z313" s="284"/>
      <c r="AA313" s="284"/>
      <c r="AB313" s="284"/>
      <c r="AC313" s="284"/>
      <c r="AD313" s="284"/>
      <c r="AE313" s="284"/>
      <c r="AF313" s="447"/>
      <c r="AG313" s="447"/>
      <c r="AH313" s="447"/>
      <c r="AI313" s="382"/>
      <c r="AJ313" s="382"/>
      <c r="AK313" s="382"/>
      <c r="AL313" s="382"/>
      <c r="AM313" s="382"/>
      <c r="AN313" s="382"/>
      <c r="AO313" s="382"/>
      <c r="AP313" s="382"/>
      <c r="AQ313" s="382"/>
      <c r="AR313" s="382"/>
      <c r="AS313" s="382"/>
      <c r="AT313" s="382"/>
      <c r="AU313" s="382"/>
      <c r="AV313" s="382"/>
      <c r="AW313" s="382"/>
      <c r="AX313" s="382"/>
      <c r="AY313" s="382"/>
      <c r="AZ313" s="382"/>
      <c r="BA313" s="382"/>
      <c r="BB313" s="382"/>
      <c r="BC313" s="382"/>
      <c r="BD313" s="382"/>
      <c r="BE313" s="382"/>
      <c r="BF313" s="382"/>
      <c r="BG313" s="382"/>
      <c r="BH313" s="382"/>
      <c r="BI313" s="382"/>
      <c r="BJ313" s="382"/>
      <c r="BK313" s="382"/>
      <c r="BL313" s="382"/>
      <c r="BM313" s="382"/>
      <c r="BN313" s="382"/>
      <c r="BO313" s="382"/>
    </row>
    <row r="314" spans="1:67" s="88" customFormat="1" ht="10.55" customHeight="1" x14ac:dyDescent="0.2">
      <c r="A314" s="675"/>
      <c r="B314" s="2807"/>
      <c r="C314" s="2808"/>
      <c r="D314" s="2809"/>
      <c r="E314" s="2561"/>
      <c r="F314" s="2562"/>
      <c r="G314" s="1015"/>
      <c r="H314" s="524"/>
      <c r="I314" s="1409">
        <f t="shared" si="72"/>
        <v>0</v>
      </c>
      <c r="J314" s="1421">
        <f t="shared" si="73"/>
        <v>0</v>
      </c>
      <c r="K314" s="679"/>
      <c r="L314" s="1002"/>
      <c r="M314" s="1428">
        <f t="shared" si="74"/>
        <v>0</v>
      </c>
      <c r="N314" s="1111"/>
      <c r="O314" s="674">
        <f t="shared" si="75"/>
        <v>0</v>
      </c>
      <c r="P314" s="682"/>
      <c r="Q314" s="286"/>
      <c r="R314" s="287"/>
      <c r="S314" s="280"/>
      <c r="T314" s="280"/>
      <c r="U314" s="280"/>
      <c r="V314" s="280"/>
      <c r="W314" s="280"/>
      <c r="X314" s="280"/>
      <c r="Y314" s="280"/>
      <c r="Z314" s="284"/>
      <c r="AA314" s="284"/>
      <c r="AB314" s="284"/>
      <c r="AC314" s="284"/>
      <c r="AD314" s="284"/>
      <c r="AE314" s="284"/>
      <c r="AF314" s="447"/>
      <c r="AG314" s="447"/>
      <c r="AH314" s="447"/>
      <c r="AI314" s="382"/>
      <c r="AJ314" s="382"/>
      <c r="AK314" s="382"/>
      <c r="AL314" s="382"/>
      <c r="AM314" s="382"/>
      <c r="AN314" s="382"/>
      <c r="AO314" s="382"/>
      <c r="AP314" s="382"/>
      <c r="AQ314" s="382"/>
      <c r="AR314" s="382"/>
      <c r="AS314" s="382"/>
      <c r="AT314" s="382"/>
      <c r="AU314" s="382"/>
      <c r="AV314" s="382"/>
      <c r="AW314" s="382"/>
      <c r="AX314" s="382"/>
      <c r="AY314" s="382"/>
      <c r="AZ314" s="382"/>
      <c r="BA314" s="382"/>
      <c r="BB314" s="382"/>
      <c r="BC314" s="382"/>
      <c r="BD314" s="382"/>
      <c r="BE314" s="382"/>
      <c r="BF314" s="382"/>
      <c r="BG314" s="382"/>
      <c r="BH314" s="382"/>
      <c r="BI314" s="382"/>
      <c r="BJ314" s="382"/>
      <c r="BK314" s="382"/>
      <c r="BL314" s="382"/>
      <c r="BM314" s="382"/>
      <c r="BN314" s="382"/>
      <c r="BO314" s="382"/>
    </row>
    <row r="315" spans="1:67" s="88" customFormat="1" ht="10.55" customHeight="1" x14ac:dyDescent="0.2">
      <c r="A315" s="1017"/>
      <c r="B315" s="2804"/>
      <c r="C315" s="2805"/>
      <c r="D315" s="2806"/>
      <c r="E315" s="2793"/>
      <c r="F315" s="2794"/>
      <c r="G315" s="1018"/>
      <c r="H315" s="1019"/>
      <c r="I315" s="1436">
        <f t="shared" si="72"/>
        <v>0</v>
      </c>
      <c r="J315" s="1422"/>
      <c r="K315" s="680"/>
      <c r="L315" s="1020"/>
      <c r="M315" s="1429">
        <f t="shared" si="74"/>
        <v>0</v>
      </c>
      <c r="N315" s="1111"/>
      <c r="O315" s="674">
        <f t="shared" si="75"/>
        <v>0</v>
      </c>
      <c r="P315" s="682"/>
      <c r="Q315" s="286"/>
      <c r="R315" s="287"/>
      <c r="S315" s="280"/>
      <c r="T315" s="280"/>
      <c r="U315" s="280"/>
      <c r="V315" s="280"/>
      <c r="W315" s="280"/>
      <c r="X315" s="280"/>
      <c r="Y315" s="280"/>
      <c r="Z315" s="284"/>
      <c r="AA315" s="284"/>
      <c r="AB315" s="284"/>
      <c r="AC315" s="284"/>
      <c r="AD315" s="284"/>
      <c r="AE315" s="284"/>
      <c r="AF315" s="447"/>
      <c r="AG315" s="447"/>
      <c r="AH315" s="447"/>
      <c r="AI315" s="382"/>
      <c r="AJ315" s="382"/>
      <c r="AK315" s="382"/>
      <c r="AL315" s="382"/>
      <c r="AM315" s="382"/>
      <c r="AN315" s="382"/>
      <c r="AO315" s="382"/>
      <c r="AP315" s="382"/>
      <c r="AQ315" s="382"/>
      <c r="AR315" s="382"/>
      <c r="AS315" s="382"/>
      <c r="AT315" s="382"/>
      <c r="AU315" s="382"/>
      <c r="AV315" s="382"/>
      <c r="AW315" s="382"/>
      <c r="AX315" s="382"/>
      <c r="AY315" s="382"/>
      <c r="AZ315" s="382"/>
      <c r="BA315" s="382"/>
      <c r="BB315" s="382"/>
      <c r="BC315" s="382"/>
      <c r="BD315" s="382"/>
      <c r="BE315" s="382"/>
      <c r="BF315" s="382"/>
      <c r="BG315" s="382"/>
      <c r="BH315" s="382"/>
      <c r="BI315" s="382"/>
      <c r="BJ315" s="382"/>
      <c r="BK315" s="382"/>
      <c r="BL315" s="382"/>
      <c r="BM315" s="382"/>
      <c r="BN315" s="382"/>
      <c r="BO315" s="382"/>
    </row>
    <row r="316" spans="1:67" s="88" customFormat="1" ht="10.55" customHeight="1" x14ac:dyDescent="0.2">
      <c r="A316" s="1122" t="s">
        <v>425</v>
      </c>
      <c r="B316" s="2783"/>
      <c r="C316" s="2784"/>
      <c r="D316" s="2785"/>
      <c r="E316" s="2810">
        <f>SUM(E317:E329)</f>
        <v>0</v>
      </c>
      <c r="F316" s="2811"/>
      <c r="G316" s="2747"/>
      <c r="H316" s="2748"/>
      <c r="I316" s="1435">
        <f>IF(E316=0,0,J316/E316)</f>
        <v>0</v>
      </c>
      <c r="J316" s="1423">
        <f>SUM(J317:J329)</f>
        <v>0</v>
      </c>
      <c r="K316" s="2749">
        <f>IF(E316=0,0,M316/E316*100)</f>
        <v>0</v>
      </c>
      <c r="L316" s="2750"/>
      <c r="M316" s="1430">
        <f>SUM(M317:M329)</f>
        <v>0</v>
      </c>
      <c r="N316" s="1111"/>
      <c r="O316" s="387">
        <f>IF(H316="",G316,H316)</f>
        <v>0</v>
      </c>
      <c r="P316" s="682"/>
      <c r="Q316" s="286"/>
      <c r="R316" s="287"/>
      <c r="S316" s="280"/>
      <c r="T316" s="280"/>
      <c r="U316" s="280"/>
      <c r="V316" s="280"/>
      <c r="W316" s="280"/>
      <c r="X316" s="280"/>
      <c r="Y316" s="280"/>
      <c r="Z316" s="284"/>
      <c r="AA316" s="284"/>
      <c r="AB316" s="284"/>
      <c r="AC316" s="284"/>
      <c r="AD316" s="284"/>
      <c r="AE316" s="284"/>
      <c r="AF316" s="447"/>
      <c r="AG316" s="447"/>
      <c r="AH316" s="447"/>
      <c r="AI316" s="382"/>
      <c r="AJ316" s="382"/>
      <c r="AK316" s="382"/>
      <c r="AL316" s="382"/>
      <c r="AM316" s="382"/>
      <c r="AN316" s="382"/>
      <c r="AO316" s="382"/>
      <c r="AP316" s="382"/>
      <c r="AQ316" s="382"/>
      <c r="AR316" s="382"/>
      <c r="AS316" s="382"/>
      <c r="AT316" s="382"/>
      <c r="AU316" s="382"/>
      <c r="AV316" s="382"/>
      <c r="AW316" s="382"/>
      <c r="AX316" s="382"/>
      <c r="AY316" s="382"/>
      <c r="AZ316" s="382"/>
      <c r="BA316" s="382"/>
      <c r="BB316" s="382"/>
      <c r="BC316" s="382"/>
      <c r="BD316" s="382"/>
      <c r="BE316" s="382"/>
      <c r="BF316" s="382"/>
      <c r="BG316" s="382"/>
      <c r="BH316" s="382"/>
      <c r="BI316" s="382"/>
      <c r="BJ316" s="382"/>
      <c r="BK316" s="382"/>
      <c r="BL316" s="382"/>
      <c r="BM316" s="382"/>
      <c r="BN316" s="382"/>
      <c r="BO316" s="382"/>
    </row>
    <row r="317" spans="1:67" s="88" customFormat="1" ht="10.55" customHeight="1" x14ac:dyDescent="0.2">
      <c r="A317" s="1013" t="s">
        <v>426</v>
      </c>
      <c r="B317" s="2790"/>
      <c r="C317" s="2791"/>
      <c r="D317" s="2792"/>
      <c r="E317" s="2734"/>
      <c r="F317" s="2735"/>
      <c r="G317" s="1785">
        <v>15</v>
      </c>
      <c r="H317" s="524"/>
      <c r="I317" s="1409">
        <f t="shared" ref="I317:I330" si="76">IF($O317&gt;0,-PMT(($I$9),$O317,1),0)</f>
        <v>8.0766456051533542E-2</v>
      </c>
      <c r="J317" s="1421">
        <f t="shared" ref="J317:J329" si="77">ROUND(E317*I317,0)</f>
        <v>0</v>
      </c>
      <c r="K317" s="687"/>
      <c r="L317" s="1003"/>
      <c r="M317" s="1428">
        <f t="shared" ref="M317:M330" si="78">ROUND(E317/100*IF(ISBLANK(L317),K317,L317),0)</f>
        <v>0</v>
      </c>
      <c r="N317" s="1111"/>
      <c r="O317" s="674">
        <f t="shared" ref="O317:O330" si="79">IF(ISBLANK(H317),G317,H317)</f>
        <v>15</v>
      </c>
      <c r="P317" s="682"/>
      <c r="Q317" s="286"/>
      <c r="R317" s="287"/>
      <c r="S317" s="280"/>
      <c r="T317" s="280"/>
      <c r="U317" s="280"/>
      <c r="V317" s="280"/>
      <c r="W317" s="280"/>
      <c r="X317" s="280"/>
      <c r="Y317" s="280"/>
      <c r="Z317" s="284"/>
      <c r="AA317" s="284"/>
      <c r="AB317" s="284"/>
      <c r="AC317" s="284"/>
      <c r="AD317" s="284"/>
      <c r="AE317" s="284"/>
      <c r="AF317" s="447"/>
      <c r="AG317" s="447"/>
      <c r="AH317" s="447"/>
      <c r="AI317" s="382"/>
      <c r="AJ317" s="382"/>
      <c r="AK317" s="382"/>
      <c r="AL317" s="382"/>
      <c r="AM317" s="382"/>
      <c r="AN317" s="382"/>
      <c r="AO317" s="382"/>
      <c r="AP317" s="382"/>
      <c r="AQ317" s="382"/>
      <c r="AR317" s="382"/>
      <c r="AS317" s="382"/>
      <c r="AT317" s="382"/>
      <c r="AU317" s="382"/>
      <c r="AV317" s="382"/>
      <c r="AW317" s="382"/>
      <c r="AX317" s="382"/>
      <c r="AY317" s="382"/>
      <c r="AZ317" s="382"/>
      <c r="BA317" s="382"/>
      <c r="BB317" s="382"/>
      <c r="BC317" s="382"/>
      <c r="BD317" s="382"/>
      <c r="BE317" s="382"/>
      <c r="BF317" s="382"/>
      <c r="BG317" s="382"/>
      <c r="BH317" s="382"/>
      <c r="BI317" s="382"/>
      <c r="BJ317" s="382"/>
      <c r="BK317" s="382"/>
      <c r="BL317" s="382"/>
      <c r="BM317" s="382"/>
      <c r="BN317" s="382"/>
      <c r="BO317" s="382"/>
    </row>
    <row r="318" spans="1:67" s="88" customFormat="1" ht="10.55" customHeight="1" x14ac:dyDescent="0.2">
      <c r="A318" s="1013" t="s">
        <v>427</v>
      </c>
      <c r="B318" s="2807"/>
      <c r="C318" s="2808"/>
      <c r="D318" s="2809"/>
      <c r="E318" s="2561"/>
      <c r="F318" s="2562"/>
      <c r="G318" s="1785">
        <v>15</v>
      </c>
      <c r="H318" s="524"/>
      <c r="I318" s="1409">
        <f t="shared" si="76"/>
        <v>8.0766456051533542E-2</v>
      </c>
      <c r="J318" s="1421">
        <f t="shared" si="77"/>
        <v>0</v>
      </c>
      <c r="K318" s="678">
        <v>0.5</v>
      </c>
      <c r="L318" s="1002"/>
      <c r="M318" s="1428">
        <f t="shared" si="78"/>
        <v>0</v>
      </c>
      <c r="N318" s="1111"/>
      <c r="O318" s="674">
        <f t="shared" si="79"/>
        <v>15</v>
      </c>
      <c r="P318" s="682"/>
      <c r="Q318" s="286"/>
      <c r="R318" s="287"/>
      <c r="S318" s="280"/>
      <c r="T318" s="280"/>
      <c r="U318" s="280"/>
      <c r="V318" s="280"/>
      <c r="W318" s="280"/>
      <c r="X318" s="280"/>
      <c r="Y318" s="280"/>
      <c r="Z318" s="284"/>
      <c r="AA318" s="284"/>
      <c r="AB318" s="284"/>
      <c r="AC318" s="284"/>
      <c r="AD318" s="284"/>
      <c r="AE318" s="284"/>
      <c r="AF318" s="447"/>
      <c r="AG318" s="447"/>
      <c r="AH318" s="447"/>
      <c r="AI318" s="382"/>
      <c r="AJ318" s="382"/>
      <c r="AK318" s="382"/>
      <c r="AL318" s="382"/>
      <c r="AM318" s="382"/>
      <c r="AN318" s="382"/>
      <c r="AO318" s="382"/>
      <c r="AP318" s="382"/>
      <c r="AQ318" s="382"/>
      <c r="AR318" s="382"/>
      <c r="AS318" s="382"/>
      <c r="AT318" s="382"/>
      <c r="AU318" s="382"/>
      <c r="AV318" s="382"/>
      <c r="AW318" s="382"/>
      <c r="AX318" s="382"/>
      <c r="AY318" s="382"/>
      <c r="AZ318" s="382"/>
      <c r="BA318" s="382"/>
      <c r="BB318" s="382"/>
      <c r="BC318" s="382"/>
      <c r="BD318" s="382"/>
      <c r="BE318" s="382"/>
      <c r="BF318" s="382"/>
      <c r="BG318" s="382"/>
      <c r="BH318" s="382"/>
      <c r="BI318" s="382"/>
      <c r="BJ318" s="382"/>
      <c r="BK318" s="382"/>
      <c r="BL318" s="382"/>
      <c r="BM318" s="382"/>
      <c r="BN318" s="382"/>
      <c r="BO318" s="382"/>
    </row>
    <row r="319" spans="1:67" s="88" customFormat="1" ht="10.55" customHeight="1" x14ac:dyDescent="0.2">
      <c r="A319" s="1013" t="s">
        <v>428</v>
      </c>
      <c r="B319" s="2807"/>
      <c r="C319" s="2808"/>
      <c r="D319" s="2809"/>
      <c r="E319" s="2561"/>
      <c r="F319" s="2562"/>
      <c r="G319" s="1785">
        <v>15</v>
      </c>
      <c r="H319" s="524"/>
      <c r="I319" s="1409">
        <f t="shared" si="76"/>
        <v>8.0766456051533542E-2</v>
      </c>
      <c r="J319" s="1421">
        <f t="shared" si="77"/>
        <v>0</v>
      </c>
      <c r="K319" s="678"/>
      <c r="L319" s="1002"/>
      <c r="M319" s="1428">
        <f t="shared" si="78"/>
        <v>0</v>
      </c>
      <c r="N319" s="1111"/>
      <c r="O319" s="674">
        <f t="shared" si="79"/>
        <v>15</v>
      </c>
      <c r="P319" s="682"/>
      <c r="Q319" s="286"/>
      <c r="R319" s="287"/>
      <c r="S319" s="280"/>
      <c r="T319" s="280"/>
      <c r="U319" s="280"/>
      <c r="V319" s="280"/>
      <c r="W319" s="280"/>
      <c r="X319" s="280"/>
      <c r="Y319" s="280"/>
      <c r="Z319" s="284"/>
      <c r="AA319" s="284"/>
      <c r="AB319" s="284"/>
      <c r="AC319" s="284"/>
      <c r="AD319" s="284"/>
      <c r="AE319" s="284"/>
      <c r="AF319" s="447"/>
      <c r="AG319" s="447"/>
      <c r="AH319" s="447"/>
      <c r="AI319" s="382"/>
      <c r="AJ319" s="382"/>
      <c r="AK319" s="382"/>
      <c r="AL319" s="382"/>
      <c r="AM319" s="382"/>
      <c r="AN319" s="382"/>
      <c r="AO319" s="382"/>
      <c r="AP319" s="382"/>
      <c r="AQ319" s="382"/>
      <c r="AR319" s="382"/>
      <c r="AS319" s="382"/>
      <c r="AT319" s="382"/>
      <c r="AU319" s="382"/>
      <c r="AV319" s="382"/>
      <c r="AW319" s="382"/>
      <c r="AX319" s="382"/>
      <c r="AY319" s="382"/>
      <c r="AZ319" s="382"/>
      <c r="BA319" s="382"/>
      <c r="BB319" s="382"/>
      <c r="BC319" s="382"/>
      <c r="BD319" s="382"/>
      <c r="BE319" s="382"/>
      <c r="BF319" s="382"/>
      <c r="BG319" s="382"/>
      <c r="BH319" s="382"/>
      <c r="BI319" s="382"/>
      <c r="BJ319" s="382"/>
      <c r="BK319" s="382"/>
      <c r="BL319" s="382"/>
      <c r="BM319" s="382"/>
      <c r="BN319" s="382"/>
      <c r="BO319" s="382"/>
    </row>
    <row r="320" spans="1:67" s="88" customFormat="1" ht="10.55" customHeight="1" x14ac:dyDescent="0.2">
      <c r="A320" s="1013" t="s">
        <v>429</v>
      </c>
      <c r="B320" s="2807"/>
      <c r="C320" s="2808"/>
      <c r="D320" s="2809"/>
      <c r="E320" s="2561"/>
      <c r="F320" s="2562"/>
      <c r="G320" s="1785">
        <v>30</v>
      </c>
      <c r="H320" s="524"/>
      <c r="I320" s="1409">
        <f t="shared" si="76"/>
        <v>4.7777640736176463E-2</v>
      </c>
      <c r="J320" s="1421">
        <f t="shared" si="77"/>
        <v>0</v>
      </c>
      <c r="K320" s="678">
        <v>0.5</v>
      </c>
      <c r="L320" s="1002"/>
      <c r="M320" s="1428">
        <f t="shared" si="78"/>
        <v>0</v>
      </c>
      <c r="N320" s="1111"/>
      <c r="O320" s="674">
        <f t="shared" si="79"/>
        <v>30</v>
      </c>
      <c r="P320" s="682"/>
      <c r="Q320" s="286"/>
      <c r="R320" s="287"/>
      <c r="S320" s="280"/>
      <c r="T320" s="280"/>
      <c r="U320" s="280"/>
      <c r="V320" s="280"/>
      <c r="W320" s="280"/>
      <c r="X320" s="280"/>
      <c r="Y320" s="280"/>
      <c r="Z320" s="284"/>
      <c r="AA320" s="284"/>
      <c r="AB320" s="284"/>
      <c r="AC320" s="284"/>
      <c r="AD320" s="284"/>
      <c r="AE320" s="284"/>
      <c r="AF320" s="447"/>
      <c r="AG320" s="447"/>
      <c r="AH320" s="447"/>
      <c r="AI320" s="382"/>
      <c r="AJ320" s="382"/>
      <c r="AK320" s="382"/>
      <c r="AL320" s="382"/>
      <c r="AM320" s="382"/>
      <c r="AN320" s="382"/>
      <c r="AO320" s="382"/>
      <c r="AP320" s="382"/>
      <c r="AQ320" s="382"/>
      <c r="AR320" s="382"/>
      <c r="AS320" s="382"/>
      <c r="AT320" s="382"/>
      <c r="AU320" s="382"/>
      <c r="AV320" s="382"/>
      <c r="AW320" s="382"/>
      <c r="AX320" s="382"/>
      <c r="AY320" s="382"/>
      <c r="AZ320" s="382"/>
      <c r="BA320" s="382"/>
      <c r="BB320" s="382"/>
      <c r="BC320" s="382"/>
      <c r="BD320" s="382"/>
      <c r="BE320" s="382"/>
      <c r="BF320" s="382"/>
      <c r="BG320" s="382"/>
      <c r="BH320" s="382"/>
      <c r="BI320" s="382"/>
      <c r="BJ320" s="382"/>
      <c r="BK320" s="382"/>
      <c r="BL320" s="382"/>
      <c r="BM320" s="382"/>
      <c r="BN320" s="382"/>
      <c r="BO320" s="382"/>
    </row>
    <row r="321" spans="1:67" s="88" customFormat="1" ht="10.55" customHeight="1" x14ac:dyDescent="0.2">
      <c r="A321" s="675"/>
      <c r="B321" s="2807"/>
      <c r="C321" s="2808"/>
      <c r="D321" s="2809"/>
      <c r="E321" s="2561"/>
      <c r="F321" s="2562"/>
      <c r="G321" s="1015"/>
      <c r="H321" s="524"/>
      <c r="I321" s="1409">
        <f t="shared" si="76"/>
        <v>0</v>
      </c>
      <c r="J321" s="1421">
        <f t="shared" si="77"/>
        <v>0</v>
      </c>
      <c r="K321" s="679"/>
      <c r="L321" s="1002"/>
      <c r="M321" s="1428">
        <f t="shared" si="78"/>
        <v>0</v>
      </c>
      <c r="N321" s="1111"/>
      <c r="O321" s="674">
        <f t="shared" si="79"/>
        <v>0</v>
      </c>
      <c r="P321" s="682"/>
      <c r="Q321" s="286"/>
      <c r="R321" s="287"/>
      <c r="S321" s="280"/>
      <c r="T321" s="280"/>
      <c r="U321" s="280"/>
      <c r="V321" s="280"/>
      <c r="W321" s="280"/>
      <c r="X321" s="280"/>
      <c r="Y321" s="280"/>
      <c r="Z321" s="284"/>
      <c r="AA321" s="284"/>
      <c r="AB321" s="284"/>
      <c r="AC321" s="284"/>
      <c r="AD321" s="284"/>
      <c r="AE321" s="284"/>
      <c r="AF321" s="447"/>
      <c r="AG321" s="447"/>
      <c r="AH321" s="447"/>
      <c r="AI321" s="382"/>
      <c r="AJ321" s="382"/>
      <c r="AK321" s="382"/>
      <c r="AL321" s="382"/>
      <c r="AM321" s="382"/>
      <c r="AN321" s="382"/>
      <c r="AO321" s="382"/>
      <c r="AP321" s="382"/>
      <c r="AQ321" s="382"/>
      <c r="AR321" s="382"/>
      <c r="AS321" s="382"/>
      <c r="AT321" s="382"/>
      <c r="AU321" s="382"/>
      <c r="AV321" s="382"/>
      <c r="AW321" s="382"/>
      <c r="AX321" s="382"/>
      <c r="AY321" s="382"/>
      <c r="AZ321" s="382"/>
      <c r="BA321" s="382"/>
      <c r="BB321" s="382"/>
      <c r="BC321" s="382"/>
      <c r="BD321" s="382"/>
      <c r="BE321" s="382"/>
      <c r="BF321" s="382"/>
      <c r="BG321" s="382"/>
      <c r="BH321" s="382"/>
      <c r="BI321" s="382"/>
      <c r="BJ321" s="382"/>
      <c r="BK321" s="382"/>
      <c r="BL321" s="382"/>
      <c r="BM321" s="382"/>
      <c r="BN321" s="382"/>
      <c r="BO321" s="382"/>
    </row>
    <row r="322" spans="1:67" s="88" customFormat="1" ht="10.55" customHeight="1" x14ac:dyDescent="0.2">
      <c r="A322" s="675"/>
      <c r="B322" s="2807"/>
      <c r="C322" s="2808"/>
      <c r="D322" s="2809"/>
      <c r="E322" s="2561"/>
      <c r="F322" s="2562"/>
      <c r="G322" s="1015"/>
      <c r="H322" s="524"/>
      <c r="I322" s="1409">
        <f t="shared" si="76"/>
        <v>0</v>
      </c>
      <c r="J322" s="1421">
        <f t="shared" si="77"/>
        <v>0</v>
      </c>
      <c r="K322" s="679"/>
      <c r="L322" s="1002"/>
      <c r="M322" s="1428">
        <f t="shared" si="78"/>
        <v>0</v>
      </c>
      <c r="N322" s="1111"/>
      <c r="O322" s="674">
        <f t="shared" si="79"/>
        <v>0</v>
      </c>
      <c r="P322" s="682"/>
      <c r="Q322" s="286"/>
      <c r="R322" s="287"/>
      <c r="S322" s="280"/>
      <c r="T322" s="280"/>
      <c r="U322" s="280"/>
      <c r="V322" s="280"/>
      <c r="W322" s="280"/>
      <c r="X322" s="280"/>
      <c r="Y322" s="280"/>
      <c r="Z322" s="284"/>
      <c r="AA322" s="284"/>
      <c r="AB322" s="284"/>
      <c r="AC322" s="284"/>
      <c r="AD322" s="284"/>
      <c r="AE322" s="284"/>
      <c r="AF322" s="447"/>
      <c r="AG322" s="447"/>
      <c r="AH322" s="447"/>
      <c r="AI322" s="382"/>
      <c r="AJ322" s="382"/>
      <c r="AK322" s="382"/>
      <c r="AL322" s="382"/>
      <c r="AM322" s="382"/>
      <c r="AN322" s="382"/>
      <c r="AO322" s="382"/>
      <c r="AP322" s="382"/>
      <c r="AQ322" s="382"/>
      <c r="AR322" s="382"/>
      <c r="AS322" s="382"/>
      <c r="AT322" s="382"/>
      <c r="AU322" s="382"/>
      <c r="AV322" s="382"/>
      <c r="AW322" s="382"/>
      <c r="AX322" s="382"/>
      <c r="AY322" s="382"/>
      <c r="AZ322" s="382"/>
      <c r="BA322" s="382"/>
      <c r="BB322" s="382"/>
      <c r="BC322" s="382"/>
      <c r="BD322" s="382"/>
      <c r="BE322" s="382"/>
      <c r="BF322" s="382"/>
      <c r="BG322" s="382"/>
      <c r="BH322" s="382"/>
      <c r="BI322" s="382"/>
      <c r="BJ322" s="382"/>
      <c r="BK322" s="382"/>
      <c r="BL322" s="382"/>
      <c r="BM322" s="382"/>
      <c r="BN322" s="382"/>
      <c r="BO322" s="382"/>
    </row>
    <row r="323" spans="1:67" s="88" customFormat="1" ht="10.55" customHeight="1" x14ac:dyDescent="0.2">
      <c r="A323" s="675"/>
      <c r="B323" s="2807"/>
      <c r="C323" s="2808"/>
      <c r="D323" s="2809"/>
      <c r="E323" s="2561"/>
      <c r="F323" s="2562"/>
      <c r="G323" s="1015"/>
      <c r="H323" s="524"/>
      <c r="I323" s="1409">
        <f t="shared" si="76"/>
        <v>0</v>
      </c>
      <c r="J323" s="1421">
        <f t="shared" si="77"/>
        <v>0</v>
      </c>
      <c r="K323" s="679"/>
      <c r="L323" s="1002"/>
      <c r="M323" s="1428">
        <f t="shared" si="78"/>
        <v>0</v>
      </c>
      <c r="N323" s="1111"/>
      <c r="O323" s="674">
        <f t="shared" si="79"/>
        <v>0</v>
      </c>
      <c r="P323" s="682"/>
      <c r="Q323" s="286"/>
      <c r="R323" s="287"/>
      <c r="S323" s="280"/>
      <c r="T323" s="280"/>
      <c r="U323" s="280"/>
      <c r="V323" s="280"/>
      <c r="W323" s="280"/>
      <c r="X323" s="280"/>
      <c r="Y323" s="280"/>
      <c r="Z323" s="284"/>
      <c r="AA323" s="284"/>
      <c r="AB323" s="284"/>
      <c r="AC323" s="284"/>
      <c r="AD323" s="284"/>
      <c r="AE323" s="284"/>
      <c r="AF323" s="447"/>
      <c r="AG323" s="447"/>
      <c r="AH323" s="447"/>
      <c r="AI323" s="382"/>
      <c r="AJ323" s="382"/>
      <c r="AK323" s="382"/>
      <c r="AL323" s="382"/>
      <c r="AM323" s="382"/>
      <c r="AN323" s="382"/>
      <c r="AO323" s="382"/>
      <c r="AP323" s="382"/>
      <c r="AQ323" s="382"/>
      <c r="AR323" s="382"/>
      <c r="AS323" s="382"/>
      <c r="AT323" s="382"/>
      <c r="AU323" s="382"/>
      <c r="AV323" s="382"/>
      <c r="AW323" s="382"/>
      <c r="AX323" s="382"/>
      <c r="AY323" s="382"/>
      <c r="AZ323" s="382"/>
      <c r="BA323" s="382"/>
      <c r="BB323" s="382"/>
      <c r="BC323" s="382"/>
      <c r="BD323" s="382"/>
      <c r="BE323" s="382"/>
      <c r="BF323" s="382"/>
      <c r="BG323" s="382"/>
      <c r="BH323" s="382"/>
      <c r="BI323" s="382"/>
      <c r="BJ323" s="382"/>
      <c r="BK323" s="382"/>
      <c r="BL323" s="382"/>
      <c r="BM323" s="382"/>
      <c r="BN323" s="382"/>
      <c r="BO323" s="382"/>
    </row>
    <row r="324" spans="1:67" s="88" customFormat="1" ht="10.55" customHeight="1" x14ac:dyDescent="0.2">
      <c r="A324" s="675"/>
      <c r="B324" s="2807"/>
      <c r="C324" s="2808"/>
      <c r="D324" s="2809"/>
      <c r="E324" s="2561"/>
      <c r="F324" s="2562"/>
      <c r="G324" s="1015"/>
      <c r="H324" s="524"/>
      <c r="I324" s="1409">
        <f t="shared" si="76"/>
        <v>0</v>
      </c>
      <c r="J324" s="1421">
        <f t="shared" si="77"/>
        <v>0</v>
      </c>
      <c r="K324" s="679"/>
      <c r="L324" s="1002"/>
      <c r="M324" s="1428">
        <f t="shared" si="78"/>
        <v>0</v>
      </c>
      <c r="N324" s="1111"/>
      <c r="O324" s="674">
        <f t="shared" si="79"/>
        <v>0</v>
      </c>
      <c r="P324" s="682"/>
      <c r="Q324" s="286"/>
      <c r="R324" s="287"/>
      <c r="S324" s="280"/>
      <c r="T324" s="280"/>
      <c r="U324" s="280"/>
      <c r="V324" s="280"/>
      <c r="W324" s="280"/>
      <c r="X324" s="280"/>
      <c r="Y324" s="280"/>
      <c r="Z324" s="284"/>
      <c r="AA324" s="284"/>
      <c r="AB324" s="284"/>
      <c r="AC324" s="284"/>
      <c r="AD324" s="284"/>
      <c r="AE324" s="284"/>
      <c r="AF324" s="447"/>
      <c r="AG324" s="447"/>
      <c r="AH324" s="447"/>
      <c r="AI324" s="382"/>
      <c r="AJ324" s="382"/>
      <c r="AK324" s="382"/>
      <c r="AL324" s="382"/>
      <c r="AM324" s="382"/>
      <c r="AN324" s="382"/>
      <c r="AO324" s="382"/>
      <c r="AP324" s="382"/>
      <c r="AQ324" s="382"/>
      <c r="AR324" s="382"/>
      <c r="AS324" s="382"/>
      <c r="AT324" s="382"/>
      <c r="AU324" s="382"/>
      <c r="AV324" s="382"/>
      <c r="AW324" s="382"/>
      <c r="AX324" s="382"/>
      <c r="AY324" s="382"/>
      <c r="AZ324" s="382"/>
      <c r="BA324" s="382"/>
      <c r="BB324" s="382"/>
      <c r="BC324" s="382"/>
      <c r="BD324" s="382"/>
      <c r="BE324" s="382"/>
      <c r="BF324" s="382"/>
      <c r="BG324" s="382"/>
      <c r="BH324" s="382"/>
      <c r="BI324" s="382"/>
      <c r="BJ324" s="382"/>
      <c r="BK324" s="382"/>
      <c r="BL324" s="382"/>
      <c r="BM324" s="382"/>
      <c r="BN324" s="382"/>
      <c r="BO324" s="382"/>
    </row>
    <row r="325" spans="1:67" s="88" customFormat="1" ht="10.55" customHeight="1" x14ac:dyDescent="0.2">
      <c r="A325" s="675"/>
      <c r="B325" s="2807"/>
      <c r="C325" s="2808"/>
      <c r="D325" s="2809"/>
      <c r="E325" s="2561"/>
      <c r="F325" s="2562"/>
      <c r="G325" s="1015"/>
      <c r="H325" s="524"/>
      <c r="I325" s="1409">
        <f t="shared" si="76"/>
        <v>0</v>
      </c>
      <c r="J325" s="1421">
        <f t="shared" si="77"/>
        <v>0</v>
      </c>
      <c r="K325" s="679"/>
      <c r="L325" s="1002"/>
      <c r="M325" s="1428">
        <f t="shared" si="78"/>
        <v>0</v>
      </c>
      <c r="N325" s="1111"/>
      <c r="O325" s="674">
        <f t="shared" si="79"/>
        <v>0</v>
      </c>
      <c r="P325" s="682"/>
      <c r="Q325" s="286"/>
      <c r="R325" s="287"/>
      <c r="S325" s="280"/>
      <c r="T325" s="280"/>
      <c r="U325" s="280"/>
      <c r="V325" s="280"/>
      <c r="W325" s="280"/>
      <c r="X325" s="280"/>
      <c r="Y325" s="280"/>
      <c r="Z325" s="284"/>
      <c r="AA325" s="284"/>
      <c r="AB325" s="284"/>
      <c r="AC325" s="284"/>
      <c r="AD325" s="284"/>
      <c r="AE325" s="284"/>
      <c r="AF325" s="447"/>
      <c r="AG325" s="447"/>
      <c r="AH325" s="447"/>
      <c r="AI325" s="382"/>
      <c r="AJ325" s="382"/>
      <c r="AK325" s="382"/>
      <c r="AL325" s="382"/>
      <c r="AM325" s="382"/>
      <c r="AN325" s="382"/>
      <c r="AO325" s="382"/>
      <c r="AP325" s="382"/>
      <c r="AQ325" s="382"/>
      <c r="AR325" s="382"/>
      <c r="AS325" s="382"/>
      <c r="AT325" s="382"/>
      <c r="AU325" s="382"/>
      <c r="AV325" s="382"/>
      <c r="AW325" s="382"/>
      <c r="AX325" s="382"/>
      <c r="AY325" s="382"/>
      <c r="AZ325" s="382"/>
      <c r="BA325" s="382"/>
      <c r="BB325" s="382"/>
      <c r="BC325" s="382"/>
      <c r="BD325" s="382"/>
      <c r="BE325" s="382"/>
      <c r="BF325" s="382"/>
      <c r="BG325" s="382"/>
      <c r="BH325" s="382"/>
      <c r="BI325" s="382"/>
      <c r="BJ325" s="382"/>
      <c r="BK325" s="382"/>
      <c r="BL325" s="382"/>
      <c r="BM325" s="382"/>
      <c r="BN325" s="382"/>
      <c r="BO325" s="382"/>
    </row>
    <row r="326" spans="1:67" s="88" customFormat="1" ht="10.55" customHeight="1" x14ac:dyDescent="0.2">
      <c r="A326" s="675"/>
      <c r="B326" s="2807"/>
      <c r="C326" s="2808"/>
      <c r="D326" s="2809"/>
      <c r="E326" s="2561"/>
      <c r="F326" s="2562"/>
      <c r="G326" s="1015"/>
      <c r="H326" s="524"/>
      <c r="I326" s="1409">
        <f t="shared" si="76"/>
        <v>0</v>
      </c>
      <c r="J326" s="1421">
        <f t="shared" si="77"/>
        <v>0</v>
      </c>
      <c r="K326" s="679"/>
      <c r="L326" s="1002"/>
      <c r="M326" s="1428">
        <f t="shared" si="78"/>
        <v>0</v>
      </c>
      <c r="N326" s="1111"/>
      <c r="O326" s="674">
        <f t="shared" si="79"/>
        <v>0</v>
      </c>
      <c r="P326" s="682"/>
      <c r="Q326" s="286"/>
      <c r="R326" s="287"/>
      <c r="S326" s="280"/>
      <c r="T326" s="280"/>
      <c r="U326" s="280"/>
      <c r="V326" s="280"/>
      <c r="W326" s="280"/>
      <c r="X326" s="280"/>
      <c r="Y326" s="280"/>
      <c r="Z326" s="284"/>
      <c r="AA326" s="284"/>
      <c r="AB326" s="284"/>
      <c r="AC326" s="284"/>
      <c r="AD326" s="284"/>
      <c r="AE326" s="284"/>
      <c r="AF326" s="447"/>
      <c r="AG326" s="447"/>
      <c r="AH326" s="447"/>
      <c r="AI326" s="382"/>
      <c r="AJ326" s="382"/>
      <c r="AK326" s="382"/>
      <c r="AL326" s="382"/>
      <c r="AM326" s="382"/>
      <c r="AN326" s="382"/>
      <c r="AO326" s="382"/>
      <c r="AP326" s="382"/>
      <c r="AQ326" s="382"/>
      <c r="AR326" s="382"/>
      <c r="AS326" s="382"/>
      <c r="AT326" s="382"/>
      <c r="AU326" s="382"/>
      <c r="AV326" s="382"/>
      <c r="AW326" s="382"/>
      <c r="AX326" s="382"/>
      <c r="AY326" s="382"/>
      <c r="AZ326" s="382"/>
      <c r="BA326" s="382"/>
      <c r="BB326" s="382"/>
      <c r="BC326" s="382"/>
      <c r="BD326" s="382"/>
      <c r="BE326" s="382"/>
      <c r="BF326" s="382"/>
      <c r="BG326" s="382"/>
      <c r="BH326" s="382"/>
      <c r="BI326" s="382"/>
      <c r="BJ326" s="382"/>
      <c r="BK326" s="382"/>
      <c r="BL326" s="382"/>
      <c r="BM326" s="382"/>
      <c r="BN326" s="382"/>
      <c r="BO326" s="382"/>
    </row>
    <row r="327" spans="1:67" s="88" customFormat="1" ht="10.55" customHeight="1" x14ac:dyDescent="0.2">
      <c r="A327" s="675"/>
      <c r="B327" s="2807"/>
      <c r="C327" s="2808"/>
      <c r="D327" s="2809"/>
      <c r="E327" s="2561"/>
      <c r="F327" s="2562"/>
      <c r="G327" s="1015"/>
      <c r="H327" s="524"/>
      <c r="I327" s="1409">
        <f t="shared" si="76"/>
        <v>0</v>
      </c>
      <c r="J327" s="1421">
        <f t="shared" si="77"/>
        <v>0</v>
      </c>
      <c r="K327" s="679"/>
      <c r="L327" s="1002"/>
      <c r="M327" s="1428">
        <f t="shared" si="78"/>
        <v>0</v>
      </c>
      <c r="N327" s="1111"/>
      <c r="O327" s="674">
        <f t="shared" si="79"/>
        <v>0</v>
      </c>
      <c r="P327" s="682"/>
      <c r="Q327" s="286"/>
      <c r="R327" s="287"/>
      <c r="S327" s="280"/>
      <c r="T327" s="280"/>
      <c r="U327" s="280"/>
      <c r="V327" s="280"/>
      <c r="W327" s="280"/>
      <c r="X327" s="280"/>
      <c r="Y327" s="280"/>
      <c r="Z327" s="284"/>
      <c r="AA327" s="284"/>
      <c r="AB327" s="284"/>
      <c r="AC327" s="284"/>
      <c r="AD327" s="284"/>
      <c r="AE327" s="284"/>
      <c r="AF327" s="447"/>
      <c r="AG327" s="447"/>
      <c r="AH327" s="447"/>
      <c r="AI327" s="382"/>
      <c r="AJ327" s="382"/>
      <c r="AK327" s="382"/>
      <c r="AL327" s="382"/>
      <c r="AM327" s="382"/>
      <c r="AN327" s="382"/>
      <c r="AO327" s="382"/>
      <c r="AP327" s="382"/>
      <c r="AQ327" s="382"/>
      <c r="AR327" s="382"/>
      <c r="AS327" s="382"/>
      <c r="AT327" s="382"/>
      <c r="AU327" s="382"/>
      <c r="AV327" s="382"/>
      <c r="AW327" s="382"/>
      <c r="AX327" s="382"/>
      <c r="AY327" s="382"/>
      <c r="AZ327" s="382"/>
      <c r="BA327" s="382"/>
      <c r="BB327" s="382"/>
      <c r="BC327" s="382"/>
      <c r="BD327" s="382"/>
      <c r="BE327" s="382"/>
      <c r="BF327" s="382"/>
      <c r="BG327" s="382"/>
      <c r="BH327" s="382"/>
      <c r="BI327" s="382"/>
      <c r="BJ327" s="382"/>
      <c r="BK327" s="382"/>
      <c r="BL327" s="382"/>
      <c r="BM327" s="382"/>
      <c r="BN327" s="382"/>
      <c r="BO327" s="382"/>
    </row>
    <row r="328" spans="1:67" s="88" customFormat="1" ht="10.55" customHeight="1" x14ac:dyDescent="0.2">
      <c r="A328" s="675"/>
      <c r="B328" s="2807"/>
      <c r="C328" s="2808"/>
      <c r="D328" s="2809"/>
      <c r="E328" s="2561"/>
      <c r="F328" s="2562"/>
      <c r="G328" s="1015"/>
      <c r="H328" s="524"/>
      <c r="I328" s="1409">
        <f t="shared" si="76"/>
        <v>0</v>
      </c>
      <c r="J328" s="1421">
        <f t="shared" si="77"/>
        <v>0</v>
      </c>
      <c r="K328" s="679"/>
      <c r="L328" s="1002"/>
      <c r="M328" s="1428">
        <f t="shared" si="78"/>
        <v>0</v>
      </c>
      <c r="N328" s="1111"/>
      <c r="O328" s="674">
        <f t="shared" si="79"/>
        <v>0</v>
      </c>
      <c r="P328" s="682"/>
      <c r="Q328" s="286"/>
      <c r="R328" s="287"/>
      <c r="S328" s="280"/>
      <c r="T328" s="280"/>
      <c r="U328" s="280"/>
      <c r="V328" s="280"/>
      <c r="W328" s="280"/>
      <c r="X328" s="280"/>
      <c r="Y328" s="280"/>
      <c r="Z328" s="284"/>
      <c r="AA328" s="284"/>
      <c r="AB328" s="284"/>
      <c r="AC328" s="284"/>
      <c r="AD328" s="284"/>
      <c r="AE328" s="284"/>
      <c r="AF328" s="447"/>
      <c r="AG328" s="447"/>
      <c r="AH328" s="447"/>
      <c r="AI328" s="382"/>
      <c r="AJ328" s="382"/>
      <c r="AK328" s="382"/>
      <c r="AL328" s="382"/>
      <c r="AM328" s="382"/>
      <c r="AN328" s="382"/>
      <c r="AO328" s="382"/>
      <c r="AP328" s="382"/>
      <c r="AQ328" s="382"/>
      <c r="AR328" s="382"/>
      <c r="AS328" s="382"/>
      <c r="AT328" s="382"/>
      <c r="AU328" s="382"/>
      <c r="AV328" s="382"/>
      <c r="AW328" s="382"/>
      <c r="AX328" s="382"/>
      <c r="AY328" s="382"/>
      <c r="AZ328" s="382"/>
      <c r="BA328" s="382"/>
      <c r="BB328" s="382"/>
      <c r="BC328" s="382"/>
      <c r="BD328" s="382"/>
      <c r="BE328" s="382"/>
      <c r="BF328" s="382"/>
      <c r="BG328" s="382"/>
      <c r="BH328" s="382"/>
      <c r="BI328" s="382"/>
      <c r="BJ328" s="382"/>
      <c r="BK328" s="382"/>
      <c r="BL328" s="382"/>
      <c r="BM328" s="382"/>
      <c r="BN328" s="382"/>
      <c r="BO328" s="382"/>
    </row>
    <row r="329" spans="1:67" s="88" customFormat="1" ht="10.55" customHeight="1" x14ac:dyDescent="0.2">
      <c r="A329" s="675"/>
      <c r="B329" s="2807"/>
      <c r="C329" s="2808"/>
      <c r="D329" s="2809"/>
      <c r="E329" s="2561"/>
      <c r="F329" s="2562"/>
      <c r="G329" s="1015"/>
      <c r="H329" s="524"/>
      <c r="I329" s="1409">
        <f t="shared" si="76"/>
        <v>0</v>
      </c>
      <c r="J329" s="1421">
        <f t="shared" si="77"/>
        <v>0</v>
      </c>
      <c r="K329" s="679"/>
      <c r="L329" s="1002"/>
      <c r="M329" s="1428">
        <f t="shared" si="78"/>
        <v>0</v>
      </c>
      <c r="N329" s="1111"/>
      <c r="O329" s="674">
        <f t="shared" si="79"/>
        <v>0</v>
      </c>
      <c r="P329" s="682"/>
      <c r="Q329" s="286"/>
      <c r="R329" s="287"/>
      <c r="S329" s="280"/>
      <c r="T329" s="280"/>
      <c r="U329" s="280"/>
      <c r="V329" s="280"/>
      <c r="W329" s="280"/>
      <c r="X329" s="280"/>
      <c r="Y329" s="280"/>
      <c r="Z329" s="284"/>
      <c r="AA329" s="284"/>
      <c r="AB329" s="284"/>
      <c r="AC329" s="284"/>
      <c r="AD329" s="284"/>
      <c r="AE329" s="284"/>
      <c r="AF329" s="447"/>
      <c r="AG329" s="447"/>
      <c r="AH329" s="447"/>
      <c r="AI329" s="382"/>
      <c r="AJ329" s="382"/>
      <c r="AK329" s="382"/>
      <c r="AL329" s="382"/>
      <c r="AM329" s="382"/>
      <c r="AN329" s="382"/>
      <c r="AO329" s="382"/>
      <c r="AP329" s="382"/>
      <c r="AQ329" s="382"/>
      <c r="AR329" s="382"/>
      <c r="AS329" s="382"/>
      <c r="AT329" s="382"/>
      <c r="AU329" s="382"/>
      <c r="AV329" s="382"/>
      <c r="AW329" s="382"/>
      <c r="AX329" s="382"/>
      <c r="AY329" s="382"/>
      <c r="AZ329" s="382"/>
      <c r="BA329" s="382"/>
      <c r="BB329" s="382"/>
      <c r="BC329" s="382"/>
      <c r="BD329" s="382"/>
      <c r="BE329" s="382"/>
      <c r="BF329" s="382"/>
      <c r="BG329" s="382"/>
      <c r="BH329" s="382"/>
      <c r="BI329" s="382"/>
      <c r="BJ329" s="382"/>
      <c r="BK329" s="382"/>
      <c r="BL329" s="382"/>
      <c r="BM329" s="382"/>
      <c r="BN329" s="382"/>
      <c r="BO329" s="382"/>
    </row>
    <row r="330" spans="1:67" s="88" customFormat="1" ht="10.55" customHeight="1" x14ac:dyDescent="0.2">
      <c r="A330" s="1017"/>
      <c r="B330" s="2804"/>
      <c r="C330" s="2805"/>
      <c r="D330" s="2806"/>
      <c r="E330" s="2793"/>
      <c r="F330" s="2794"/>
      <c r="G330" s="1018"/>
      <c r="H330" s="1019"/>
      <c r="I330" s="1436">
        <f t="shared" si="76"/>
        <v>0</v>
      </c>
      <c r="J330" s="1422"/>
      <c r="K330" s="680"/>
      <c r="L330" s="1020"/>
      <c r="M330" s="1429">
        <f t="shared" si="78"/>
        <v>0</v>
      </c>
      <c r="N330" s="1111"/>
      <c r="O330" s="674">
        <f t="shared" si="79"/>
        <v>0</v>
      </c>
      <c r="P330" s="682"/>
      <c r="Q330" s="286"/>
      <c r="R330" s="287"/>
      <c r="S330" s="280"/>
      <c r="T330" s="280"/>
      <c r="U330" s="280"/>
      <c r="V330" s="280"/>
      <c r="W330" s="280"/>
      <c r="X330" s="280"/>
      <c r="Y330" s="280"/>
      <c r="Z330" s="284"/>
      <c r="AA330" s="284"/>
      <c r="AB330" s="284"/>
      <c r="AC330" s="284"/>
      <c r="AD330" s="284"/>
      <c r="AE330" s="284"/>
      <c r="AF330" s="447"/>
      <c r="AG330" s="447"/>
      <c r="AH330" s="447"/>
      <c r="AI330" s="382"/>
      <c r="AJ330" s="382"/>
      <c r="AK330" s="382"/>
      <c r="AL330" s="382"/>
      <c r="AM330" s="382"/>
      <c r="AN330" s="382"/>
      <c r="AO330" s="382"/>
      <c r="AP330" s="382"/>
      <c r="AQ330" s="382"/>
      <c r="AR330" s="382"/>
      <c r="AS330" s="382"/>
      <c r="AT330" s="382"/>
      <c r="AU330" s="382"/>
      <c r="AV330" s="382"/>
      <c r="AW330" s="382"/>
      <c r="AX330" s="382"/>
      <c r="AY330" s="382"/>
      <c r="AZ330" s="382"/>
      <c r="BA330" s="382"/>
      <c r="BB330" s="382"/>
      <c r="BC330" s="382"/>
      <c r="BD330" s="382"/>
      <c r="BE330" s="382"/>
      <c r="BF330" s="382"/>
      <c r="BG330" s="382"/>
      <c r="BH330" s="382"/>
      <c r="BI330" s="382"/>
      <c r="BJ330" s="382"/>
      <c r="BK330" s="382"/>
      <c r="BL330" s="382"/>
      <c r="BM330" s="382"/>
      <c r="BN330" s="382"/>
      <c r="BO330" s="382"/>
    </row>
    <row r="331" spans="1:67" s="88" customFormat="1" ht="10.55" customHeight="1" x14ac:dyDescent="0.2">
      <c r="A331" s="1022" t="s">
        <v>430</v>
      </c>
      <c r="B331" s="2784"/>
      <c r="C331" s="2784"/>
      <c r="D331" s="2785"/>
      <c r="E331" s="2810">
        <f>SUM(E333:E345)</f>
        <v>0</v>
      </c>
      <c r="F331" s="2811"/>
      <c r="G331" s="2747"/>
      <c r="H331" s="2748"/>
      <c r="I331" s="1435">
        <f>IF(E331=0,0,J331/E331)</f>
        <v>0</v>
      </c>
      <c r="J331" s="1423">
        <f>SUM(J333:J345)</f>
        <v>0</v>
      </c>
      <c r="K331" s="2749">
        <f>IF(E331=0,0,M331/E331*100)</f>
        <v>0</v>
      </c>
      <c r="L331" s="2750"/>
      <c r="M331" s="1430">
        <f>SUM(M333:M345)</f>
        <v>0</v>
      </c>
      <c r="N331" s="1111"/>
      <c r="O331" s="387">
        <f>IF(H331="",G331,H331)</f>
        <v>0</v>
      </c>
      <c r="P331" s="682"/>
      <c r="Q331" s="286"/>
      <c r="R331" s="287"/>
      <c r="S331" s="280"/>
      <c r="T331" s="280"/>
      <c r="U331" s="280"/>
      <c r="V331" s="280"/>
      <c r="W331" s="280"/>
      <c r="X331" s="280"/>
      <c r="Y331" s="280"/>
      <c r="Z331" s="284"/>
      <c r="AA331" s="284"/>
      <c r="AB331" s="284"/>
      <c r="AC331" s="284"/>
      <c r="AD331" s="284"/>
      <c r="AE331" s="284"/>
      <c r="AF331" s="447"/>
      <c r="AG331" s="447"/>
      <c r="AH331" s="447"/>
      <c r="AI331" s="382"/>
      <c r="AJ331" s="382"/>
      <c r="AK331" s="382"/>
      <c r="AL331" s="382"/>
      <c r="AM331" s="382"/>
      <c r="AN331" s="382"/>
      <c r="AO331" s="382"/>
      <c r="AP331" s="382"/>
      <c r="AQ331" s="382"/>
      <c r="AR331" s="382"/>
      <c r="AS331" s="382"/>
      <c r="AT331" s="382"/>
      <c r="AU331" s="382"/>
      <c r="AV331" s="382"/>
      <c r="AW331" s="382"/>
      <c r="AX331" s="382"/>
      <c r="AY331" s="382"/>
      <c r="AZ331" s="382"/>
      <c r="BA331" s="382"/>
      <c r="BB331" s="382"/>
      <c r="BC331" s="382"/>
      <c r="BD331" s="382"/>
      <c r="BE331" s="382"/>
      <c r="BF331" s="382"/>
      <c r="BG331" s="382"/>
      <c r="BH331" s="382"/>
      <c r="BI331" s="382"/>
      <c r="BJ331" s="382"/>
      <c r="BK331" s="382"/>
      <c r="BL331" s="382"/>
      <c r="BM331" s="382"/>
      <c r="BN331" s="382"/>
      <c r="BO331" s="382"/>
    </row>
    <row r="332" spans="1:67" s="706" customFormat="1" ht="10.55" customHeight="1" x14ac:dyDescent="0.2">
      <c r="A332" s="1023"/>
      <c r="B332" s="1330"/>
      <c r="C332" s="1330"/>
      <c r="D332" s="1331"/>
      <c r="E332" s="1417"/>
      <c r="F332" s="1418"/>
      <c r="G332" s="1010"/>
      <c r="H332" s="1024"/>
      <c r="I332" s="1438"/>
      <c r="J332" s="1424"/>
      <c r="K332" s="729"/>
      <c r="L332" s="730"/>
      <c r="M332" s="1432"/>
      <c r="N332" s="339"/>
      <c r="O332" s="702"/>
      <c r="P332" s="703"/>
      <c r="Q332" s="286"/>
      <c r="R332" s="287"/>
      <c r="S332" s="280"/>
      <c r="T332" s="280"/>
      <c r="U332" s="280"/>
      <c r="V332" s="280"/>
      <c r="W332" s="280"/>
      <c r="X332" s="280"/>
      <c r="Y332" s="280"/>
      <c r="Z332" s="280"/>
      <c r="AA332" s="280"/>
      <c r="AB332" s="280"/>
      <c r="AC332" s="280"/>
      <c r="AD332" s="280"/>
      <c r="AE332" s="280"/>
      <c r="AF332" s="704"/>
      <c r="AG332" s="704"/>
      <c r="AH332" s="704"/>
      <c r="AI332" s="705"/>
      <c r="AJ332" s="705"/>
      <c r="AK332" s="705"/>
      <c r="AL332" s="705"/>
      <c r="AM332" s="705"/>
      <c r="AN332" s="705"/>
      <c r="AO332" s="705"/>
      <c r="AP332" s="705"/>
      <c r="AQ332" s="705"/>
      <c r="AR332" s="705"/>
      <c r="AS332" s="705"/>
      <c r="AT332" s="705"/>
      <c r="AU332" s="705"/>
      <c r="AV332" s="705"/>
      <c r="AW332" s="705"/>
      <c r="AX332" s="705"/>
      <c r="AY332" s="705"/>
      <c r="AZ332" s="705"/>
      <c r="BA332" s="705"/>
      <c r="BB332" s="705"/>
      <c r="BC332" s="705"/>
      <c r="BD332" s="705"/>
      <c r="BE332" s="705"/>
      <c r="BF332" s="705"/>
      <c r="BG332" s="705"/>
      <c r="BH332" s="705"/>
      <c r="BI332" s="705"/>
      <c r="BJ332" s="705"/>
      <c r="BK332" s="705"/>
      <c r="BL332" s="705"/>
      <c r="BM332" s="705"/>
      <c r="BN332" s="705"/>
      <c r="BO332" s="705"/>
    </row>
    <row r="333" spans="1:67" s="88" customFormat="1" ht="10.55" customHeight="1" x14ac:dyDescent="0.2">
      <c r="A333" s="823" t="s">
        <v>508</v>
      </c>
      <c r="B333" s="1324"/>
      <c r="C333" s="1324"/>
      <c r="D333" s="1325">
        <v>0</v>
      </c>
      <c r="E333" s="2812">
        <f>ROUND(SUM(E44,E59,E74,E89,E106,E121,E136,E151,E166,E181,E241,E256,E271,E301,E316)*D333,-2)</f>
        <v>0</v>
      </c>
      <c r="F333" s="2813"/>
      <c r="G333" s="1785">
        <v>20</v>
      </c>
      <c r="H333" s="524"/>
      <c r="I333" s="1409">
        <f t="shared" ref="I333:I346" si="80">IF($O333&gt;0,-PMT(($I$9),$O333,1),0)</f>
        <v>6.4147128734474465E-2</v>
      </c>
      <c r="J333" s="1421">
        <f t="shared" ref="J333:J345" si="81">ROUND(E333*I333,0)</f>
        <v>0</v>
      </c>
      <c r="K333" s="687">
        <v>2</v>
      </c>
      <c r="L333" s="1003"/>
      <c r="M333" s="1428">
        <f t="shared" ref="M333:M360" si="82">ROUND(E333/100*IF(ISBLANK(L333),K333,L333),0)</f>
        <v>0</v>
      </c>
      <c r="N333" s="1111"/>
      <c r="O333" s="674">
        <f t="shared" ref="O333:O346" si="83">IF(ISBLANK(H333),G333,H333)</f>
        <v>20</v>
      </c>
      <c r="P333" s="682"/>
      <c r="Q333" s="286"/>
      <c r="R333" s="287"/>
      <c r="S333" s="280"/>
      <c r="T333" s="280"/>
      <c r="U333" s="280"/>
      <c r="V333" s="280"/>
      <c r="W333" s="280"/>
      <c r="X333" s="280"/>
      <c r="Y333" s="280"/>
      <c r="Z333" s="284"/>
      <c r="AA333" s="284"/>
      <c r="AB333" s="284"/>
      <c r="AC333" s="284"/>
      <c r="AD333" s="284"/>
      <c r="AE333" s="284"/>
      <c r="AF333" s="447"/>
      <c r="AG333" s="447"/>
      <c r="AH333" s="447"/>
      <c r="AI333" s="382"/>
      <c r="AJ333" s="382"/>
      <c r="AK333" s="382"/>
      <c r="AL333" s="382"/>
      <c r="AM333" s="382"/>
      <c r="AN333" s="382"/>
      <c r="AO333" s="382"/>
      <c r="AP333" s="382"/>
      <c r="AQ333" s="382"/>
      <c r="AR333" s="382"/>
      <c r="AS333" s="382"/>
      <c r="AT333" s="382"/>
      <c r="AU333" s="382"/>
      <c r="AV333" s="382"/>
      <c r="AW333" s="382"/>
      <c r="AX333" s="382"/>
      <c r="AY333" s="382"/>
      <c r="AZ333" s="382"/>
      <c r="BA333" s="382"/>
      <c r="BB333" s="382"/>
      <c r="BC333" s="382"/>
      <c r="BD333" s="382"/>
      <c r="BE333" s="382"/>
      <c r="BF333" s="382"/>
      <c r="BG333" s="382"/>
      <c r="BH333" s="382"/>
      <c r="BI333" s="382"/>
      <c r="BJ333" s="382"/>
      <c r="BK333" s="382"/>
      <c r="BL333" s="382"/>
      <c r="BM333" s="382"/>
      <c r="BN333" s="382"/>
      <c r="BO333" s="382"/>
    </row>
    <row r="334" spans="1:67" s="88" customFormat="1" ht="10.55" customHeight="1" x14ac:dyDescent="0.2">
      <c r="A334" s="731"/>
      <c r="B334" s="2808"/>
      <c r="C334" s="2808"/>
      <c r="D334" s="2809"/>
      <c r="E334" s="2561"/>
      <c r="F334" s="2562"/>
      <c r="G334" s="1015"/>
      <c r="H334" s="524"/>
      <c r="I334" s="1409">
        <f t="shared" si="80"/>
        <v>0</v>
      </c>
      <c r="J334" s="1421">
        <f t="shared" si="81"/>
        <v>0</v>
      </c>
      <c r="K334" s="679"/>
      <c r="L334" s="1002"/>
      <c r="M334" s="1428">
        <f t="shared" si="82"/>
        <v>0</v>
      </c>
      <c r="N334" s="1111"/>
      <c r="O334" s="674">
        <f t="shared" si="83"/>
        <v>0</v>
      </c>
      <c r="P334" s="682"/>
      <c r="Q334" s="286"/>
      <c r="R334" s="287"/>
      <c r="S334" s="280"/>
      <c r="T334" s="280"/>
      <c r="U334" s="280"/>
      <c r="V334" s="280"/>
      <c r="W334" s="280"/>
      <c r="X334" s="280"/>
      <c r="Y334" s="280"/>
      <c r="Z334" s="284"/>
      <c r="AA334" s="284"/>
      <c r="AB334" s="284"/>
      <c r="AC334" s="284"/>
      <c r="AD334" s="284"/>
      <c r="AE334" s="284"/>
      <c r="AF334" s="447"/>
      <c r="AG334" s="447"/>
      <c r="AH334" s="447"/>
      <c r="AI334" s="382"/>
      <c r="AJ334" s="382"/>
      <c r="AK334" s="382"/>
      <c r="AL334" s="382"/>
      <c r="AM334" s="382"/>
      <c r="AN334" s="382"/>
      <c r="AO334" s="382"/>
      <c r="AP334" s="382"/>
      <c r="AQ334" s="382"/>
      <c r="AR334" s="382"/>
      <c r="AS334" s="382"/>
      <c r="AT334" s="382"/>
      <c r="AU334" s="382"/>
      <c r="AV334" s="382"/>
      <c r="AW334" s="382"/>
      <c r="AX334" s="382"/>
      <c r="AY334" s="382"/>
      <c r="AZ334" s="382"/>
      <c r="BA334" s="382"/>
      <c r="BB334" s="382"/>
      <c r="BC334" s="382"/>
      <c r="BD334" s="382"/>
      <c r="BE334" s="382"/>
      <c r="BF334" s="382"/>
      <c r="BG334" s="382"/>
      <c r="BH334" s="382"/>
      <c r="BI334" s="382"/>
      <c r="BJ334" s="382"/>
      <c r="BK334" s="382"/>
      <c r="BL334" s="382"/>
      <c r="BM334" s="382"/>
      <c r="BN334" s="382"/>
      <c r="BO334" s="382"/>
    </row>
    <row r="335" spans="1:67" s="88" customFormat="1" ht="10.55" customHeight="1" x14ac:dyDescent="0.2">
      <c r="A335" s="731"/>
      <c r="B335" s="2808"/>
      <c r="C335" s="2808"/>
      <c r="D335" s="2809"/>
      <c r="E335" s="2561"/>
      <c r="F335" s="2562"/>
      <c r="G335" s="1015"/>
      <c r="H335" s="524"/>
      <c r="I335" s="1409">
        <f t="shared" si="80"/>
        <v>0</v>
      </c>
      <c r="J335" s="1421">
        <f t="shared" si="81"/>
        <v>0</v>
      </c>
      <c r="K335" s="679"/>
      <c r="L335" s="1002"/>
      <c r="M335" s="1428">
        <f t="shared" si="82"/>
        <v>0</v>
      </c>
      <c r="N335" s="1111"/>
      <c r="O335" s="674">
        <f t="shared" si="83"/>
        <v>0</v>
      </c>
      <c r="P335" s="682"/>
      <c r="Q335" s="286"/>
      <c r="R335" s="287"/>
      <c r="S335" s="280"/>
      <c r="T335" s="280"/>
      <c r="U335" s="280"/>
      <c r="V335" s="280"/>
      <c r="W335" s="280"/>
      <c r="X335" s="280"/>
      <c r="Y335" s="280"/>
      <c r="Z335" s="284"/>
      <c r="AA335" s="284"/>
      <c r="AB335" s="284"/>
      <c r="AC335" s="284"/>
      <c r="AD335" s="284"/>
      <c r="AE335" s="284"/>
      <c r="AF335" s="447"/>
      <c r="AG335" s="447"/>
      <c r="AH335" s="447"/>
      <c r="AI335" s="382"/>
      <c r="AJ335" s="382"/>
      <c r="AK335" s="382"/>
      <c r="AL335" s="382"/>
      <c r="AM335" s="382"/>
      <c r="AN335" s="382"/>
      <c r="AO335" s="382"/>
      <c r="AP335" s="382"/>
      <c r="AQ335" s="382"/>
      <c r="AR335" s="382"/>
      <c r="AS335" s="382"/>
      <c r="AT335" s="382"/>
      <c r="AU335" s="382"/>
      <c r="AV335" s="382"/>
      <c r="AW335" s="382"/>
      <c r="AX335" s="382"/>
      <c r="AY335" s="382"/>
      <c r="AZ335" s="382"/>
      <c r="BA335" s="382"/>
      <c r="BB335" s="382"/>
      <c r="BC335" s="382"/>
      <c r="BD335" s="382"/>
      <c r="BE335" s="382"/>
      <c r="BF335" s="382"/>
      <c r="BG335" s="382"/>
      <c r="BH335" s="382"/>
      <c r="BI335" s="382"/>
      <c r="BJ335" s="382"/>
      <c r="BK335" s="382"/>
      <c r="BL335" s="382"/>
      <c r="BM335" s="382"/>
      <c r="BN335" s="382"/>
      <c r="BO335" s="382"/>
    </row>
    <row r="336" spans="1:67" s="88" customFormat="1" ht="10.55" customHeight="1" x14ac:dyDescent="0.2">
      <c r="A336" s="731"/>
      <c r="B336" s="2808"/>
      <c r="C336" s="2808"/>
      <c r="D336" s="2809"/>
      <c r="E336" s="2561"/>
      <c r="F336" s="2562"/>
      <c r="G336" s="1015"/>
      <c r="H336" s="524"/>
      <c r="I336" s="1409">
        <f t="shared" si="80"/>
        <v>0</v>
      </c>
      <c r="J336" s="1421">
        <f t="shared" si="81"/>
        <v>0</v>
      </c>
      <c r="K336" s="679"/>
      <c r="L336" s="1002"/>
      <c r="M336" s="1428">
        <f t="shared" si="82"/>
        <v>0</v>
      </c>
      <c r="N336" s="1111"/>
      <c r="O336" s="674">
        <f t="shared" si="83"/>
        <v>0</v>
      </c>
      <c r="P336" s="682"/>
      <c r="Q336" s="286"/>
      <c r="R336" s="287"/>
      <c r="S336" s="280"/>
      <c r="T336" s="280"/>
      <c r="U336" s="280"/>
      <c r="V336" s="280"/>
      <c r="W336" s="280"/>
      <c r="X336" s="280"/>
      <c r="Y336" s="280"/>
      <c r="Z336" s="284"/>
      <c r="AA336" s="284"/>
      <c r="AB336" s="284"/>
      <c r="AC336" s="284"/>
      <c r="AD336" s="284"/>
      <c r="AE336" s="284"/>
      <c r="AF336" s="447"/>
      <c r="AG336" s="447"/>
      <c r="AH336" s="447"/>
      <c r="AI336" s="382"/>
      <c r="AJ336" s="382"/>
      <c r="AK336" s="382"/>
      <c r="AL336" s="382"/>
      <c r="AM336" s="382"/>
      <c r="AN336" s="382"/>
      <c r="AO336" s="382"/>
      <c r="AP336" s="382"/>
      <c r="AQ336" s="382"/>
      <c r="AR336" s="382"/>
      <c r="AS336" s="382"/>
      <c r="AT336" s="382"/>
      <c r="AU336" s="382"/>
      <c r="AV336" s="382"/>
      <c r="AW336" s="382"/>
      <c r="AX336" s="382"/>
      <c r="AY336" s="382"/>
      <c r="AZ336" s="382"/>
      <c r="BA336" s="382"/>
      <c r="BB336" s="382"/>
      <c r="BC336" s="382"/>
      <c r="BD336" s="382"/>
      <c r="BE336" s="382"/>
      <c r="BF336" s="382"/>
      <c r="BG336" s="382"/>
      <c r="BH336" s="382"/>
      <c r="BI336" s="382"/>
      <c r="BJ336" s="382"/>
      <c r="BK336" s="382"/>
      <c r="BL336" s="382"/>
      <c r="BM336" s="382"/>
      <c r="BN336" s="382"/>
      <c r="BO336" s="382"/>
    </row>
    <row r="337" spans="1:67" s="88" customFormat="1" ht="10.55" customHeight="1" x14ac:dyDescent="0.2">
      <c r="A337" s="731"/>
      <c r="B337" s="2808"/>
      <c r="C337" s="2808"/>
      <c r="D337" s="2809"/>
      <c r="E337" s="2561"/>
      <c r="F337" s="2562"/>
      <c r="G337" s="1015"/>
      <c r="H337" s="524"/>
      <c r="I337" s="1409">
        <f t="shared" si="80"/>
        <v>0</v>
      </c>
      <c r="J337" s="1421">
        <f t="shared" si="81"/>
        <v>0</v>
      </c>
      <c r="K337" s="679"/>
      <c r="L337" s="1002"/>
      <c r="M337" s="1428">
        <f t="shared" si="82"/>
        <v>0</v>
      </c>
      <c r="N337" s="1111"/>
      <c r="O337" s="674">
        <f t="shared" si="83"/>
        <v>0</v>
      </c>
      <c r="P337" s="682"/>
      <c r="Q337" s="286"/>
      <c r="R337" s="287"/>
      <c r="S337" s="280"/>
      <c r="T337" s="280"/>
      <c r="U337" s="280"/>
      <c r="V337" s="280"/>
      <c r="W337" s="280"/>
      <c r="X337" s="280"/>
      <c r="Y337" s="280"/>
      <c r="Z337" s="284"/>
      <c r="AA337" s="284"/>
      <c r="AB337" s="284"/>
      <c r="AC337" s="284"/>
      <c r="AD337" s="284"/>
      <c r="AE337" s="284"/>
      <c r="AF337" s="447"/>
      <c r="AG337" s="447"/>
      <c r="AH337" s="447"/>
      <c r="AI337" s="382"/>
      <c r="AJ337" s="382"/>
      <c r="AK337" s="382"/>
      <c r="AL337" s="382"/>
      <c r="AM337" s="382"/>
      <c r="AN337" s="382"/>
      <c r="AO337" s="382"/>
      <c r="AP337" s="382"/>
      <c r="AQ337" s="382"/>
      <c r="AR337" s="382"/>
      <c r="AS337" s="382"/>
      <c r="AT337" s="382"/>
      <c r="AU337" s="382"/>
      <c r="AV337" s="382"/>
      <c r="AW337" s="382"/>
      <c r="AX337" s="382"/>
      <c r="AY337" s="382"/>
      <c r="AZ337" s="382"/>
      <c r="BA337" s="382"/>
      <c r="BB337" s="382"/>
      <c r="BC337" s="382"/>
      <c r="BD337" s="382"/>
      <c r="BE337" s="382"/>
      <c r="BF337" s="382"/>
      <c r="BG337" s="382"/>
      <c r="BH337" s="382"/>
      <c r="BI337" s="382"/>
      <c r="BJ337" s="382"/>
      <c r="BK337" s="382"/>
      <c r="BL337" s="382"/>
      <c r="BM337" s="382"/>
      <c r="BN337" s="382"/>
      <c r="BO337" s="382"/>
    </row>
    <row r="338" spans="1:67" s="88" customFormat="1" ht="10.55" customHeight="1" x14ac:dyDescent="0.2">
      <c r="A338" s="731"/>
      <c r="B338" s="2808"/>
      <c r="C338" s="2808"/>
      <c r="D338" s="2809"/>
      <c r="E338" s="2561"/>
      <c r="F338" s="2562"/>
      <c r="G338" s="1015"/>
      <c r="H338" s="524"/>
      <c r="I338" s="1409">
        <f t="shared" si="80"/>
        <v>0</v>
      </c>
      <c r="J338" s="1421">
        <f t="shared" si="81"/>
        <v>0</v>
      </c>
      <c r="K338" s="679"/>
      <c r="L338" s="1002"/>
      <c r="M338" s="1428">
        <f t="shared" si="82"/>
        <v>0</v>
      </c>
      <c r="N338" s="1111"/>
      <c r="O338" s="674">
        <f t="shared" si="83"/>
        <v>0</v>
      </c>
      <c r="P338" s="682"/>
      <c r="Q338" s="286"/>
      <c r="R338" s="287"/>
      <c r="S338" s="280"/>
      <c r="T338" s="280"/>
      <c r="U338" s="280"/>
      <c r="V338" s="280"/>
      <c r="W338" s="280"/>
      <c r="X338" s="280"/>
      <c r="Y338" s="280"/>
      <c r="Z338" s="284"/>
      <c r="AA338" s="284"/>
      <c r="AB338" s="284"/>
      <c r="AC338" s="284"/>
      <c r="AD338" s="284"/>
      <c r="AE338" s="284"/>
      <c r="AF338" s="447"/>
      <c r="AG338" s="447"/>
      <c r="AH338" s="447"/>
      <c r="AI338" s="382"/>
      <c r="AJ338" s="382"/>
      <c r="AK338" s="382"/>
      <c r="AL338" s="382"/>
      <c r="AM338" s="382"/>
      <c r="AN338" s="382"/>
      <c r="AO338" s="382"/>
      <c r="AP338" s="382"/>
      <c r="AQ338" s="382"/>
      <c r="AR338" s="382"/>
      <c r="AS338" s="382"/>
      <c r="AT338" s="382"/>
      <c r="AU338" s="382"/>
      <c r="AV338" s="382"/>
      <c r="AW338" s="382"/>
      <c r="AX338" s="382"/>
      <c r="AY338" s="382"/>
      <c r="AZ338" s="382"/>
      <c r="BA338" s="382"/>
      <c r="BB338" s="382"/>
      <c r="BC338" s="382"/>
      <c r="BD338" s="382"/>
      <c r="BE338" s="382"/>
      <c r="BF338" s="382"/>
      <c r="BG338" s="382"/>
      <c r="BH338" s="382"/>
      <c r="BI338" s="382"/>
      <c r="BJ338" s="382"/>
      <c r="BK338" s="382"/>
      <c r="BL338" s="382"/>
      <c r="BM338" s="382"/>
      <c r="BN338" s="382"/>
      <c r="BO338" s="382"/>
    </row>
    <row r="339" spans="1:67" s="88" customFormat="1" ht="10.55" customHeight="1" x14ac:dyDescent="0.2">
      <c r="A339" s="1025"/>
      <c r="B339" s="1332"/>
      <c r="C339" s="1332"/>
      <c r="D339" s="1333"/>
      <c r="E339" s="2814"/>
      <c r="F339" s="2815"/>
      <c r="G339" s="1026"/>
      <c r="H339" s="694"/>
      <c r="I339" s="1439">
        <f t="shared" si="80"/>
        <v>0</v>
      </c>
      <c r="J339" s="1425">
        <f t="shared" si="81"/>
        <v>0</v>
      </c>
      <c r="K339" s="695"/>
      <c r="L339" s="1005"/>
      <c r="M339" s="1429">
        <f t="shared" si="82"/>
        <v>0</v>
      </c>
      <c r="N339" s="1111"/>
      <c r="O339" s="674">
        <f t="shared" si="83"/>
        <v>0</v>
      </c>
      <c r="P339" s="682"/>
      <c r="Q339" s="286"/>
      <c r="R339" s="287"/>
      <c r="S339" s="280"/>
      <c r="T339" s="280"/>
      <c r="U339" s="280"/>
      <c r="V339" s="280"/>
      <c r="W339" s="280"/>
      <c r="X339" s="280"/>
      <c r="Y339" s="280"/>
      <c r="Z339" s="284"/>
      <c r="AA339" s="284"/>
      <c r="AB339" s="284"/>
      <c r="AC339" s="284"/>
      <c r="AD339" s="284"/>
      <c r="AE339" s="284"/>
      <c r="AF339" s="447"/>
      <c r="AG339" s="447"/>
      <c r="AH339" s="447"/>
      <c r="AI339" s="382"/>
      <c r="AJ339" s="382"/>
      <c r="AK339" s="382"/>
      <c r="AL339" s="382"/>
      <c r="AM339" s="382"/>
      <c r="AN339" s="382"/>
      <c r="AO339" s="382"/>
      <c r="AP339" s="382"/>
      <c r="AQ339" s="382"/>
      <c r="AR339" s="382"/>
      <c r="AS339" s="382"/>
      <c r="AT339" s="382"/>
      <c r="AU339" s="382"/>
      <c r="AV339" s="382"/>
      <c r="AW339" s="382"/>
      <c r="AX339" s="382"/>
      <c r="AY339" s="382"/>
      <c r="AZ339" s="382"/>
      <c r="BA339" s="382"/>
      <c r="BB339" s="382"/>
      <c r="BC339" s="382"/>
      <c r="BD339" s="382"/>
      <c r="BE339" s="382"/>
      <c r="BF339" s="382"/>
      <c r="BG339" s="382"/>
      <c r="BH339" s="382"/>
      <c r="BI339" s="382"/>
      <c r="BJ339" s="382"/>
      <c r="BK339" s="382"/>
      <c r="BL339" s="382"/>
      <c r="BM339" s="382"/>
      <c r="BN339" s="382"/>
      <c r="BO339" s="382"/>
    </row>
    <row r="340" spans="1:67" s="88" customFormat="1" ht="10.55" customHeight="1" x14ac:dyDescent="0.2">
      <c r="A340" s="1027" t="s">
        <v>509</v>
      </c>
      <c r="B340" s="1324"/>
      <c r="C340" s="1324"/>
      <c r="D340" s="1325">
        <v>0</v>
      </c>
      <c r="E340" s="2812">
        <f>ROUND(SUM(E44,E196,E211,E226,E286)*D340,-2)</f>
        <v>0</v>
      </c>
      <c r="F340" s="2813"/>
      <c r="G340" s="1785">
        <v>20</v>
      </c>
      <c r="H340" s="524"/>
      <c r="I340" s="1409">
        <f t="shared" si="80"/>
        <v>6.4147128734474465E-2</v>
      </c>
      <c r="J340" s="1421">
        <f t="shared" si="81"/>
        <v>0</v>
      </c>
      <c r="K340" s="687">
        <v>1</v>
      </c>
      <c r="L340" s="1003"/>
      <c r="M340" s="1428">
        <f t="shared" si="82"/>
        <v>0</v>
      </c>
      <c r="N340" s="1111"/>
      <c r="O340" s="674">
        <f t="shared" si="83"/>
        <v>20</v>
      </c>
      <c r="P340" s="682"/>
      <c r="Q340" s="286"/>
      <c r="R340" s="287"/>
      <c r="S340" s="280"/>
      <c r="T340" s="280"/>
      <c r="U340" s="280"/>
      <c r="V340" s="280"/>
      <c r="W340" s="280"/>
      <c r="X340" s="280"/>
      <c r="Y340" s="280"/>
      <c r="Z340" s="284"/>
      <c r="AA340" s="284"/>
      <c r="AB340" s="284"/>
      <c r="AC340" s="284"/>
      <c r="AD340" s="284"/>
      <c r="AE340" s="284"/>
      <c r="AF340" s="447"/>
      <c r="AG340" s="447"/>
      <c r="AH340" s="447"/>
      <c r="AI340" s="382"/>
      <c r="AJ340" s="382"/>
      <c r="AK340" s="382"/>
      <c r="AL340" s="382"/>
      <c r="AM340" s="382"/>
      <c r="AN340" s="382"/>
      <c r="AO340" s="382"/>
      <c r="AP340" s="382"/>
      <c r="AQ340" s="382"/>
      <c r="AR340" s="382"/>
      <c r="AS340" s="382"/>
      <c r="AT340" s="382"/>
      <c r="AU340" s="382"/>
      <c r="AV340" s="382"/>
      <c r="AW340" s="382"/>
      <c r="AX340" s="382"/>
      <c r="AY340" s="382"/>
      <c r="AZ340" s="382"/>
      <c r="BA340" s="382"/>
      <c r="BB340" s="382"/>
      <c r="BC340" s="382"/>
      <c r="BD340" s="382"/>
      <c r="BE340" s="382"/>
      <c r="BF340" s="382"/>
      <c r="BG340" s="382"/>
      <c r="BH340" s="382"/>
      <c r="BI340" s="382"/>
      <c r="BJ340" s="382"/>
      <c r="BK340" s="382"/>
      <c r="BL340" s="382"/>
      <c r="BM340" s="382"/>
      <c r="BN340" s="382"/>
      <c r="BO340" s="382"/>
    </row>
    <row r="341" spans="1:67" s="88" customFormat="1" ht="10.55" customHeight="1" x14ac:dyDescent="0.2">
      <c r="A341" s="731"/>
      <c r="B341" s="2808"/>
      <c r="C341" s="2808"/>
      <c r="D341" s="2809"/>
      <c r="E341" s="2561"/>
      <c r="F341" s="2562"/>
      <c r="G341" s="1015"/>
      <c r="H341" s="524"/>
      <c r="I341" s="1409">
        <f t="shared" si="80"/>
        <v>0</v>
      </c>
      <c r="J341" s="1421">
        <f t="shared" si="81"/>
        <v>0</v>
      </c>
      <c r="K341" s="679"/>
      <c r="L341" s="1002"/>
      <c r="M341" s="1428">
        <f t="shared" si="82"/>
        <v>0</v>
      </c>
      <c r="N341" s="1111"/>
      <c r="O341" s="674">
        <f t="shared" si="83"/>
        <v>0</v>
      </c>
      <c r="P341" s="682"/>
      <c r="Q341" s="286"/>
      <c r="R341" s="287"/>
      <c r="S341" s="280"/>
      <c r="T341" s="280"/>
      <c r="U341" s="280"/>
      <c r="V341" s="280"/>
      <c r="W341" s="280"/>
      <c r="X341" s="280"/>
      <c r="Y341" s="280"/>
      <c r="Z341" s="284"/>
      <c r="AA341" s="284"/>
      <c r="AB341" s="284"/>
      <c r="AC341" s="284"/>
      <c r="AD341" s="284"/>
      <c r="AE341" s="284"/>
      <c r="AF341" s="447"/>
      <c r="AG341" s="447"/>
      <c r="AH341" s="447"/>
      <c r="AI341" s="382"/>
      <c r="AJ341" s="382"/>
      <c r="AK341" s="382"/>
      <c r="AL341" s="382"/>
      <c r="AM341" s="382"/>
      <c r="AN341" s="382"/>
      <c r="AO341" s="382"/>
      <c r="AP341" s="382"/>
      <c r="AQ341" s="382"/>
      <c r="AR341" s="382"/>
      <c r="AS341" s="382"/>
      <c r="AT341" s="382"/>
      <c r="AU341" s="382"/>
      <c r="AV341" s="382"/>
      <c r="AW341" s="382"/>
      <c r="AX341" s="382"/>
      <c r="AY341" s="382"/>
      <c r="AZ341" s="382"/>
      <c r="BA341" s="382"/>
      <c r="BB341" s="382"/>
      <c r="BC341" s="382"/>
      <c r="BD341" s="382"/>
      <c r="BE341" s="382"/>
      <c r="BF341" s="382"/>
      <c r="BG341" s="382"/>
      <c r="BH341" s="382"/>
      <c r="BI341" s="382"/>
      <c r="BJ341" s="382"/>
      <c r="BK341" s="382"/>
      <c r="BL341" s="382"/>
      <c r="BM341" s="382"/>
      <c r="BN341" s="382"/>
      <c r="BO341" s="382"/>
    </row>
    <row r="342" spans="1:67" s="88" customFormat="1" ht="10.55" customHeight="1" x14ac:dyDescent="0.2">
      <c r="A342" s="731"/>
      <c r="B342" s="2808"/>
      <c r="C342" s="2808"/>
      <c r="D342" s="2809"/>
      <c r="E342" s="2561"/>
      <c r="F342" s="2562"/>
      <c r="G342" s="1015"/>
      <c r="H342" s="524"/>
      <c r="I342" s="1409">
        <f t="shared" si="80"/>
        <v>0</v>
      </c>
      <c r="J342" s="1421">
        <f t="shared" si="81"/>
        <v>0</v>
      </c>
      <c r="K342" s="679"/>
      <c r="L342" s="1002"/>
      <c r="M342" s="1428">
        <f t="shared" si="82"/>
        <v>0</v>
      </c>
      <c r="N342" s="1111"/>
      <c r="O342" s="674">
        <f t="shared" si="83"/>
        <v>0</v>
      </c>
      <c r="P342" s="682"/>
      <c r="Q342" s="286"/>
      <c r="R342" s="287"/>
      <c r="S342" s="280"/>
      <c r="T342" s="280"/>
      <c r="U342" s="280"/>
      <c r="V342" s="280"/>
      <c r="W342" s="280"/>
      <c r="X342" s="280"/>
      <c r="Y342" s="280"/>
      <c r="Z342" s="284"/>
      <c r="AA342" s="284"/>
      <c r="AB342" s="284"/>
      <c r="AC342" s="284"/>
      <c r="AD342" s="284"/>
      <c r="AE342" s="284"/>
      <c r="AF342" s="447"/>
      <c r="AG342" s="447"/>
      <c r="AH342" s="447"/>
      <c r="AI342" s="382"/>
      <c r="AJ342" s="382"/>
      <c r="AK342" s="382"/>
      <c r="AL342" s="382"/>
      <c r="AM342" s="382"/>
      <c r="AN342" s="382"/>
      <c r="AO342" s="382"/>
      <c r="AP342" s="382"/>
      <c r="AQ342" s="382"/>
      <c r="AR342" s="382"/>
      <c r="AS342" s="382"/>
      <c r="AT342" s="382"/>
      <c r="AU342" s="382"/>
      <c r="AV342" s="382"/>
      <c r="AW342" s="382"/>
      <c r="AX342" s="382"/>
      <c r="AY342" s="382"/>
      <c r="AZ342" s="382"/>
      <c r="BA342" s="382"/>
      <c r="BB342" s="382"/>
      <c r="BC342" s="382"/>
      <c r="BD342" s="382"/>
      <c r="BE342" s="382"/>
      <c r="BF342" s="382"/>
      <c r="BG342" s="382"/>
      <c r="BH342" s="382"/>
      <c r="BI342" s="382"/>
      <c r="BJ342" s="382"/>
      <c r="BK342" s="382"/>
      <c r="BL342" s="382"/>
      <c r="BM342" s="382"/>
      <c r="BN342" s="382"/>
      <c r="BO342" s="382"/>
    </row>
    <row r="343" spans="1:67" s="88" customFormat="1" ht="10.55" customHeight="1" x14ac:dyDescent="0.2">
      <c r="A343" s="731"/>
      <c r="B343" s="2808"/>
      <c r="C343" s="2808"/>
      <c r="D343" s="2809"/>
      <c r="E343" s="2561"/>
      <c r="F343" s="2562"/>
      <c r="G343" s="1015"/>
      <c r="H343" s="524"/>
      <c r="I343" s="1409">
        <f t="shared" si="80"/>
        <v>0</v>
      </c>
      <c r="J343" s="1421">
        <f t="shared" si="81"/>
        <v>0</v>
      </c>
      <c r="K343" s="679"/>
      <c r="L343" s="1002"/>
      <c r="M343" s="1428">
        <f t="shared" si="82"/>
        <v>0</v>
      </c>
      <c r="N343" s="1111"/>
      <c r="O343" s="674">
        <f t="shared" si="83"/>
        <v>0</v>
      </c>
      <c r="P343" s="682"/>
      <c r="Q343" s="286"/>
      <c r="R343" s="287"/>
      <c r="S343" s="280"/>
      <c r="T343" s="280"/>
      <c r="U343" s="280"/>
      <c r="V343" s="280"/>
      <c r="W343" s="280"/>
      <c r="X343" s="280"/>
      <c r="Y343" s="280"/>
      <c r="Z343" s="284"/>
      <c r="AA343" s="284"/>
      <c r="AB343" s="284"/>
      <c r="AC343" s="284"/>
      <c r="AD343" s="284"/>
      <c r="AE343" s="284"/>
      <c r="AF343" s="447"/>
      <c r="AG343" s="447"/>
      <c r="AH343" s="447"/>
      <c r="AI343" s="382"/>
      <c r="AJ343" s="382"/>
      <c r="AK343" s="382"/>
      <c r="AL343" s="382"/>
      <c r="AM343" s="382"/>
      <c r="AN343" s="382"/>
      <c r="AO343" s="382"/>
      <c r="AP343" s="382"/>
      <c r="AQ343" s="382"/>
      <c r="AR343" s="382"/>
      <c r="AS343" s="382"/>
      <c r="AT343" s="382"/>
      <c r="AU343" s="382"/>
      <c r="AV343" s="382"/>
      <c r="AW343" s="382"/>
      <c r="AX343" s="382"/>
      <c r="AY343" s="382"/>
      <c r="AZ343" s="382"/>
      <c r="BA343" s="382"/>
      <c r="BB343" s="382"/>
      <c r="BC343" s="382"/>
      <c r="BD343" s="382"/>
      <c r="BE343" s="382"/>
      <c r="BF343" s="382"/>
      <c r="BG343" s="382"/>
      <c r="BH343" s="382"/>
      <c r="BI343" s="382"/>
      <c r="BJ343" s="382"/>
      <c r="BK343" s="382"/>
      <c r="BL343" s="382"/>
      <c r="BM343" s="382"/>
      <c r="BN343" s="382"/>
      <c r="BO343" s="382"/>
    </row>
    <row r="344" spans="1:67" s="88" customFormat="1" ht="10.55" customHeight="1" x14ac:dyDescent="0.2">
      <c r="A344" s="731"/>
      <c r="B344" s="2808"/>
      <c r="C344" s="2808"/>
      <c r="D344" s="2809"/>
      <c r="E344" s="2561"/>
      <c r="F344" s="2562"/>
      <c r="G344" s="1015"/>
      <c r="H344" s="524"/>
      <c r="I344" s="1409">
        <f t="shared" si="80"/>
        <v>0</v>
      </c>
      <c r="J344" s="1421">
        <f t="shared" si="81"/>
        <v>0</v>
      </c>
      <c r="K344" s="679"/>
      <c r="L344" s="1002"/>
      <c r="M344" s="1428">
        <f t="shared" si="82"/>
        <v>0</v>
      </c>
      <c r="N344" s="1111"/>
      <c r="O344" s="674">
        <f t="shared" si="83"/>
        <v>0</v>
      </c>
      <c r="P344" s="682"/>
      <c r="Q344" s="286"/>
      <c r="R344" s="287"/>
      <c r="S344" s="280"/>
      <c r="T344" s="280"/>
      <c r="U344" s="280"/>
      <c r="V344" s="280"/>
      <c r="W344" s="280"/>
      <c r="X344" s="280"/>
      <c r="Y344" s="280"/>
      <c r="Z344" s="284"/>
      <c r="AA344" s="284"/>
      <c r="AB344" s="284"/>
      <c r="AC344" s="284"/>
      <c r="AD344" s="284"/>
      <c r="AE344" s="284"/>
      <c r="AF344" s="447"/>
      <c r="AG344" s="447"/>
      <c r="AH344" s="447"/>
      <c r="AI344" s="382"/>
      <c r="AJ344" s="382"/>
      <c r="AK344" s="382"/>
      <c r="AL344" s="382"/>
      <c r="AM344" s="382"/>
      <c r="AN344" s="382"/>
      <c r="AO344" s="382"/>
      <c r="AP344" s="382"/>
      <c r="AQ344" s="382"/>
      <c r="AR344" s="382"/>
      <c r="AS344" s="382"/>
      <c r="AT344" s="382"/>
      <c r="AU344" s="382"/>
      <c r="AV344" s="382"/>
      <c r="AW344" s="382"/>
      <c r="AX344" s="382"/>
      <c r="AY344" s="382"/>
      <c r="AZ344" s="382"/>
      <c r="BA344" s="382"/>
      <c r="BB344" s="382"/>
      <c r="BC344" s="382"/>
      <c r="BD344" s="382"/>
      <c r="BE344" s="382"/>
      <c r="BF344" s="382"/>
      <c r="BG344" s="382"/>
      <c r="BH344" s="382"/>
      <c r="BI344" s="382"/>
      <c r="BJ344" s="382"/>
      <c r="BK344" s="382"/>
      <c r="BL344" s="382"/>
      <c r="BM344" s="382"/>
      <c r="BN344" s="382"/>
      <c r="BO344" s="382"/>
    </row>
    <row r="345" spans="1:67" s="88" customFormat="1" ht="10.55" customHeight="1" x14ac:dyDescent="0.2">
      <c r="A345" s="731"/>
      <c r="B345" s="2808"/>
      <c r="C345" s="2808"/>
      <c r="D345" s="2809"/>
      <c r="E345" s="2561"/>
      <c r="F345" s="2562"/>
      <c r="G345" s="1015"/>
      <c r="H345" s="524"/>
      <c r="I345" s="1409">
        <f t="shared" si="80"/>
        <v>0</v>
      </c>
      <c r="J345" s="1421">
        <f t="shared" si="81"/>
        <v>0</v>
      </c>
      <c r="K345" s="679"/>
      <c r="L345" s="1002"/>
      <c r="M345" s="1428">
        <f t="shared" si="82"/>
        <v>0</v>
      </c>
      <c r="N345" s="1111"/>
      <c r="O345" s="674">
        <f t="shared" si="83"/>
        <v>0</v>
      </c>
      <c r="P345" s="682"/>
      <c r="Q345" s="286"/>
      <c r="R345" s="287"/>
      <c r="S345" s="280"/>
      <c r="T345" s="280"/>
      <c r="U345" s="280"/>
      <c r="V345" s="280"/>
      <c r="W345" s="280"/>
      <c r="X345" s="280"/>
      <c r="Y345" s="280"/>
      <c r="Z345" s="284"/>
      <c r="AA345" s="284"/>
      <c r="AB345" s="284"/>
      <c r="AC345" s="284"/>
      <c r="AD345" s="284"/>
      <c r="AE345" s="284"/>
      <c r="AF345" s="447"/>
      <c r="AG345" s="447"/>
      <c r="AH345" s="447"/>
      <c r="AI345" s="382"/>
      <c r="AJ345" s="382"/>
      <c r="AK345" s="382"/>
      <c r="AL345" s="382"/>
      <c r="AM345" s="382"/>
      <c r="AN345" s="382"/>
      <c r="AO345" s="382"/>
      <c r="AP345" s="382"/>
      <c r="AQ345" s="382"/>
      <c r="AR345" s="382"/>
      <c r="AS345" s="382"/>
      <c r="AT345" s="382"/>
      <c r="AU345" s="382"/>
      <c r="AV345" s="382"/>
      <c r="AW345" s="382"/>
      <c r="AX345" s="382"/>
      <c r="AY345" s="382"/>
      <c r="AZ345" s="382"/>
      <c r="BA345" s="382"/>
      <c r="BB345" s="382"/>
      <c r="BC345" s="382"/>
      <c r="BD345" s="382"/>
      <c r="BE345" s="382"/>
      <c r="BF345" s="382"/>
      <c r="BG345" s="382"/>
      <c r="BH345" s="382"/>
      <c r="BI345" s="382"/>
      <c r="BJ345" s="382"/>
      <c r="BK345" s="382"/>
      <c r="BL345" s="382"/>
      <c r="BM345" s="382"/>
      <c r="BN345" s="382"/>
      <c r="BO345" s="382"/>
    </row>
    <row r="346" spans="1:67" s="88" customFormat="1" ht="10.55" customHeight="1" x14ac:dyDescent="0.2">
      <c r="A346" s="1028"/>
      <c r="B346" s="1301"/>
      <c r="C346" s="1301"/>
      <c r="D346" s="1302"/>
      <c r="E346" s="2793"/>
      <c r="F346" s="2794"/>
      <c r="G346" s="1086"/>
      <c r="H346" s="1087"/>
      <c r="I346" s="1437">
        <f t="shared" si="80"/>
        <v>0</v>
      </c>
      <c r="J346" s="1413"/>
      <c r="K346" s="1088"/>
      <c r="L346" s="1089"/>
      <c r="M346" s="1431">
        <f t="shared" si="82"/>
        <v>0</v>
      </c>
      <c r="N346" s="1111"/>
      <c r="O346" s="674">
        <f t="shared" si="83"/>
        <v>0</v>
      </c>
      <c r="P346" s="682"/>
      <c r="Q346" s="286"/>
      <c r="R346" s="287"/>
      <c r="S346" s="280"/>
      <c r="T346" s="280"/>
      <c r="U346" s="280"/>
      <c r="V346" s="280"/>
      <c r="W346" s="280"/>
      <c r="X346" s="280"/>
      <c r="Y346" s="280"/>
      <c r="Z346" s="284"/>
      <c r="AA346" s="284"/>
      <c r="AB346" s="284"/>
      <c r="AC346" s="284"/>
      <c r="AD346" s="284"/>
      <c r="AE346" s="284"/>
      <c r="AF346" s="447"/>
      <c r="AG346" s="447"/>
      <c r="AH346" s="447"/>
      <c r="AI346" s="382"/>
      <c r="AJ346" s="382"/>
      <c r="AK346" s="382"/>
      <c r="AL346" s="382"/>
      <c r="AM346" s="382"/>
      <c r="AN346" s="382"/>
      <c r="AO346" s="382"/>
      <c r="AP346" s="382"/>
      <c r="AQ346" s="382"/>
      <c r="AR346" s="382"/>
      <c r="AS346" s="382"/>
      <c r="AT346" s="382"/>
      <c r="AU346" s="382"/>
      <c r="AV346" s="382"/>
      <c r="AW346" s="382"/>
      <c r="AX346" s="382"/>
      <c r="AY346" s="382"/>
      <c r="AZ346" s="382"/>
      <c r="BA346" s="382"/>
      <c r="BB346" s="382"/>
      <c r="BC346" s="382"/>
      <c r="BD346" s="382"/>
      <c r="BE346" s="382"/>
      <c r="BF346" s="382"/>
      <c r="BG346" s="382"/>
      <c r="BH346" s="382"/>
      <c r="BI346" s="382"/>
      <c r="BJ346" s="382"/>
      <c r="BK346" s="382"/>
      <c r="BL346" s="382"/>
      <c r="BM346" s="382"/>
      <c r="BN346" s="382"/>
      <c r="BO346" s="382"/>
    </row>
    <row r="347" spans="1:67" s="88" customFormat="1" ht="10.55" customHeight="1" x14ac:dyDescent="0.2">
      <c r="A347" s="1122" t="s">
        <v>431</v>
      </c>
      <c r="B347" s="2783"/>
      <c r="C347" s="2784"/>
      <c r="D347" s="2785"/>
      <c r="E347" s="2810">
        <f>SUM(E348:E360)</f>
        <v>0</v>
      </c>
      <c r="F347" s="2811"/>
      <c r="G347" s="2747"/>
      <c r="H347" s="2748"/>
      <c r="I347" s="1435">
        <f>IF(E347=0,0,J347/E347)</f>
        <v>0</v>
      </c>
      <c r="J347" s="1423">
        <f>SUM(J348:J360)</f>
        <v>0</v>
      </c>
      <c r="K347" s="2749"/>
      <c r="L347" s="2750"/>
      <c r="M347" s="1430">
        <f t="shared" si="82"/>
        <v>0</v>
      </c>
      <c r="N347" s="1111"/>
      <c r="O347" s="387">
        <f>IF(H347="",G347,H347)</f>
        <v>0</v>
      </c>
      <c r="P347" s="682"/>
      <c r="Q347" s="286"/>
      <c r="R347" s="287"/>
      <c r="S347" s="280"/>
      <c r="T347" s="280"/>
      <c r="U347" s="280"/>
      <c r="V347" s="280"/>
      <c r="W347" s="280"/>
      <c r="X347" s="280"/>
      <c r="Y347" s="280"/>
      <c r="Z347" s="284"/>
      <c r="AA347" s="284"/>
      <c r="AB347" s="284"/>
      <c r="AC347" s="284"/>
      <c r="AD347" s="284"/>
      <c r="AE347" s="284"/>
      <c r="AF347" s="447"/>
      <c r="AG347" s="447"/>
      <c r="AH347" s="447"/>
      <c r="AI347" s="382"/>
      <c r="AJ347" s="382"/>
      <c r="AK347" s="382"/>
      <c r="AL347" s="382"/>
      <c r="AM347" s="382"/>
      <c r="AN347" s="382"/>
      <c r="AO347" s="382"/>
      <c r="AP347" s="382"/>
      <c r="AQ347" s="382"/>
      <c r="AR347" s="382"/>
      <c r="AS347" s="382"/>
      <c r="AT347" s="382"/>
      <c r="AU347" s="382"/>
      <c r="AV347" s="382"/>
      <c r="AW347" s="382"/>
      <c r="AX347" s="382"/>
      <c r="AY347" s="382"/>
      <c r="AZ347" s="382"/>
      <c r="BA347" s="382"/>
      <c r="BB347" s="382"/>
      <c r="BC347" s="382"/>
      <c r="BD347" s="382"/>
      <c r="BE347" s="382"/>
      <c r="BF347" s="382"/>
      <c r="BG347" s="382"/>
      <c r="BH347" s="382"/>
      <c r="BI347" s="382"/>
      <c r="BJ347" s="382"/>
      <c r="BK347" s="382"/>
      <c r="BL347" s="382"/>
      <c r="BM347" s="382"/>
      <c r="BN347" s="382"/>
      <c r="BO347" s="382"/>
    </row>
    <row r="348" spans="1:67" s="88" customFormat="1" ht="10.55" customHeight="1" x14ac:dyDescent="0.2">
      <c r="A348" s="1029" t="s">
        <v>510</v>
      </c>
      <c r="B348" s="2881"/>
      <c r="C348" s="2882"/>
      <c r="D348" s="2883"/>
      <c r="E348" s="2816">
        <f>IF(E350=0,ROUND(E375,-2),0)</f>
        <v>0</v>
      </c>
      <c r="F348" s="2817" t="e">
        <f>IF(F350=0,ROUND(#REF!,-2),0)</f>
        <v>#REF!</v>
      </c>
      <c r="G348" s="1785">
        <v>20</v>
      </c>
      <c r="H348" s="524"/>
      <c r="I348" s="1440">
        <f t="shared" ref="I348:I360" si="84">IF($O348&gt;0,-PMT(($I$9),$O348,1),0)</f>
        <v>6.4147128734474465E-2</v>
      </c>
      <c r="J348" s="1426">
        <f t="shared" ref="J348:J360" si="85">ROUND(E348*I348,0)</f>
        <v>0</v>
      </c>
      <c r="K348" s="733"/>
      <c r="L348" s="734"/>
      <c r="M348" s="1433">
        <f t="shared" si="82"/>
        <v>0</v>
      </c>
      <c r="N348" s="1111"/>
      <c r="O348" s="674">
        <f t="shared" ref="O348:O356" si="86">IF(ISBLANK(H348),G348,H348)</f>
        <v>20</v>
      </c>
      <c r="P348" s="682"/>
      <c r="Q348" s="286"/>
      <c r="R348" s="287"/>
      <c r="S348" s="280"/>
      <c r="T348" s="280"/>
      <c r="U348" s="280"/>
      <c r="V348" s="280"/>
      <c r="W348" s="280"/>
      <c r="X348" s="280"/>
      <c r="Y348" s="280"/>
      <c r="Z348" s="284"/>
      <c r="AA348" s="284"/>
      <c r="AB348" s="284"/>
      <c r="AC348" s="284"/>
      <c r="AD348" s="284"/>
      <c r="AE348" s="284"/>
      <c r="AF348" s="447"/>
      <c r="AG348" s="447"/>
      <c r="AH348" s="447"/>
      <c r="AI348" s="382"/>
      <c r="AJ348" s="382"/>
      <c r="AK348" s="382"/>
      <c r="AL348" s="382"/>
      <c r="AM348" s="382"/>
      <c r="AN348" s="382"/>
      <c r="AO348" s="382"/>
      <c r="AP348" s="382"/>
      <c r="AQ348" s="382"/>
      <c r="AR348" s="382"/>
      <c r="AS348" s="382"/>
      <c r="AT348" s="382"/>
      <c r="AU348" s="382"/>
      <c r="AV348" s="382"/>
      <c r="AW348" s="382"/>
      <c r="AX348" s="382"/>
      <c r="AY348" s="382"/>
      <c r="AZ348" s="382"/>
      <c r="BA348" s="382"/>
      <c r="BB348" s="382"/>
      <c r="BC348" s="382"/>
      <c r="BD348" s="382"/>
      <c r="BE348" s="382"/>
      <c r="BF348" s="382"/>
      <c r="BG348" s="382"/>
      <c r="BH348" s="382"/>
      <c r="BI348" s="382"/>
      <c r="BJ348" s="382"/>
      <c r="BK348" s="382"/>
      <c r="BL348" s="382"/>
      <c r="BM348" s="382"/>
      <c r="BN348" s="382"/>
      <c r="BO348" s="382"/>
    </row>
    <row r="349" spans="1:67" s="88" customFormat="1" ht="10.55" customHeight="1" x14ac:dyDescent="0.2">
      <c r="A349" s="1030" t="s">
        <v>511</v>
      </c>
      <c r="B349" s="2818"/>
      <c r="C349" s="2819"/>
      <c r="D349" s="2820"/>
      <c r="E349" s="2751">
        <f>IF(E351=0,ROUND(E388,-2),0)</f>
        <v>0</v>
      </c>
      <c r="F349" s="2752">
        <f>IF(F351=0,ROUND(F406,-2),0)</f>
        <v>0</v>
      </c>
      <c r="G349" s="1785">
        <v>20</v>
      </c>
      <c r="H349" s="524"/>
      <c r="I349" s="1441">
        <f t="shared" si="84"/>
        <v>6.4147128734474465E-2</v>
      </c>
      <c r="J349" s="1427">
        <f t="shared" si="85"/>
        <v>0</v>
      </c>
      <c r="K349" s="684"/>
      <c r="L349" s="685"/>
      <c r="M349" s="1434">
        <f t="shared" si="82"/>
        <v>0</v>
      </c>
      <c r="N349" s="1111"/>
      <c r="O349" s="674">
        <f t="shared" si="86"/>
        <v>20</v>
      </c>
      <c r="P349" s="682"/>
      <c r="Q349" s="286"/>
      <c r="R349" s="287"/>
      <c r="S349" s="280"/>
      <c r="T349" s="280"/>
      <c r="U349" s="280"/>
      <c r="V349" s="280"/>
      <c r="W349" s="280"/>
      <c r="X349" s="280"/>
      <c r="Y349" s="280"/>
      <c r="Z349" s="284"/>
      <c r="AA349" s="284"/>
      <c r="AB349" s="284"/>
      <c r="AC349" s="284"/>
      <c r="AD349" s="284"/>
      <c r="AE349" s="284"/>
      <c r="AF349" s="447"/>
      <c r="AG349" s="447"/>
      <c r="AH349" s="447"/>
      <c r="AI349" s="382"/>
      <c r="AJ349" s="382"/>
      <c r="AK349" s="382"/>
      <c r="AL349" s="382"/>
      <c r="AM349" s="382"/>
      <c r="AN349" s="382"/>
      <c r="AO349" s="382"/>
      <c r="AP349" s="382"/>
      <c r="AQ349" s="382"/>
      <c r="AR349" s="382"/>
      <c r="AS349" s="382"/>
      <c r="AT349" s="382"/>
      <c r="AU349" s="382"/>
      <c r="AV349" s="382"/>
      <c r="AW349" s="382"/>
      <c r="AX349" s="382"/>
      <c r="AY349" s="382"/>
      <c r="AZ349" s="382"/>
      <c r="BA349" s="382"/>
      <c r="BB349" s="382"/>
      <c r="BC349" s="382"/>
      <c r="BD349" s="382"/>
      <c r="BE349" s="382"/>
      <c r="BF349" s="382"/>
      <c r="BG349" s="382"/>
      <c r="BH349" s="382"/>
      <c r="BI349" s="382"/>
      <c r="BJ349" s="382"/>
      <c r="BK349" s="382"/>
      <c r="BL349" s="382"/>
      <c r="BM349" s="382"/>
      <c r="BN349" s="382"/>
      <c r="BO349" s="382"/>
    </row>
    <row r="350" spans="1:67" s="88" customFormat="1" ht="10.55" customHeight="1" x14ac:dyDescent="0.2">
      <c r="A350" s="1030" t="s">
        <v>432</v>
      </c>
      <c r="B350" s="2818"/>
      <c r="C350" s="2819"/>
      <c r="D350" s="2820"/>
      <c r="E350" s="2751">
        <f>E398</f>
        <v>0</v>
      </c>
      <c r="F350" s="2752"/>
      <c r="G350" s="1785">
        <v>20</v>
      </c>
      <c r="H350" s="524"/>
      <c r="I350" s="1441">
        <f t="shared" si="84"/>
        <v>6.4147128734474465E-2</v>
      </c>
      <c r="J350" s="1427">
        <f t="shared" si="85"/>
        <v>0</v>
      </c>
      <c r="K350" s="684"/>
      <c r="L350" s="685"/>
      <c r="M350" s="1434">
        <f t="shared" si="82"/>
        <v>0</v>
      </c>
      <c r="N350" s="1111"/>
      <c r="O350" s="674">
        <f t="shared" si="86"/>
        <v>20</v>
      </c>
      <c r="P350" s="682"/>
      <c r="Q350" s="286"/>
      <c r="R350" s="287"/>
      <c r="S350" s="280"/>
      <c r="T350" s="280"/>
      <c r="U350" s="280"/>
      <c r="V350" s="280"/>
      <c r="W350" s="280"/>
      <c r="X350" s="280"/>
      <c r="Y350" s="280"/>
      <c r="Z350" s="284"/>
      <c r="AA350" s="284"/>
      <c r="AB350" s="284"/>
      <c r="AC350" s="284"/>
      <c r="AD350" s="284"/>
      <c r="AE350" s="284"/>
      <c r="AF350" s="447"/>
      <c r="AG350" s="447"/>
      <c r="AH350" s="447"/>
      <c r="AI350" s="382"/>
      <c r="AJ350" s="382"/>
      <c r="AK350" s="382"/>
      <c r="AL350" s="382"/>
      <c r="AM350" s="382"/>
      <c r="AN350" s="382"/>
      <c r="AO350" s="382"/>
      <c r="AP350" s="382"/>
      <c r="AQ350" s="382"/>
      <c r="AR350" s="382"/>
      <c r="AS350" s="382"/>
      <c r="AT350" s="382"/>
      <c r="AU350" s="382"/>
      <c r="AV350" s="382"/>
      <c r="AW350" s="382"/>
      <c r="AX350" s="382"/>
      <c r="AY350" s="382"/>
      <c r="AZ350" s="382"/>
      <c r="BA350" s="382"/>
      <c r="BB350" s="382"/>
      <c r="BC350" s="382"/>
      <c r="BD350" s="382"/>
      <c r="BE350" s="382"/>
      <c r="BF350" s="382"/>
      <c r="BG350" s="382"/>
      <c r="BH350" s="382"/>
      <c r="BI350" s="382"/>
      <c r="BJ350" s="382"/>
      <c r="BK350" s="382"/>
      <c r="BL350" s="382"/>
      <c r="BM350" s="382"/>
      <c r="BN350" s="382"/>
      <c r="BO350" s="382"/>
    </row>
    <row r="351" spans="1:67" s="88" customFormat="1" ht="10.55" customHeight="1" x14ac:dyDescent="0.2">
      <c r="A351" s="1030" t="s">
        <v>433</v>
      </c>
      <c r="B351" s="2818"/>
      <c r="C351" s="2819"/>
      <c r="D351" s="2820"/>
      <c r="E351" s="2751">
        <f>E406</f>
        <v>0</v>
      </c>
      <c r="F351" s="2752"/>
      <c r="G351" s="1785">
        <v>20</v>
      </c>
      <c r="H351" s="524"/>
      <c r="I351" s="1441">
        <f t="shared" si="84"/>
        <v>6.4147128734474465E-2</v>
      </c>
      <c r="J351" s="1427">
        <f t="shared" si="85"/>
        <v>0</v>
      </c>
      <c r="K351" s="684"/>
      <c r="L351" s="685"/>
      <c r="M351" s="1434">
        <f t="shared" si="82"/>
        <v>0</v>
      </c>
      <c r="N351" s="1111"/>
      <c r="O351" s="674">
        <f t="shared" si="86"/>
        <v>20</v>
      </c>
      <c r="P351" s="682"/>
      <c r="Q351" s="286"/>
      <c r="R351" s="287"/>
      <c r="S351" s="280"/>
      <c r="T351" s="280"/>
      <c r="U351" s="280"/>
      <c r="V351" s="280"/>
      <c r="W351" s="280"/>
      <c r="X351" s="280"/>
      <c r="Y351" s="280"/>
      <c r="Z351" s="284"/>
      <c r="AA351" s="284"/>
      <c r="AB351" s="284"/>
      <c r="AC351" s="284"/>
      <c r="AD351" s="284"/>
      <c r="AE351" s="284"/>
      <c r="AF351" s="447"/>
      <c r="AG351" s="447"/>
      <c r="AH351" s="447"/>
      <c r="AI351" s="382"/>
      <c r="AJ351" s="382"/>
      <c r="AK351" s="382"/>
      <c r="AL351" s="382"/>
      <c r="AM351" s="382"/>
      <c r="AN351" s="382"/>
      <c r="AO351" s="382"/>
      <c r="AP351" s="382"/>
      <c r="AQ351" s="382"/>
      <c r="AR351" s="382"/>
      <c r="AS351" s="382"/>
      <c r="AT351" s="382"/>
      <c r="AU351" s="382"/>
      <c r="AV351" s="382"/>
      <c r="AW351" s="382"/>
      <c r="AX351" s="382"/>
      <c r="AY351" s="382"/>
      <c r="AZ351" s="382"/>
      <c r="BA351" s="382"/>
      <c r="BB351" s="382"/>
      <c r="BC351" s="382"/>
      <c r="BD351" s="382"/>
      <c r="BE351" s="382"/>
      <c r="BF351" s="382"/>
      <c r="BG351" s="382"/>
      <c r="BH351" s="382"/>
      <c r="BI351" s="382"/>
      <c r="BJ351" s="382"/>
      <c r="BK351" s="382"/>
      <c r="BL351" s="382"/>
      <c r="BM351" s="382"/>
      <c r="BN351" s="382"/>
      <c r="BO351" s="382"/>
    </row>
    <row r="352" spans="1:67" s="88" customFormat="1" ht="10.55" customHeight="1" x14ac:dyDescent="0.2">
      <c r="A352" s="1030" t="s">
        <v>490</v>
      </c>
      <c r="B352" s="2818"/>
      <c r="C352" s="2819"/>
      <c r="D352" s="2820"/>
      <c r="E352" s="2561"/>
      <c r="F352" s="2562"/>
      <c r="G352" s="1785">
        <v>20</v>
      </c>
      <c r="H352" s="524"/>
      <c r="I352" s="1441">
        <f t="shared" si="84"/>
        <v>6.4147128734474465E-2</v>
      </c>
      <c r="J352" s="1427">
        <f t="shared" si="85"/>
        <v>0</v>
      </c>
      <c r="K352" s="684"/>
      <c r="L352" s="685"/>
      <c r="M352" s="1434">
        <f t="shared" si="82"/>
        <v>0</v>
      </c>
      <c r="N352" s="1111"/>
      <c r="O352" s="674">
        <f t="shared" si="86"/>
        <v>20</v>
      </c>
      <c r="P352" s="682"/>
      <c r="Q352" s="286"/>
      <c r="R352" s="287"/>
      <c r="S352" s="280"/>
      <c r="T352" s="280"/>
      <c r="U352" s="280"/>
      <c r="V352" s="280"/>
      <c r="W352" s="280"/>
      <c r="X352" s="280"/>
      <c r="Y352" s="280"/>
      <c r="Z352" s="284"/>
      <c r="AA352" s="284"/>
      <c r="AB352" s="284"/>
      <c r="AC352" s="284"/>
      <c r="AD352" s="284"/>
      <c r="AE352" s="284"/>
      <c r="AF352" s="447"/>
      <c r="AG352" s="447"/>
      <c r="AH352" s="447"/>
      <c r="AI352" s="382"/>
      <c r="AJ352" s="382"/>
      <c r="AK352" s="382"/>
      <c r="AL352" s="382"/>
      <c r="AM352" s="382"/>
      <c r="AN352" s="382"/>
      <c r="AO352" s="382"/>
      <c r="AP352" s="382"/>
      <c r="AQ352" s="382"/>
      <c r="AR352" s="382"/>
      <c r="AS352" s="382"/>
      <c r="AT352" s="382"/>
      <c r="AU352" s="382"/>
      <c r="AV352" s="382"/>
      <c r="AW352" s="382"/>
      <c r="AX352" s="382"/>
      <c r="AY352" s="382"/>
      <c r="AZ352" s="382"/>
      <c r="BA352" s="382"/>
      <c r="BB352" s="382"/>
      <c r="BC352" s="382"/>
      <c r="BD352" s="382"/>
      <c r="BE352" s="382"/>
      <c r="BF352" s="382"/>
      <c r="BG352" s="382"/>
      <c r="BH352" s="382"/>
      <c r="BI352" s="382"/>
      <c r="BJ352" s="382"/>
      <c r="BK352" s="382"/>
      <c r="BL352" s="382"/>
      <c r="BM352" s="382"/>
      <c r="BN352" s="382"/>
      <c r="BO352" s="382"/>
    </row>
    <row r="353" spans="1:67" s="88" customFormat="1" ht="10.55" customHeight="1" x14ac:dyDescent="0.2">
      <c r="A353" s="1030" t="s">
        <v>512</v>
      </c>
      <c r="B353" s="2818"/>
      <c r="C353" s="2819"/>
      <c r="D353" s="2820"/>
      <c r="E353" s="2561"/>
      <c r="F353" s="2562"/>
      <c r="G353" s="1785">
        <v>20</v>
      </c>
      <c r="H353" s="524"/>
      <c r="I353" s="1441">
        <f t="shared" si="84"/>
        <v>6.4147128734474465E-2</v>
      </c>
      <c r="J353" s="1427">
        <f t="shared" si="85"/>
        <v>0</v>
      </c>
      <c r="K353" s="684"/>
      <c r="L353" s="685"/>
      <c r="M353" s="1434">
        <f t="shared" si="82"/>
        <v>0</v>
      </c>
      <c r="N353" s="1111"/>
      <c r="O353" s="674">
        <f t="shared" si="86"/>
        <v>20</v>
      </c>
      <c r="P353" s="682"/>
      <c r="Q353" s="286"/>
      <c r="R353" s="287"/>
      <c r="S353" s="280"/>
      <c r="T353" s="280"/>
      <c r="U353" s="280"/>
      <c r="V353" s="280"/>
      <c r="W353" s="280"/>
      <c r="X353" s="280"/>
      <c r="Y353" s="280"/>
      <c r="Z353" s="284"/>
      <c r="AA353" s="284"/>
      <c r="AB353" s="284"/>
      <c r="AC353" s="284"/>
      <c r="AD353" s="284"/>
      <c r="AE353" s="284"/>
      <c r="AF353" s="447"/>
      <c r="AG353" s="447"/>
      <c r="AH353" s="447"/>
      <c r="AI353" s="382"/>
      <c r="AJ353" s="382"/>
      <c r="AK353" s="382"/>
      <c r="AL353" s="382"/>
      <c r="AM353" s="382"/>
      <c r="AN353" s="382"/>
      <c r="AO353" s="382"/>
      <c r="AP353" s="382"/>
      <c r="AQ353" s="382"/>
      <c r="AR353" s="382"/>
      <c r="AS353" s="382"/>
      <c r="AT353" s="382"/>
      <c r="AU353" s="382"/>
      <c r="AV353" s="382"/>
      <c r="AW353" s="382"/>
      <c r="AX353" s="382"/>
      <c r="AY353" s="382"/>
      <c r="AZ353" s="382"/>
      <c r="BA353" s="382"/>
      <c r="BB353" s="382"/>
      <c r="BC353" s="382"/>
      <c r="BD353" s="382"/>
      <c r="BE353" s="382"/>
      <c r="BF353" s="382"/>
      <c r="BG353" s="382"/>
      <c r="BH353" s="382"/>
      <c r="BI353" s="382"/>
      <c r="BJ353" s="382"/>
      <c r="BK353" s="382"/>
      <c r="BL353" s="382"/>
      <c r="BM353" s="382"/>
      <c r="BN353" s="382"/>
      <c r="BO353" s="382"/>
    </row>
    <row r="354" spans="1:67" s="88" customFormat="1" ht="10.55" customHeight="1" x14ac:dyDescent="0.2">
      <c r="A354" s="1030" t="s">
        <v>434</v>
      </c>
      <c r="B354" s="2818"/>
      <c r="C354" s="2819"/>
      <c r="D354" s="2820"/>
      <c r="E354" s="2561"/>
      <c r="F354" s="2562"/>
      <c r="G354" s="1785">
        <v>20</v>
      </c>
      <c r="H354" s="524"/>
      <c r="I354" s="1441">
        <f t="shared" si="84"/>
        <v>6.4147128734474465E-2</v>
      </c>
      <c r="J354" s="1427">
        <f t="shared" si="85"/>
        <v>0</v>
      </c>
      <c r="K354" s="684"/>
      <c r="L354" s="685"/>
      <c r="M354" s="1434">
        <f t="shared" si="82"/>
        <v>0</v>
      </c>
      <c r="N354" s="1111"/>
      <c r="O354" s="674">
        <f t="shared" si="86"/>
        <v>20</v>
      </c>
      <c r="P354" s="682"/>
      <c r="Q354" s="286"/>
      <c r="R354" s="287"/>
      <c r="S354" s="280"/>
      <c r="T354" s="280"/>
      <c r="U354" s="280"/>
      <c r="V354" s="280"/>
      <c r="W354" s="280"/>
      <c r="X354" s="280"/>
      <c r="Y354" s="280"/>
      <c r="Z354" s="284"/>
      <c r="AA354" s="284"/>
      <c r="AB354" s="284"/>
      <c r="AC354" s="284"/>
      <c r="AD354" s="284"/>
      <c r="AE354" s="284"/>
      <c r="AF354" s="447"/>
      <c r="AG354" s="447"/>
      <c r="AH354" s="447"/>
      <c r="AI354" s="382"/>
      <c r="AJ354" s="382"/>
      <c r="AK354" s="382"/>
      <c r="AL354" s="382"/>
      <c r="AM354" s="382"/>
      <c r="AN354" s="382"/>
      <c r="AO354" s="382"/>
      <c r="AP354" s="382"/>
      <c r="AQ354" s="382"/>
      <c r="AR354" s="382"/>
      <c r="AS354" s="382"/>
      <c r="AT354" s="382"/>
      <c r="AU354" s="382"/>
      <c r="AV354" s="382"/>
      <c r="AW354" s="382"/>
      <c r="AX354" s="382"/>
      <c r="AY354" s="382"/>
      <c r="AZ354" s="382"/>
      <c r="BA354" s="382"/>
      <c r="BB354" s="382"/>
      <c r="BC354" s="382"/>
      <c r="BD354" s="382"/>
      <c r="BE354" s="382"/>
      <c r="BF354" s="382"/>
      <c r="BG354" s="382"/>
      <c r="BH354" s="382"/>
      <c r="BI354" s="382"/>
      <c r="BJ354" s="382"/>
      <c r="BK354" s="382"/>
      <c r="BL354" s="382"/>
      <c r="BM354" s="382"/>
      <c r="BN354" s="382"/>
      <c r="BO354" s="382"/>
    </row>
    <row r="355" spans="1:67" s="88" customFormat="1" ht="10.55" customHeight="1" x14ac:dyDescent="0.2">
      <c r="A355" s="1030" t="s">
        <v>513</v>
      </c>
      <c r="B355" s="2818"/>
      <c r="C355" s="2819"/>
      <c r="D355" s="2820"/>
      <c r="E355" s="2561"/>
      <c r="F355" s="2562"/>
      <c r="G355" s="1785">
        <v>20</v>
      </c>
      <c r="H355" s="524"/>
      <c r="I355" s="1441">
        <f t="shared" si="84"/>
        <v>6.4147128734474465E-2</v>
      </c>
      <c r="J355" s="1427">
        <f t="shared" si="85"/>
        <v>0</v>
      </c>
      <c r="K355" s="684"/>
      <c r="L355" s="685"/>
      <c r="M355" s="1434">
        <f t="shared" si="82"/>
        <v>0</v>
      </c>
      <c r="N355" s="1111"/>
      <c r="O355" s="674">
        <f t="shared" si="86"/>
        <v>20</v>
      </c>
      <c r="P355" s="682"/>
      <c r="Q355" s="286"/>
      <c r="R355" s="287"/>
      <c r="S355" s="280"/>
      <c r="T355" s="280"/>
      <c r="U355" s="280"/>
      <c r="V355" s="280"/>
      <c r="W355" s="280"/>
      <c r="X355" s="280"/>
      <c r="Y355" s="280"/>
      <c r="Z355" s="284"/>
      <c r="AA355" s="284"/>
      <c r="AB355" s="284"/>
      <c r="AC355" s="284"/>
      <c r="AD355" s="284"/>
      <c r="AE355" s="284"/>
      <c r="AF355" s="447"/>
      <c r="AG355" s="447"/>
      <c r="AH355" s="447"/>
      <c r="AI355" s="382"/>
      <c r="AJ355" s="382"/>
      <c r="AK355" s="382"/>
      <c r="AL355" s="382"/>
      <c r="AM355" s="382"/>
      <c r="AN355" s="382"/>
      <c r="AO355" s="382"/>
      <c r="AP355" s="382"/>
      <c r="AQ355" s="382"/>
      <c r="AR355" s="382"/>
      <c r="AS355" s="382"/>
      <c r="AT355" s="382"/>
      <c r="AU355" s="382"/>
      <c r="AV355" s="382"/>
      <c r="AW355" s="382"/>
      <c r="AX355" s="382"/>
      <c r="AY355" s="382"/>
      <c r="AZ355" s="382"/>
      <c r="BA355" s="382"/>
      <c r="BB355" s="382"/>
      <c r="BC355" s="382"/>
      <c r="BD355" s="382"/>
      <c r="BE355" s="382"/>
      <c r="BF355" s="382"/>
      <c r="BG355" s="382"/>
      <c r="BH355" s="382"/>
      <c r="BI355" s="382"/>
      <c r="BJ355" s="382"/>
      <c r="BK355" s="382"/>
      <c r="BL355" s="382"/>
      <c r="BM355" s="382"/>
      <c r="BN355" s="382"/>
      <c r="BO355" s="382"/>
    </row>
    <row r="356" spans="1:67" s="88" customFormat="1" ht="10.55" customHeight="1" x14ac:dyDescent="0.2">
      <c r="A356" s="1030" t="s">
        <v>435</v>
      </c>
      <c r="B356" s="2818"/>
      <c r="C356" s="2819"/>
      <c r="D356" s="2820"/>
      <c r="E356" s="2561"/>
      <c r="F356" s="2562"/>
      <c r="G356" s="1785">
        <v>20</v>
      </c>
      <c r="H356" s="524"/>
      <c r="I356" s="1441">
        <f t="shared" si="84"/>
        <v>6.4147128734474465E-2</v>
      </c>
      <c r="J356" s="1427">
        <f t="shared" si="85"/>
        <v>0</v>
      </c>
      <c r="K356" s="684"/>
      <c r="L356" s="685"/>
      <c r="M356" s="1434">
        <f t="shared" si="82"/>
        <v>0</v>
      </c>
      <c r="N356" s="1111"/>
      <c r="O356" s="674">
        <f t="shared" si="86"/>
        <v>20</v>
      </c>
      <c r="P356" s="682"/>
      <c r="Q356" s="286"/>
      <c r="R356" s="287"/>
      <c r="S356" s="280"/>
      <c r="T356" s="280"/>
      <c r="U356" s="280"/>
      <c r="V356" s="280"/>
      <c r="W356" s="280"/>
      <c r="X356" s="280"/>
      <c r="Y356" s="280"/>
      <c r="Z356" s="284"/>
      <c r="AA356" s="284"/>
      <c r="AB356" s="284"/>
      <c r="AC356" s="284"/>
      <c r="AD356" s="284"/>
      <c r="AE356" s="284"/>
      <c r="AF356" s="447"/>
      <c r="AG356" s="447"/>
      <c r="AH356" s="447"/>
      <c r="AI356" s="382"/>
      <c r="AJ356" s="382"/>
      <c r="AK356" s="382"/>
      <c r="AL356" s="382"/>
      <c r="AM356" s="382"/>
      <c r="AN356" s="382"/>
      <c r="AO356" s="382"/>
      <c r="AP356" s="382"/>
      <c r="AQ356" s="382"/>
      <c r="AR356" s="382"/>
      <c r="AS356" s="382"/>
      <c r="AT356" s="382"/>
      <c r="AU356" s="382"/>
      <c r="AV356" s="382"/>
      <c r="AW356" s="382"/>
      <c r="AX356" s="382"/>
      <c r="AY356" s="382"/>
      <c r="AZ356" s="382"/>
      <c r="BA356" s="382"/>
      <c r="BB356" s="382"/>
      <c r="BC356" s="382"/>
      <c r="BD356" s="382"/>
      <c r="BE356" s="382"/>
      <c r="BF356" s="382"/>
      <c r="BG356" s="382"/>
      <c r="BH356" s="382"/>
      <c r="BI356" s="382"/>
      <c r="BJ356" s="382"/>
      <c r="BK356" s="382"/>
      <c r="BL356" s="382"/>
      <c r="BM356" s="382"/>
      <c r="BN356" s="382"/>
      <c r="BO356" s="382"/>
    </row>
    <row r="357" spans="1:67" s="88" customFormat="1" ht="10.55" customHeight="1" x14ac:dyDescent="0.2">
      <c r="A357" s="1030" t="s">
        <v>436</v>
      </c>
      <c r="B357" s="2818"/>
      <c r="C357" s="2819"/>
      <c r="D357" s="2820"/>
      <c r="E357" s="2561"/>
      <c r="F357" s="2562"/>
      <c r="G357" s="1785">
        <v>20</v>
      </c>
      <c r="H357" s="524"/>
      <c r="I357" s="1441">
        <f t="shared" si="84"/>
        <v>6.4147128734474465E-2</v>
      </c>
      <c r="J357" s="1427">
        <f t="shared" si="85"/>
        <v>0</v>
      </c>
      <c r="K357" s="684"/>
      <c r="L357" s="685"/>
      <c r="M357" s="1434">
        <f t="shared" si="82"/>
        <v>0</v>
      </c>
      <c r="N357" s="1111"/>
      <c r="O357" s="674">
        <f>IF(ISBLANK(H357),G357,H357)</f>
        <v>20</v>
      </c>
      <c r="P357" s="682"/>
      <c r="Q357" s="286"/>
      <c r="R357" s="287"/>
      <c r="S357" s="280"/>
      <c r="T357" s="280"/>
      <c r="U357" s="280"/>
      <c r="V357" s="280"/>
      <c r="W357" s="280"/>
      <c r="X357" s="280"/>
      <c r="Y357" s="280"/>
      <c r="Z357" s="284"/>
      <c r="AA357" s="284"/>
      <c r="AB357" s="284"/>
      <c r="AC357" s="284"/>
      <c r="AD357" s="284"/>
      <c r="AE357" s="284"/>
      <c r="AF357" s="447"/>
      <c r="AG357" s="447"/>
      <c r="AH357" s="447"/>
      <c r="AI357" s="382"/>
      <c r="AJ357" s="382"/>
      <c r="AK357" s="382"/>
      <c r="AL357" s="382"/>
      <c r="AM357" s="382"/>
      <c r="AN357" s="382"/>
      <c r="AO357" s="382"/>
      <c r="AP357" s="382"/>
      <c r="AQ357" s="382"/>
      <c r="AR357" s="382"/>
      <c r="AS357" s="382"/>
      <c r="AT357" s="382"/>
      <c r="AU357" s="382"/>
      <c r="AV357" s="382"/>
      <c r="AW357" s="382"/>
      <c r="AX357" s="382"/>
      <c r="AY357" s="382"/>
      <c r="AZ357" s="382"/>
      <c r="BA357" s="382"/>
      <c r="BB357" s="382"/>
      <c r="BC357" s="382"/>
      <c r="BD357" s="382"/>
      <c r="BE357" s="382"/>
      <c r="BF357" s="382"/>
      <c r="BG357" s="382"/>
      <c r="BH357" s="382"/>
      <c r="BI357" s="382"/>
      <c r="BJ357" s="382"/>
      <c r="BK357" s="382"/>
      <c r="BL357" s="382"/>
      <c r="BM357" s="382"/>
      <c r="BN357" s="382"/>
      <c r="BO357" s="382"/>
    </row>
    <row r="358" spans="1:67" s="88" customFormat="1" ht="10.55" customHeight="1" x14ac:dyDescent="0.2">
      <c r="A358" s="1030" t="s">
        <v>437</v>
      </c>
      <c r="B358" s="2818"/>
      <c r="C358" s="2819"/>
      <c r="D358" s="2820"/>
      <c r="E358" s="2561"/>
      <c r="F358" s="2562"/>
      <c r="G358" s="1785">
        <v>20</v>
      </c>
      <c r="H358" s="524"/>
      <c r="I358" s="1441">
        <f t="shared" si="84"/>
        <v>6.4147128734474465E-2</v>
      </c>
      <c r="J358" s="1427">
        <f t="shared" si="85"/>
        <v>0</v>
      </c>
      <c r="K358" s="684"/>
      <c r="L358" s="685"/>
      <c r="M358" s="1434">
        <f t="shared" si="82"/>
        <v>0</v>
      </c>
      <c r="N358" s="1111"/>
      <c r="O358" s="674">
        <f>IF(ISBLANK(H358),G358,H358)</f>
        <v>20</v>
      </c>
      <c r="P358" s="682"/>
      <c r="Q358" s="286"/>
      <c r="R358" s="287"/>
      <c r="S358" s="280"/>
      <c r="T358" s="280"/>
      <c r="U358" s="280"/>
      <c r="V358" s="280"/>
      <c r="W358" s="280"/>
      <c r="X358" s="280"/>
      <c r="Y358" s="280"/>
      <c r="Z358" s="284"/>
      <c r="AA358" s="284"/>
      <c r="AB358" s="284"/>
      <c r="AC358" s="284"/>
      <c r="AD358" s="284"/>
      <c r="AE358" s="284"/>
      <c r="AF358" s="447"/>
      <c r="AG358" s="447"/>
      <c r="AH358" s="447"/>
      <c r="AI358" s="382"/>
      <c r="AJ358" s="382"/>
      <c r="AK358" s="382"/>
      <c r="AL358" s="382"/>
      <c r="AM358" s="382"/>
      <c r="AN358" s="382"/>
      <c r="AO358" s="382"/>
      <c r="AP358" s="382"/>
      <c r="AQ358" s="382"/>
      <c r="AR358" s="382"/>
      <c r="AS358" s="382"/>
      <c r="AT358" s="382"/>
      <c r="AU358" s="382"/>
      <c r="AV358" s="382"/>
      <c r="AW358" s="382"/>
      <c r="AX358" s="382"/>
      <c r="AY358" s="382"/>
      <c r="AZ358" s="382"/>
      <c r="BA358" s="382"/>
      <c r="BB358" s="382"/>
      <c r="BC358" s="382"/>
      <c r="BD358" s="382"/>
      <c r="BE358" s="382"/>
      <c r="BF358" s="382"/>
      <c r="BG358" s="382"/>
      <c r="BH358" s="382"/>
      <c r="BI358" s="382"/>
      <c r="BJ358" s="382"/>
      <c r="BK358" s="382"/>
      <c r="BL358" s="382"/>
      <c r="BM358" s="382"/>
      <c r="BN358" s="382"/>
      <c r="BO358" s="382"/>
    </row>
    <row r="359" spans="1:67" s="88" customFormat="1" ht="10.55" customHeight="1" x14ac:dyDescent="0.2">
      <c r="A359" s="732"/>
      <c r="B359" s="2818"/>
      <c r="C359" s="2819"/>
      <c r="D359" s="2820"/>
      <c r="E359" s="2561"/>
      <c r="F359" s="2562"/>
      <c r="G359" s="1015"/>
      <c r="H359" s="524"/>
      <c r="I359" s="1441">
        <f t="shared" si="84"/>
        <v>0</v>
      </c>
      <c r="J359" s="1427">
        <f t="shared" si="85"/>
        <v>0</v>
      </c>
      <c r="K359" s="684"/>
      <c r="L359" s="685"/>
      <c r="M359" s="1434">
        <f t="shared" si="82"/>
        <v>0</v>
      </c>
      <c r="N359" s="1111"/>
      <c r="O359" s="674">
        <f>IF(ISBLANK(H359),G359,H359)</f>
        <v>0</v>
      </c>
      <c r="P359" s="682"/>
      <c r="Q359" s="286"/>
      <c r="R359" s="287"/>
      <c r="S359" s="280"/>
      <c r="T359" s="280"/>
      <c r="U359" s="280"/>
      <c r="V359" s="280"/>
      <c r="W359" s="280"/>
      <c r="X359" s="280"/>
      <c r="Y359" s="280"/>
      <c r="Z359" s="284"/>
      <c r="AA359" s="284"/>
      <c r="AB359" s="284"/>
      <c r="AC359" s="284"/>
      <c r="AD359" s="284"/>
      <c r="AE359" s="284"/>
      <c r="AF359" s="447"/>
      <c r="AG359" s="447"/>
      <c r="AH359" s="447"/>
      <c r="AI359" s="382"/>
      <c r="AJ359" s="382"/>
      <c r="AK359" s="382"/>
      <c r="AL359" s="382"/>
      <c r="AM359" s="382"/>
      <c r="AN359" s="382"/>
      <c r="AO359" s="382"/>
      <c r="AP359" s="382"/>
      <c r="AQ359" s="382"/>
      <c r="AR359" s="382"/>
      <c r="AS359" s="382"/>
      <c r="AT359" s="382"/>
      <c r="AU359" s="382"/>
      <c r="AV359" s="382"/>
      <c r="AW359" s="382"/>
      <c r="AX359" s="382"/>
      <c r="AY359" s="382"/>
      <c r="AZ359" s="382"/>
      <c r="BA359" s="382"/>
      <c r="BB359" s="382"/>
      <c r="BC359" s="382"/>
      <c r="BD359" s="382"/>
      <c r="BE359" s="382"/>
      <c r="BF359" s="382"/>
      <c r="BG359" s="382"/>
      <c r="BH359" s="382"/>
      <c r="BI359" s="382"/>
      <c r="BJ359" s="382"/>
      <c r="BK359" s="382"/>
      <c r="BL359" s="382"/>
      <c r="BM359" s="382"/>
      <c r="BN359" s="382"/>
      <c r="BO359" s="382"/>
    </row>
    <row r="360" spans="1:67" s="88" customFormat="1" ht="10.55" customHeight="1" x14ac:dyDescent="0.2">
      <c r="A360" s="732"/>
      <c r="B360" s="2818"/>
      <c r="C360" s="2819"/>
      <c r="D360" s="2820"/>
      <c r="E360" s="2561"/>
      <c r="F360" s="2562"/>
      <c r="G360" s="1015"/>
      <c r="H360" s="524"/>
      <c r="I360" s="1441">
        <f t="shared" si="84"/>
        <v>0</v>
      </c>
      <c r="J360" s="1427">
        <f t="shared" si="85"/>
        <v>0</v>
      </c>
      <c r="K360" s="684"/>
      <c r="L360" s="685"/>
      <c r="M360" s="1434">
        <f t="shared" si="82"/>
        <v>0</v>
      </c>
      <c r="N360" s="1111"/>
      <c r="O360" s="674">
        <f>IF(ISBLANK(H360),G360,H360)</f>
        <v>0</v>
      </c>
      <c r="P360" s="682"/>
      <c r="Q360" s="286"/>
      <c r="R360" s="287"/>
      <c r="S360" s="280"/>
      <c r="T360" s="280"/>
      <c r="U360" s="280"/>
      <c r="V360" s="280"/>
      <c r="W360" s="280"/>
      <c r="X360" s="280"/>
      <c r="Y360" s="280"/>
      <c r="Z360" s="284"/>
      <c r="AA360" s="284"/>
      <c r="AB360" s="284"/>
      <c r="AC360" s="284"/>
      <c r="AD360" s="284"/>
      <c r="AE360" s="284"/>
      <c r="AF360" s="447"/>
      <c r="AG360" s="447"/>
      <c r="AH360" s="447"/>
      <c r="AI360" s="382"/>
      <c r="AJ360" s="382"/>
      <c r="AK360" s="382"/>
      <c r="AL360" s="382"/>
      <c r="AM360" s="382"/>
      <c r="AN360" s="382"/>
      <c r="AO360" s="382"/>
      <c r="AP360" s="382"/>
      <c r="AQ360" s="382"/>
      <c r="AR360" s="382"/>
      <c r="AS360" s="382"/>
      <c r="AT360" s="382"/>
      <c r="AU360" s="382"/>
      <c r="AV360" s="382"/>
      <c r="AW360" s="382"/>
      <c r="AX360" s="382"/>
      <c r="AY360" s="382"/>
      <c r="AZ360" s="382"/>
      <c r="BA360" s="382"/>
      <c r="BB360" s="382"/>
      <c r="BC360" s="382"/>
      <c r="BD360" s="382"/>
      <c r="BE360" s="382"/>
      <c r="BF360" s="382"/>
      <c r="BG360" s="382"/>
      <c r="BH360" s="382"/>
      <c r="BI360" s="382"/>
      <c r="BJ360" s="382"/>
      <c r="BK360" s="382"/>
      <c r="BL360" s="382"/>
      <c r="BM360" s="382"/>
      <c r="BN360" s="382"/>
      <c r="BO360" s="382"/>
    </row>
    <row r="361" spans="1:67" s="706" customFormat="1" ht="10.55" customHeight="1" x14ac:dyDescent="0.2">
      <c r="A361" s="1031"/>
      <c r="B361" s="1032"/>
      <c r="C361" s="1032"/>
      <c r="D361" s="1033"/>
      <c r="E361" s="1419"/>
      <c r="F361" s="1420"/>
      <c r="G361" s="1313"/>
      <c r="H361" s="1087"/>
      <c r="I361" s="1437"/>
      <c r="J361" s="1413"/>
      <c r="K361" s="1314"/>
      <c r="L361" s="1315"/>
      <c r="M361" s="1431"/>
      <c r="N361" s="339"/>
      <c r="O361" s="702"/>
      <c r="P361" s="703"/>
      <c r="Q361" s="286"/>
      <c r="R361" s="287"/>
      <c r="S361" s="280"/>
      <c r="T361" s="280"/>
      <c r="U361" s="280"/>
      <c r="V361" s="280"/>
      <c r="W361" s="280"/>
      <c r="X361" s="280"/>
      <c r="Y361" s="280"/>
      <c r="Z361" s="280"/>
      <c r="AA361" s="280"/>
      <c r="AB361" s="280"/>
      <c r="AC361" s="280"/>
      <c r="AD361" s="280"/>
      <c r="AE361" s="280"/>
      <c r="AF361" s="704"/>
      <c r="AG361" s="704"/>
      <c r="AH361" s="704"/>
      <c r="AI361" s="705"/>
      <c r="AJ361" s="705"/>
      <c r="AK361" s="705"/>
      <c r="AL361" s="705"/>
      <c r="AM361" s="705"/>
      <c r="AN361" s="705"/>
      <c r="AO361" s="705"/>
      <c r="AP361" s="705"/>
      <c r="AQ361" s="705"/>
      <c r="AR361" s="705"/>
      <c r="AS361" s="705"/>
      <c r="AT361" s="705"/>
      <c r="AU361" s="705"/>
      <c r="AV361" s="705"/>
      <c r="AW361" s="705"/>
      <c r="AX361" s="705"/>
      <c r="AY361" s="705"/>
      <c r="AZ361" s="705"/>
      <c r="BA361" s="705"/>
      <c r="BB361" s="705"/>
      <c r="BC361" s="705"/>
      <c r="BD361" s="705"/>
      <c r="BE361" s="705"/>
      <c r="BF361" s="705"/>
      <c r="BG361" s="705"/>
      <c r="BH361" s="705"/>
      <c r="BI361" s="705"/>
      <c r="BJ361" s="705"/>
      <c r="BK361" s="705"/>
      <c r="BL361" s="705"/>
      <c r="BM361" s="705"/>
      <c r="BN361" s="705"/>
      <c r="BO361" s="705"/>
    </row>
    <row r="362" spans="1:67" s="706" customFormat="1" ht="10.55" customHeight="1" x14ac:dyDescent="0.2">
      <c r="A362" s="824" t="s">
        <v>438</v>
      </c>
      <c r="B362" s="370"/>
      <c r="C362" s="370"/>
      <c r="D362" s="369"/>
      <c r="E362" s="1073"/>
      <c r="F362" s="371"/>
      <c r="G362" s="371"/>
      <c r="H362" s="1075"/>
      <c r="I362" s="736"/>
      <c r="J362" s="737"/>
      <c r="K362" s="738"/>
      <c r="L362" s="739"/>
      <c r="M362" s="1035"/>
      <c r="N362" s="339"/>
      <c r="O362" s="702"/>
      <c r="P362" s="703"/>
      <c r="Q362" s="286"/>
      <c r="R362" s="287"/>
      <c r="S362" s="280"/>
      <c r="T362" s="280"/>
      <c r="U362" s="280"/>
      <c r="V362" s="280"/>
      <c r="W362" s="280"/>
      <c r="X362" s="280"/>
      <c r="Y362" s="280"/>
      <c r="Z362" s="280"/>
      <c r="AA362" s="280"/>
      <c r="AB362" s="280"/>
      <c r="AC362" s="280"/>
      <c r="AD362" s="280"/>
      <c r="AE362" s="280"/>
      <c r="AF362" s="704"/>
      <c r="AG362" s="704"/>
      <c r="AH362" s="704"/>
      <c r="AI362" s="705"/>
      <c r="AJ362" s="705"/>
      <c r="AK362" s="705"/>
      <c r="AL362" s="705"/>
      <c r="AM362" s="705"/>
      <c r="AN362" s="705"/>
      <c r="AO362" s="705"/>
      <c r="AP362" s="705"/>
      <c r="AQ362" s="705"/>
      <c r="AR362" s="705"/>
      <c r="AS362" s="705"/>
      <c r="AT362" s="705"/>
      <c r="AU362" s="705"/>
      <c r="AV362" s="705"/>
      <c r="AW362" s="705"/>
      <c r="AX362" s="705"/>
      <c r="AY362" s="705"/>
      <c r="AZ362" s="705"/>
      <c r="BA362" s="705"/>
      <c r="BB362" s="705"/>
      <c r="BC362" s="705"/>
      <c r="BD362" s="705"/>
      <c r="BE362" s="705"/>
      <c r="BF362" s="705"/>
      <c r="BG362" s="705"/>
      <c r="BH362" s="705"/>
      <c r="BI362" s="705"/>
      <c r="BJ362" s="705"/>
      <c r="BK362" s="705"/>
      <c r="BL362" s="705"/>
      <c r="BM362" s="705"/>
      <c r="BN362" s="705"/>
      <c r="BO362" s="705"/>
    </row>
    <row r="363" spans="1:67" s="706" customFormat="1" ht="10.55" customHeight="1" x14ac:dyDescent="0.2">
      <c r="A363" s="825"/>
      <c r="B363" s="367"/>
      <c r="C363" s="367"/>
      <c r="D363" s="735"/>
      <c r="E363" s="372"/>
      <c r="F363" s="720"/>
      <c r="G363" s="740"/>
      <c r="H363" s="741"/>
      <c r="I363" s="742"/>
      <c r="J363" s="743"/>
      <c r="K363" s="744"/>
      <c r="L363" s="745"/>
      <c r="M363" s="1036"/>
      <c r="N363" s="339"/>
      <c r="O363" s="702"/>
      <c r="P363" s="703"/>
      <c r="Q363" s="286"/>
      <c r="R363" s="287"/>
      <c r="S363" s="280"/>
      <c r="T363" s="280"/>
      <c r="U363" s="280"/>
      <c r="V363" s="280"/>
      <c r="W363" s="280"/>
      <c r="X363" s="280"/>
      <c r="Y363" s="280"/>
      <c r="Z363" s="280"/>
      <c r="AA363" s="280"/>
      <c r="AB363" s="280"/>
      <c r="AC363" s="280"/>
      <c r="AD363" s="280"/>
      <c r="AE363" s="280"/>
      <c r="AF363" s="704"/>
      <c r="AG363" s="704"/>
      <c r="AH363" s="704"/>
      <c r="AI363" s="705"/>
      <c r="AJ363" s="705"/>
      <c r="AK363" s="705"/>
      <c r="AL363" s="705"/>
      <c r="AM363" s="705"/>
      <c r="AN363" s="705"/>
      <c r="AO363" s="705"/>
      <c r="AP363" s="705"/>
      <c r="AQ363" s="705"/>
      <c r="AR363" s="705"/>
      <c r="AS363" s="705"/>
      <c r="AT363" s="705"/>
      <c r="AU363" s="705"/>
      <c r="AV363" s="705"/>
      <c r="AW363" s="705"/>
      <c r="AX363" s="705"/>
      <c r="AY363" s="705"/>
      <c r="AZ363" s="705"/>
      <c r="BA363" s="705"/>
      <c r="BB363" s="705"/>
      <c r="BC363" s="705"/>
      <c r="BD363" s="705"/>
      <c r="BE363" s="705"/>
      <c r="BF363" s="705"/>
      <c r="BG363" s="705"/>
      <c r="BH363" s="705"/>
      <c r="BI363" s="705"/>
      <c r="BJ363" s="705"/>
      <c r="BK363" s="705"/>
      <c r="BL363" s="705"/>
      <c r="BM363" s="705"/>
      <c r="BN363" s="705"/>
      <c r="BO363" s="705"/>
    </row>
    <row r="364" spans="1:67" s="706" customFormat="1" ht="10.55" customHeight="1" x14ac:dyDescent="0.2">
      <c r="A364" s="826" t="s">
        <v>439</v>
      </c>
      <c r="B364" s="378"/>
      <c r="C364" s="378"/>
      <c r="D364" s="377"/>
      <c r="E364" s="374"/>
      <c r="F364" s="720"/>
      <c r="G364" s="740"/>
      <c r="H364" s="741"/>
      <c r="I364" s="742"/>
      <c r="J364" s="743"/>
      <c r="K364" s="744"/>
      <c r="L364" s="745"/>
      <c r="M364" s="1036"/>
      <c r="N364" s="339"/>
      <c r="O364" s="702"/>
      <c r="P364" s="703"/>
      <c r="Q364" s="286"/>
      <c r="R364" s="287"/>
      <c r="S364" s="281"/>
      <c r="T364" s="280"/>
      <c r="U364" s="280"/>
      <c r="V364" s="280"/>
      <c r="W364" s="280"/>
      <c r="X364" s="280"/>
      <c r="Y364" s="280"/>
      <c r="Z364" s="280"/>
      <c r="AA364" s="280"/>
      <c r="AB364" s="280"/>
      <c r="AC364" s="280"/>
      <c r="AD364" s="280"/>
      <c r="AE364" s="280"/>
      <c r="AF364" s="704"/>
      <c r="AG364" s="704"/>
      <c r="AH364" s="704"/>
      <c r="AI364" s="705"/>
      <c r="AJ364" s="705"/>
      <c r="AK364" s="705"/>
      <c r="AL364" s="705"/>
      <c r="AM364" s="705"/>
      <c r="AN364" s="705"/>
      <c r="AO364" s="705"/>
      <c r="AP364" s="705"/>
      <c r="AQ364" s="705"/>
      <c r="AR364" s="705"/>
      <c r="AS364" s="705"/>
      <c r="AT364" s="705"/>
      <c r="AU364" s="705"/>
      <c r="AV364" s="705"/>
      <c r="AW364" s="705"/>
      <c r="AX364" s="705"/>
      <c r="AY364" s="705"/>
      <c r="AZ364" s="705"/>
      <c r="BA364" s="705"/>
      <c r="BB364" s="705"/>
      <c r="BC364" s="705"/>
      <c r="BD364" s="705"/>
      <c r="BE364" s="705"/>
      <c r="BF364" s="705"/>
      <c r="BG364" s="705"/>
      <c r="BH364" s="705"/>
      <c r="BI364" s="705"/>
      <c r="BJ364" s="705"/>
      <c r="BK364" s="705"/>
      <c r="BL364" s="705"/>
      <c r="BM364" s="705"/>
      <c r="BN364" s="705"/>
      <c r="BO364" s="705"/>
    </row>
    <row r="365" spans="1:67" s="706" customFormat="1" ht="10.55" customHeight="1" x14ac:dyDescent="0.2">
      <c r="A365" s="827" t="s">
        <v>440</v>
      </c>
      <c r="B365" s="367"/>
      <c r="C365" s="367"/>
      <c r="D365" s="373" t="s">
        <v>441</v>
      </c>
      <c r="E365" s="2821">
        <f>SUM(E59,E74,E89,E106,E121,E136,E151,E166,E181,E241,E256,E271,E301,E316)</f>
        <v>0</v>
      </c>
      <c r="F365" s="2822"/>
      <c r="G365" s="746"/>
      <c r="H365" s="747"/>
      <c r="I365" s="742"/>
      <c r="J365" s="743"/>
      <c r="K365" s="744"/>
      <c r="L365" s="745"/>
      <c r="M365" s="1036"/>
      <c r="N365" s="339"/>
      <c r="O365" s="702"/>
      <c r="P365" s="703"/>
      <c r="Q365" s="286"/>
      <c r="R365" s="287"/>
      <c r="S365" s="280"/>
      <c r="T365" s="280"/>
      <c r="U365" s="280"/>
      <c r="V365" s="280"/>
      <c r="W365" s="280"/>
      <c r="X365" s="280"/>
      <c r="Y365" s="280"/>
      <c r="Z365" s="280"/>
      <c r="AA365" s="280"/>
      <c r="AB365" s="280"/>
      <c r="AC365" s="280"/>
      <c r="AD365" s="280"/>
      <c r="AE365" s="280"/>
      <c r="AF365" s="704"/>
      <c r="AG365" s="704"/>
      <c r="AH365" s="704"/>
      <c r="AI365" s="705"/>
      <c r="AJ365" s="705"/>
      <c r="AK365" s="705"/>
      <c r="AL365" s="705"/>
      <c r="AM365" s="705"/>
      <c r="AN365" s="705"/>
      <c r="AO365" s="705"/>
      <c r="AP365" s="705"/>
      <c r="AQ365" s="705"/>
      <c r="AR365" s="705"/>
      <c r="AS365" s="705"/>
      <c r="AT365" s="705"/>
      <c r="AU365" s="705"/>
      <c r="AV365" s="705"/>
      <c r="AW365" s="705"/>
      <c r="AX365" s="705"/>
      <c r="AY365" s="705"/>
      <c r="AZ365" s="705"/>
      <c r="BA365" s="705"/>
      <c r="BB365" s="705"/>
      <c r="BC365" s="705"/>
      <c r="BD365" s="705"/>
      <c r="BE365" s="705"/>
      <c r="BF365" s="705"/>
      <c r="BG365" s="705"/>
      <c r="BH365" s="705"/>
      <c r="BI365" s="705"/>
      <c r="BJ365" s="705"/>
      <c r="BK365" s="705"/>
      <c r="BL365" s="705"/>
      <c r="BM365" s="705"/>
      <c r="BN365" s="705"/>
      <c r="BO365" s="705"/>
    </row>
    <row r="366" spans="1:67" s="706" customFormat="1" ht="10.55" customHeight="1" x14ac:dyDescent="0.2">
      <c r="A366" s="827" t="s">
        <v>495</v>
      </c>
      <c r="B366" s="367"/>
      <c r="C366" s="367"/>
      <c r="D366" s="373" t="s">
        <v>442</v>
      </c>
      <c r="E366" s="712">
        <f>IF(E365=0,0,E369+E370/(E365^(1/3)))</f>
        <v>0</v>
      </c>
      <c r="F366" s="721"/>
      <c r="G366" s="748"/>
      <c r="H366" s="741"/>
      <c r="I366" s="742"/>
      <c r="J366" s="743"/>
      <c r="K366" s="744"/>
      <c r="L366" s="745"/>
      <c r="M366" s="1036"/>
      <c r="N366" s="339"/>
      <c r="O366" s="702"/>
      <c r="P366" s="703"/>
      <c r="Q366" s="286"/>
      <c r="R366" s="287"/>
      <c r="S366" s="280"/>
      <c r="T366" s="280"/>
      <c r="U366" s="280"/>
      <c r="V366" s="280"/>
      <c r="W366" s="280"/>
      <c r="X366" s="280"/>
      <c r="Y366" s="280"/>
      <c r="Z366" s="280"/>
      <c r="AA366" s="280"/>
      <c r="AB366" s="280"/>
      <c r="AC366" s="280"/>
      <c r="AD366" s="280"/>
      <c r="AE366" s="280"/>
      <c r="AF366" s="704"/>
      <c r="AG366" s="704"/>
      <c r="AH366" s="704"/>
      <c r="AI366" s="705"/>
      <c r="AJ366" s="705"/>
      <c r="AK366" s="705"/>
      <c r="AL366" s="705"/>
      <c r="AM366" s="705"/>
      <c r="AN366" s="705"/>
      <c r="AO366" s="705"/>
      <c r="AP366" s="705"/>
      <c r="AQ366" s="705"/>
      <c r="AR366" s="705"/>
      <c r="AS366" s="705"/>
      <c r="AT366" s="705"/>
      <c r="AU366" s="705"/>
      <c r="AV366" s="705"/>
      <c r="AW366" s="705"/>
      <c r="AX366" s="705"/>
      <c r="AY366" s="705"/>
      <c r="AZ366" s="705"/>
      <c r="BA366" s="705"/>
      <c r="BB366" s="705"/>
      <c r="BC366" s="705"/>
      <c r="BD366" s="705"/>
      <c r="BE366" s="705"/>
      <c r="BF366" s="705"/>
      <c r="BG366" s="705"/>
      <c r="BH366" s="705"/>
      <c r="BI366" s="705"/>
      <c r="BJ366" s="705"/>
      <c r="BK366" s="705"/>
      <c r="BL366" s="705"/>
      <c r="BM366" s="705"/>
      <c r="BN366" s="705"/>
      <c r="BO366" s="705"/>
    </row>
    <row r="367" spans="1:67" s="706" customFormat="1" ht="10.55" customHeight="1" x14ac:dyDescent="0.2">
      <c r="A367" s="827" t="s">
        <v>443</v>
      </c>
      <c r="B367" s="367"/>
      <c r="C367" s="367"/>
      <c r="D367" s="373" t="s">
        <v>444</v>
      </c>
      <c r="E367" s="726">
        <v>0.9</v>
      </c>
      <c r="F367" s="721"/>
      <c r="G367" s="748"/>
      <c r="H367" s="741"/>
      <c r="I367" s="742"/>
      <c r="J367" s="743"/>
      <c r="K367" s="744"/>
      <c r="L367" s="745"/>
      <c r="M367" s="1036"/>
      <c r="N367" s="339"/>
      <c r="O367" s="702"/>
      <c r="P367" s="703"/>
      <c r="Q367" s="286"/>
      <c r="R367" s="287"/>
      <c r="S367" s="280"/>
      <c r="T367" s="280"/>
      <c r="U367" s="280"/>
      <c r="V367" s="280"/>
      <c r="W367" s="280"/>
      <c r="X367" s="280"/>
      <c r="Y367" s="280"/>
      <c r="Z367" s="280"/>
      <c r="AA367" s="280"/>
      <c r="AB367" s="280"/>
      <c r="AC367" s="280"/>
      <c r="AD367" s="280"/>
      <c r="AE367" s="280"/>
      <c r="AF367" s="704"/>
      <c r="AG367" s="704"/>
      <c r="AH367" s="704"/>
      <c r="AI367" s="705"/>
      <c r="AJ367" s="705"/>
      <c r="AK367" s="705"/>
      <c r="AL367" s="705"/>
      <c r="AM367" s="705"/>
      <c r="AN367" s="705"/>
      <c r="AO367" s="705"/>
      <c r="AP367" s="705"/>
      <c r="AQ367" s="705"/>
      <c r="AR367" s="705"/>
      <c r="AS367" s="705"/>
      <c r="AT367" s="705"/>
      <c r="AU367" s="705"/>
      <c r="AV367" s="705"/>
      <c r="AW367" s="705"/>
      <c r="AX367" s="705"/>
      <c r="AY367" s="705"/>
      <c r="AZ367" s="705"/>
      <c r="BA367" s="705"/>
      <c r="BB367" s="705"/>
      <c r="BC367" s="705"/>
      <c r="BD367" s="705"/>
      <c r="BE367" s="705"/>
      <c r="BF367" s="705"/>
      <c r="BG367" s="705"/>
      <c r="BH367" s="705"/>
      <c r="BI367" s="705"/>
      <c r="BJ367" s="705"/>
      <c r="BK367" s="705"/>
      <c r="BL367" s="705"/>
      <c r="BM367" s="705"/>
      <c r="BN367" s="705"/>
      <c r="BO367" s="705"/>
    </row>
    <row r="368" spans="1:67" s="706" customFormat="1" ht="10.55" customHeight="1" x14ac:dyDescent="0.2">
      <c r="A368" s="827" t="s">
        <v>500</v>
      </c>
      <c r="B368" s="367"/>
      <c r="C368" s="367"/>
      <c r="D368" s="373" t="s">
        <v>494</v>
      </c>
      <c r="E368" s="726">
        <v>1</v>
      </c>
      <c r="F368" s="721"/>
      <c r="G368" s="748"/>
      <c r="H368" s="741"/>
      <c r="I368" s="742"/>
      <c r="J368" s="743"/>
      <c r="K368" s="744"/>
      <c r="L368" s="745"/>
      <c r="M368" s="1036"/>
      <c r="N368" s="339"/>
      <c r="O368" s="702"/>
      <c r="P368" s="703"/>
      <c r="Q368" s="286"/>
      <c r="R368" s="287"/>
      <c r="S368" s="280"/>
      <c r="T368" s="280"/>
      <c r="U368" s="280"/>
      <c r="V368" s="280"/>
      <c r="W368" s="280"/>
      <c r="X368" s="280"/>
      <c r="Y368" s="280"/>
      <c r="Z368" s="280"/>
      <c r="AA368" s="280"/>
      <c r="AB368" s="280"/>
      <c r="AC368" s="280"/>
      <c r="AD368" s="280"/>
      <c r="AE368" s="280"/>
      <c r="AF368" s="704"/>
      <c r="AG368" s="704"/>
      <c r="AH368" s="704"/>
      <c r="AI368" s="705"/>
      <c r="AJ368" s="705"/>
      <c r="AK368" s="705"/>
      <c r="AL368" s="705"/>
      <c r="AM368" s="705"/>
      <c r="AN368" s="705"/>
      <c r="AO368" s="705"/>
      <c r="AP368" s="705"/>
      <c r="AQ368" s="705"/>
      <c r="AR368" s="705"/>
      <c r="AS368" s="705"/>
      <c r="AT368" s="705"/>
      <c r="AU368" s="705"/>
      <c r="AV368" s="705"/>
      <c r="AW368" s="705"/>
      <c r="AX368" s="705"/>
      <c r="AY368" s="705"/>
      <c r="AZ368" s="705"/>
      <c r="BA368" s="705"/>
      <c r="BB368" s="705"/>
      <c r="BC368" s="705"/>
      <c r="BD368" s="705"/>
      <c r="BE368" s="705"/>
      <c r="BF368" s="705"/>
      <c r="BG368" s="705"/>
      <c r="BH368" s="705"/>
      <c r="BI368" s="705"/>
      <c r="BJ368" s="705"/>
      <c r="BK368" s="705"/>
      <c r="BL368" s="705"/>
      <c r="BM368" s="705"/>
      <c r="BN368" s="705"/>
      <c r="BO368" s="705"/>
    </row>
    <row r="369" spans="1:67" s="706" customFormat="1" ht="10.55" customHeight="1" x14ac:dyDescent="0.2">
      <c r="A369" s="827" t="s">
        <v>501</v>
      </c>
      <c r="B369" s="2823" t="s">
        <v>837</v>
      </c>
      <c r="C369" s="2823"/>
      <c r="D369" s="373" t="s">
        <v>492</v>
      </c>
      <c r="E369" s="727">
        <v>6.6000000000000003E-2</v>
      </c>
      <c r="F369" s="721"/>
      <c r="G369" s="2824"/>
      <c r="H369" s="2825"/>
      <c r="I369" s="742"/>
      <c r="J369" s="743"/>
      <c r="K369" s="744"/>
      <c r="L369" s="745"/>
      <c r="M369" s="1036"/>
      <c r="N369" s="339"/>
      <c r="O369" s="702"/>
      <c r="P369" s="703"/>
      <c r="Q369" s="286"/>
      <c r="R369" s="287"/>
      <c r="S369" s="280"/>
      <c r="T369" s="280"/>
      <c r="U369" s="280"/>
      <c r="V369" s="280"/>
      <c r="W369" s="280"/>
      <c r="X369" s="280"/>
      <c r="Y369" s="280"/>
      <c r="Z369" s="280"/>
      <c r="AA369" s="280"/>
      <c r="AB369" s="280"/>
      <c r="AC369" s="280"/>
      <c r="AD369" s="280"/>
      <c r="AE369" s="280"/>
      <c r="AF369" s="704"/>
      <c r="AG369" s="704"/>
      <c r="AH369" s="704"/>
      <c r="AI369" s="705"/>
      <c r="AJ369" s="705"/>
      <c r="AK369" s="705"/>
      <c r="AL369" s="705"/>
      <c r="AM369" s="705"/>
      <c r="AN369" s="705"/>
      <c r="AO369" s="705"/>
      <c r="AP369" s="705"/>
      <c r="AQ369" s="705"/>
      <c r="AR369" s="705"/>
      <c r="AS369" s="705"/>
      <c r="AT369" s="705"/>
      <c r="AU369" s="705"/>
      <c r="AV369" s="705"/>
      <c r="AW369" s="705"/>
      <c r="AX369" s="705"/>
      <c r="AY369" s="705"/>
      <c r="AZ369" s="705"/>
      <c r="BA369" s="705"/>
      <c r="BB369" s="705"/>
      <c r="BC369" s="705"/>
      <c r="BD369" s="705"/>
      <c r="BE369" s="705"/>
      <c r="BF369" s="705"/>
      <c r="BG369" s="705"/>
      <c r="BH369" s="705"/>
      <c r="BI369" s="705"/>
      <c r="BJ369" s="705"/>
      <c r="BK369" s="705"/>
      <c r="BL369" s="705"/>
      <c r="BM369" s="705"/>
      <c r="BN369" s="705"/>
      <c r="BO369" s="705"/>
    </row>
    <row r="370" spans="1:67" s="706" customFormat="1" ht="10.55" customHeight="1" x14ac:dyDescent="0.2">
      <c r="A370" s="827" t="s">
        <v>502</v>
      </c>
      <c r="B370" s="2823" t="s">
        <v>837</v>
      </c>
      <c r="C370" s="2823"/>
      <c r="D370" s="373" t="s">
        <v>493</v>
      </c>
      <c r="E370" s="727">
        <v>11.28</v>
      </c>
      <c r="F370" s="721"/>
      <c r="G370" s="2824"/>
      <c r="H370" s="2825"/>
      <c r="I370" s="742"/>
      <c r="J370" s="743"/>
      <c r="K370" s="744"/>
      <c r="L370" s="745"/>
      <c r="M370" s="1036"/>
      <c r="N370" s="339"/>
      <c r="O370" s="702"/>
      <c r="P370" s="703"/>
      <c r="Q370" s="286"/>
      <c r="R370" s="287"/>
      <c r="S370" s="280"/>
      <c r="T370" s="280"/>
      <c r="U370" s="280"/>
      <c r="V370" s="280"/>
      <c r="W370" s="280"/>
      <c r="X370" s="280"/>
      <c r="Y370" s="280"/>
      <c r="Z370" s="280"/>
      <c r="AA370" s="280"/>
      <c r="AB370" s="280"/>
      <c r="AC370" s="280"/>
      <c r="AD370" s="280"/>
      <c r="AE370" s="280"/>
      <c r="AF370" s="704"/>
      <c r="AG370" s="704"/>
      <c r="AH370" s="704"/>
      <c r="AI370" s="705"/>
      <c r="AJ370" s="705"/>
      <c r="AK370" s="705"/>
      <c r="AL370" s="705"/>
      <c r="AM370" s="705"/>
      <c r="AN370" s="705"/>
      <c r="AO370" s="705"/>
      <c r="AP370" s="705"/>
      <c r="AQ370" s="705"/>
      <c r="AR370" s="705"/>
      <c r="AS370" s="705"/>
      <c r="AT370" s="705"/>
      <c r="AU370" s="705"/>
      <c r="AV370" s="705"/>
      <c r="AW370" s="705"/>
      <c r="AX370" s="705"/>
      <c r="AY370" s="705"/>
      <c r="AZ370" s="705"/>
      <c r="BA370" s="705"/>
      <c r="BB370" s="705"/>
      <c r="BC370" s="705"/>
      <c r="BD370" s="705"/>
      <c r="BE370" s="705"/>
      <c r="BF370" s="705"/>
      <c r="BG370" s="705"/>
      <c r="BH370" s="705"/>
      <c r="BI370" s="705"/>
      <c r="BJ370" s="705"/>
      <c r="BK370" s="705"/>
      <c r="BL370" s="705"/>
      <c r="BM370" s="705"/>
      <c r="BN370" s="705"/>
      <c r="BO370" s="705"/>
    </row>
    <row r="371" spans="1:67" s="706" customFormat="1" ht="10.55" customHeight="1" x14ac:dyDescent="0.2">
      <c r="A371" s="827" t="s">
        <v>498</v>
      </c>
      <c r="B371" s="367"/>
      <c r="C371" s="367"/>
      <c r="D371" s="373" t="s">
        <v>499</v>
      </c>
      <c r="E371" s="727">
        <v>100</v>
      </c>
      <c r="F371" s="1037"/>
      <c r="G371" s="1038"/>
      <c r="H371" s="1039"/>
      <c r="I371" s="742"/>
      <c r="J371" s="743"/>
      <c r="K371" s="744"/>
      <c r="L371" s="745"/>
      <c r="M371" s="1036"/>
      <c r="N371" s="339"/>
      <c r="O371" s="702"/>
      <c r="P371" s="703"/>
      <c r="Q371" s="286"/>
      <c r="R371" s="287"/>
      <c r="S371" s="280"/>
      <c r="T371" s="280"/>
      <c r="U371" s="280"/>
      <c r="V371" s="280"/>
      <c r="W371" s="280"/>
      <c r="X371" s="280"/>
      <c r="Y371" s="280"/>
      <c r="Z371" s="280"/>
      <c r="AA371" s="280"/>
      <c r="AB371" s="280"/>
      <c r="AC371" s="280"/>
      <c r="AD371" s="280"/>
      <c r="AE371" s="280"/>
      <c r="AF371" s="704"/>
      <c r="AG371" s="704"/>
      <c r="AH371" s="704"/>
      <c r="AI371" s="705"/>
      <c r="AJ371" s="705"/>
      <c r="AK371" s="705"/>
      <c r="AL371" s="705"/>
      <c r="AM371" s="705"/>
      <c r="AN371" s="705"/>
      <c r="AO371" s="705"/>
      <c r="AP371" s="705"/>
      <c r="AQ371" s="705"/>
      <c r="AR371" s="705"/>
      <c r="AS371" s="705"/>
      <c r="AT371" s="705"/>
      <c r="AU371" s="705"/>
      <c r="AV371" s="705"/>
      <c r="AW371" s="705"/>
      <c r="AX371" s="705"/>
      <c r="AY371" s="705"/>
      <c r="AZ371" s="705"/>
      <c r="BA371" s="705"/>
      <c r="BB371" s="705"/>
      <c r="BC371" s="705"/>
      <c r="BD371" s="705"/>
      <c r="BE371" s="705"/>
      <c r="BF371" s="705"/>
      <c r="BG371" s="705"/>
      <c r="BH371" s="705"/>
      <c r="BI371" s="705"/>
      <c r="BJ371" s="705"/>
      <c r="BK371" s="705"/>
      <c r="BL371" s="705"/>
      <c r="BM371" s="705"/>
      <c r="BN371" s="705"/>
      <c r="BO371" s="705"/>
    </row>
    <row r="372" spans="1:67" s="706" customFormat="1" ht="10.55" customHeight="1" x14ac:dyDescent="0.2">
      <c r="A372" s="827" t="s">
        <v>496</v>
      </c>
      <c r="B372" s="367"/>
      <c r="C372" s="367"/>
      <c r="D372" s="373" t="s">
        <v>497</v>
      </c>
      <c r="E372" s="726">
        <v>1</v>
      </c>
      <c r="F372" s="1040"/>
      <c r="G372" s="1038"/>
      <c r="H372" s="1039"/>
      <c r="I372" s="742"/>
      <c r="J372" s="743"/>
      <c r="K372" s="744"/>
      <c r="L372" s="745"/>
      <c r="M372" s="1036"/>
      <c r="N372" s="339"/>
      <c r="O372" s="702"/>
      <c r="P372" s="703"/>
      <c r="Q372" s="286"/>
      <c r="R372" s="287"/>
      <c r="S372" s="280"/>
      <c r="T372" s="280"/>
      <c r="U372" s="280"/>
      <c r="V372" s="280"/>
      <c r="W372" s="280"/>
      <c r="X372" s="280"/>
      <c r="Y372" s="280"/>
      <c r="Z372" s="280"/>
      <c r="AA372" s="280"/>
      <c r="AB372" s="280"/>
      <c r="AC372" s="280"/>
      <c r="AD372" s="280"/>
      <c r="AE372" s="280"/>
      <c r="AF372" s="704"/>
      <c r="AG372" s="704"/>
      <c r="AH372" s="704"/>
      <c r="AI372" s="705"/>
      <c r="AJ372" s="705"/>
      <c r="AK372" s="705"/>
      <c r="AL372" s="705"/>
      <c r="AM372" s="705"/>
      <c r="AN372" s="705"/>
      <c r="AO372" s="705"/>
      <c r="AP372" s="705"/>
      <c r="AQ372" s="705"/>
      <c r="AR372" s="705"/>
      <c r="AS372" s="705"/>
      <c r="AT372" s="705"/>
      <c r="AU372" s="705"/>
      <c r="AV372" s="705"/>
      <c r="AW372" s="705"/>
      <c r="AX372" s="705"/>
      <c r="AY372" s="705"/>
      <c r="AZ372" s="705"/>
      <c r="BA372" s="705"/>
      <c r="BB372" s="705"/>
      <c r="BC372" s="705"/>
      <c r="BD372" s="705"/>
      <c r="BE372" s="705"/>
      <c r="BF372" s="705"/>
      <c r="BG372" s="705"/>
      <c r="BH372" s="705"/>
      <c r="BI372" s="705"/>
      <c r="BJ372" s="705"/>
      <c r="BK372" s="705"/>
      <c r="BL372" s="705"/>
      <c r="BM372" s="705"/>
      <c r="BN372" s="705"/>
      <c r="BO372" s="705"/>
    </row>
    <row r="373" spans="1:67" s="706" customFormat="1" ht="10.55" customHeight="1" x14ac:dyDescent="0.2">
      <c r="A373" s="827" t="s">
        <v>503</v>
      </c>
      <c r="B373" s="367"/>
      <c r="C373" s="367"/>
      <c r="D373" s="373" t="s">
        <v>505</v>
      </c>
      <c r="E373" s="726">
        <v>1</v>
      </c>
      <c r="F373" s="1040"/>
      <c r="G373" s="1038"/>
      <c r="H373" s="1039"/>
      <c r="I373" s="742"/>
      <c r="J373" s="743"/>
      <c r="K373" s="744"/>
      <c r="L373" s="745"/>
      <c r="M373" s="1036"/>
      <c r="N373" s="339"/>
      <c r="O373" s="702"/>
      <c r="P373" s="703"/>
      <c r="Q373" s="286"/>
      <c r="R373" s="287"/>
      <c r="S373" s="280"/>
      <c r="T373" s="280"/>
      <c r="U373" s="280"/>
      <c r="V373" s="280"/>
      <c r="W373" s="280"/>
      <c r="X373" s="280"/>
      <c r="Y373" s="280"/>
      <c r="Z373" s="280"/>
      <c r="AA373" s="280"/>
      <c r="AB373" s="280"/>
      <c r="AC373" s="280"/>
      <c r="AD373" s="280"/>
      <c r="AE373" s="280"/>
      <c r="AF373" s="704"/>
      <c r="AG373" s="704"/>
      <c r="AH373" s="704"/>
      <c r="AI373" s="705"/>
      <c r="AJ373" s="705"/>
      <c r="AK373" s="705"/>
      <c r="AL373" s="705"/>
      <c r="AM373" s="705"/>
      <c r="AN373" s="705"/>
      <c r="AO373" s="705"/>
      <c r="AP373" s="705"/>
      <c r="AQ373" s="705"/>
      <c r="AR373" s="705"/>
      <c r="AS373" s="705"/>
      <c r="AT373" s="705"/>
      <c r="AU373" s="705"/>
      <c r="AV373" s="705"/>
      <c r="AW373" s="705"/>
      <c r="AX373" s="705"/>
      <c r="AY373" s="705"/>
      <c r="AZ373" s="705"/>
      <c r="BA373" s="705"/>
      <c r="BB373" s="705"/>
      <c r="BC373" s="705"/>
      <c r="BD373" s="705"/>
      <c r="BE373" s="705"/>
      <c r="BF373" s="705"/>
      <c r="BG373" s="705"/>
      <c r="BH373" s="705"/>
      <c r="BI373" s="705"/>
      <c r="BJ373" s="705"/>
      <c r="BK373" s="705"/>
      <c r="BL373" s="705"/>
      <c r="BM373" s="705"/>
      <c r="BN373" s="705"/>
      <c r="BO373" s="705"/>
    </row>
    <row r="374" spans="1:67" s="706" customFormat="1" ht="10.55" customHeight="1" x14ac:dyDescent="0.2">
      <c r="A374" s="827" t="s">
        <v>504</v>
      </c>
      <c r="B374" s="367"/>
      <c r="C374" s="367"/>
      <c r="D374" s="373" t="s">
        <v>506</v>
      </c>
      <c r="E374" s="728">
        <v>150</v>
      </c>
      <c r="F374" s="1040"/>
      <c r="G374" s="1038"/>
      <c r="H374" s="1039"/>
      <c r="I374" s="742"/>
      <c r="J374" s="743"/>
      <c r="K374" s="744"/>
      <c r="L374" s="745"/>
      <c r="M374" s="1036"/>
      <c r="N374" s="339"/>
      <c r="O374" s="702"/>
      <c r="P374" s="703"/>
      <c r="Q374" s="286"/>
      <c r="R374" s="287"/>
      <c r="S374" s="280"/>
      <c r="T374" s="280"/>
      <c r="U374" s="280"/>
      <c r="V374" s="280"/>
      <c r="W374" s="280"/>
      <c r="X374" s="280"/>
      <c r="Y374" s="280"/>
      <c r="Z374" s="280"/>
      <c r="AA374" s="280"/>
      <c r="AB374" s="280"/>
      <c r="AC374" s="280"/>
      <c r="AD374" s="280"/>
      <c r="AE374" s="280"/>
      <c r="AF374" s="704"/>
      <c r="AG374" s="704"/>
      <c r="AH374" s="704"/>
      <c r="AI374" s="705"/>
      <c r="AJ374" s="705"/>
      <c r="AK374" s="705"/>
      <c r="AL374" s="705"/>
      <c r="AM374" s="705"/>
      <c r="AN374" s="705"/>
      <c r="AO374" s="705"/>
      <c r="AP374" s="705"/>
      <c r="AQ374" s="705"/>
      <c r="AR374" s="705"/>
      <c r="AS374" s="705"/>
      <c r="AT374" s="705"/>
      <c r="AU374" s="705"/>
      <c r="AV374" s="705"/>
      <c r="AW374" s="705"/>
      <c r="AX374" s="705"/>
      <c r="AY374" s="705"/>
      <c r="AZ374" s="705"/>
      <c r="BA374" s="705"/>
      <c r="BB374" s="705"/>
      <c r="BC374" s="705"/>
      <c r="BD374" s="705"/>
      <c r="BE374" s="705"/>
      <c r="BF374" s="705"/>
      <c r="BG374" s="705"/>
      <c r="BH374" s="705"/>
      <c r="BI374" s="705"/>
      <c r="BJ374" s="705"/>
      <c r="BK374" s="705"/>
      <c r="BL374" s="705"/>
      <c r="BM374" s="705"/>
      <c r="BN374" s="705"/>
      <c r="BO374" s="705"/>
    </row>
    <row r="375" spans="1:67" s="706" customFormat="1" ht="10.55" customHeight="1" x14ac:dyDescent="0.2">
      <c r="A375" s="828" t="s">
        <v>507</v>
      </c>
      <c r="B375" s="370"/>
      <c r="C375" s="370"/>
      <c r="D375" s="715"/>
      <c r="E375" s="2810">
        <f>E365*E366/100*E367*E371/100*E368*E372*E373*E374</f>
        <v>0</v>
      </c>
      <c r="F375" s="2811"/>
      <c r="G375" s="1041"/>
      <c r="H375" s="1042"/>
      <c r="I375" s="736"/>
      <c r="J375" s="737"/>
      <c r="K375" s="738"/>
      <c r="L375" s="739"/>
      <c r="M375" s="1035"/>
      <c r="N375" s="339"/>
      <c r="O375" s="702"/>
      <c r="P375" s="703"/>
      <c r="Q375" s="286"/>
      <c r="R375" s="287"/>
      <c r="S375" s="280"/>
      <c r="T375" s="280"/>
      <c r="U375" s="280"/>
      <c r="V375" s="280"/>
      <c r="W375" s="280"/>
      <c r="X375" s="280"/>
      <c r="Y375" s="280"/>
      <c r="Z375" s="280"/>
      <c r="AA375" s="280"/>
      <c r="AB375" s="280"/>
      <c r="AC375" s="280"/>
      <c r="AD375" s="280"/>
      <c r="AE375" s="280"/>
      <c r="AF375" s="704"/>
      <c r="AG375" s="704"/>
      <c r="AH375" s="704"/>
      <c r="AI375" s="705"/>
      <c r="AJ375" s="705"/>
      <c r="AK375" s="705"/>
      <c r="AL375" s="705"/>
      <c r="AM375" s="705"/>
      <c r="AN375" s="705"/>
      <c r="AO375" s="705"/>
      <c r="AP375" s="705"/>
      <c r="AQ375" s="705"/>
      <c r="AR375" s="705"/>
      <c r="AS375" s="705"/>
      <c r="AT375" s="705"/>
      <c r="AU375" s="705"/>
      <c r="AV375" s="705"/>
      <c r="AW375" s="705"/>
      <c r="AX375" s="705"/>
      <c r="AY375" s="705"/>
      <c r="AZ375" s="705"/>
      <c r="BA375" s="705"/>
      <c r="BB375" s="705"/>
      <c r="BC375" s="705"/>
      <c r="BD375" s="705"/>
      <c r="BE375" s="705"/>
      <c r="BF375" s="705"/>
      <c r="BG375" s="705"/>
      <c r="BH375" s="705"/>
      <c r="BI375" s="705"/>
      <c r="BJ375" s="705"/>
      <c r="BK375" s="705"/>
      <c r="BL375" s="705"/>
      <c r="BM375" s="705"/>
      <c r="BN375" s="705"/>
      <c r="BO375" s="705"/>
    </row>
    <row r="376" spans="1:67" s="706" customFormat="1" ht="10.55" customHeight="1" x14ac:dyDescent="0.2">
      <c r="A376" s="827"/>
      <c r="B376" s="367"/>
      <c r="C376" s="367"/>
      <c r="D376" s="377"/>
      <c r="E376" s="716"/>
      <c r="F376" s="722"/>
      <c r="G376" s="740"/>
      <c r="H376" s="741"/>
      <c r="I376" s="742"/>
      <c r="J376" s="743"/>
      <c r="K376" s="744"/>
      <c r="L376" s="745"/>
      <c r="M376" s="1036"/>
      <c r="N376" s="339"/>
      <c r="O376" s="702"/>
      <c r="P376" s="703"/>
      <c r="Q376" s="286"/>
      <c r="R376" s="287"/>
      <c r="S376" s="280"/>
      <c r="T376" s="280"/>
      <c r="U376" s="280"/>
      <c r="V376" s="280"/>
      <c r="W376" s="280"/>
      <c r="X376" s="280"/>
      <c r="Y376" s="280"/>
      <c r="Z376" s="280"/>
      <c r="AA376" s="280"/>
      <c r="AB376" s="280"/>
      <c r="AC376" s="280"/>
      <c r="AD376" s="280"/>
      <c r="AE376" s="280"/>
      <c r="AF376" s="704"/>
      <c r="AG376" s="704"/>
      <c r="AH376" s="704"/>
      <c r="AI376" s="705"/>
      <c r="AJ376" s="705"/>
      <c r="AK376" s="705"/>
      <c r="AL376" s="705"/>
      <c r="AM376" s="705"/>
      <c r="AN376" s="705"/>
      <c r="AO376" s="705"/>
      <c r="AP376" s="705"/>
      <c r="AQ376" s="705"/>
      <c r="AR376" s="705"/>
      <c r="AS376" s="705"/>
      <c r="AT376" s="705"/>
      <c r="AU376" s="705"/>
      <c r="AV376" s="705"/>
      <c r="AW376" s="705"/>
      <c r="AX376" s="705"/>
      <c r="AY376" s="705"/>
      <c r="AZ376" s="705"/>
      <c r="BA376" s="705"/>
      <c r="BB376" s="705"/>
      <c r="BC376" s="705"/>
      <c r="BD376" s="705"/>
      <c r="BE376" s="705"/>
      <c r="BF376" s="705"/>
      <c r="BG376" s="705"/>
      <c r="BH376" s="705"/>
      <c r="BI376" s="705"/>
      <c r="BJ376" s="705"/>
      <c r="BK376" s="705"/>
      <c r="BL376" s="705"/>
      <c r="BM376" s="705"/>
      <c r="BN376" s="705"/>
      <c r="BO376" s="705"/>
    </row>
    <row r="377" spans="1:67" s="706" customFormat="1" ht="10.55" customHeight="1" x14ac:dyDescent="0.2">
      <c r="A377" s="826" t="s">
        <v>445</v>
      </c>
      <c r="B377" s="378"/>
      <c r="C377" s="378"/>
      <c r="D377" s="377"/>
      <c r="E377" s="372"/>
      <c r="F377" s="720"/>
      <c r="G377" s="740"/>
      <c r="H377" s="741"/>
      <c r="I377" s="742"/>
      <c r="J377" s="743"/>
      <c r="K377" s="744"/>
      <c r="L377" s="745"/>
      <c r="M377" s="1036"/>
      <c r="N377" s="339"/>
      <c r="O377" s="702"/>
      <c r="P377" s="703"/>
      <c r="Q377" s="286"/>
      <c r="R377" s="287"/>
      <c r="S377" s="280"/>
      <c r="T377" s="280"/>
      <c r="U377" s="280"/>
      <c r="V377" s="280"/>
      <c r="W377" s="280"/>
      <c r="X377" s="280"/>
      <c r="Y377" s="280"/>
      <c r="Z377" s="280"/>
      <c r="AA377" s="280"/>
      <c r="AB377" s="280"/>
      <c r="AC377" s="280"/>
      <c r="AD377" s="280"/>
      <c r="AE377" s="280"/>
      <c r="AF377" s="704"/>
      <c r="AG377" s="704"/>
      <c r="AH377" s="704"/>
      <c r="AI377" s="705"/>
      <c r="AJ377" s="705"/>
      <c r="AK377" s="705"/>
      <c r="AL377" s="705"/>
      <c r="AM377" s="705"/>
      <c r="AN377" s="705"/>
      <c r="AO377" s="705"/>
      <c r="AP377" s="705"/>
      <c r="AQ377" s="705"/>
      <c r="AR377" s="705"/>
      <c r="AS377" s="705"/>
      <c r="AT377" s="705"/>
      <c r="AU377" s="705"/>
      <c r="AV377" s="705"/>
      <c r="AW377" s="705"/>
      <c r="AX377" s="705"/>
      <c r="AY377" s="705"/>
      <c r="AZ377" s="705"/>
      <c r="BA377" s="705"/>
      <c r="BB377" s="705"/>
      <c r="BC377" s="705"/>
      <c r="BD377" s="705"/>
      <c r="BE377" s="705"/>
      <c r="BF377" s="705"/>
      <c r="BG377" s="705"/>
      <c r="BH377" s="705"/>
      <c r="BI377" s="705"/>
      <c r="BJ377" s="705"/>
      <c r="BK377" s="705"/>
      <c r="BL377" s="705"/>
      <c r="BM377" s="705"/>
      <c r="BN377" s="705"/>
      <c r="BO377" s="705"/>
    </row>
    <row r="378" spans="1:67" s="706" customFormat="1" ht="10.55" customHeight="1" x14ac:dyDescent="0.2">
      <c r="A378" s="827" t="s">
        <v>440</v>
      </c>
      <c r="B378" s="367"/>
      <c r="C378" s="367"/>
      <c r="D378" s="373" t="s">
        <v>441</v>
      </c>
      <c r="E378" s="2821">
        <f>SUM(E44,E196,E211,E226,E286)</f>
        <v>0</v>
      </c>
      <c r="F378" s="2822"/>
      <c r="G378" s="746"/>
      <c r="H378" s="747"/>
      <c r="I378" s="742"/>
      <c r="J378" s="743"/>
      <c r="K378" s="744"/>
      <c r="L378" s="745"/>
      <c r="M378" s="1036"/>
      <c r="N378" s="339"/>
      <c r="O378" s="702"/>
      <c r="P378" s="703"/>
      <c r="Q378" s="286"/>
      <c r="R378" s="287"/>
      <c r="S378" s="280"/>
      <c r="T378" s="280"/>
      <c r="U378" s="280"/>
      <c r="V378" s="280"/>
      <c r="W378" s="280"/>
      <c r="X378" s="280"/>
      <c r="Y378" s="280"/>
      <c r="Z378" s="280"/>
      <c r="AA378" s="280"/>
      <c r="AB378" s="280"/>
      <c r="AC378" s="280"/>
      <c r="AD378" s="280"/>
      <c r="AE378" s="280"/>
      <c r="AF378" s="704"/>
      <c r="AG378" s="704"/>
      <c r="AH378" s="704"/>
      <c r="AI378" s="705"/>
      <c r="AJ378" s="705"/>
      <c r="AK378" s="705"/>
      <c r="AL378" s="705"/>
      <c r="AM378" s="705"/>
      <c r="AN378" s="705"/>
      <c r="AO378" s="705"/>
      <c r="AP378" s="705"/>
      <c r="AQ378" s="705"/>
      <c r="AR378" s="705"/>
      <c r="AS378" s="705"/>
      <c r="AT378" s="705"/>
      <c r="AU378" s="705"/>
      <c r="AV378" s="705"/>
      <c r="AW378" s="705"/>
      <c r="AX378" s="705"/>
      <c r="AY378" s="705"/>
      <c r="AZ378" s="705"/>
      <c r="BA378" s="705"/>
      <c r="BB378" s="705"/>
      <c r="BC378" s="705"/>
      <c r="BD378" s="705"/>
      <c r="BE378" s="705"/>
      <c r="BF378" s="705"/>
      <c r="BG378" s="705"/>
      <c r="BH378" s="705"/>
      <c r="BI378" s="705"/>
      <c r="BJ378" s="705"/>
      <c r="BK378" s="705"/>
      <c r="BL378" s="705"/>
      <c r="BM378" s="705"/>
      <c r="BN378" s="705"/>
      <c r="BO378" s="705"/>
    </row>
    <row r="379" spans="1:67" s="706" customFormat="1" ht="10.55" customHeight="1" x14ac:dyDescent="0.2">
      <c r="A379" s="827" t="s">
        <v>495</v>
      </c>
      <c r="B379" s="367"/>
      <c r="C379" s="367"/>
      <c r="D379" s="373" t="s">
        <v>442</v>
      </c>
      <c r="E379" s="712">
        <f>IF(E378=0,0,E382+E383/(E378^(1/3)))</f>
        <v>0</v>
      </c>
      <c r="F379" s="721"/>
      <c r="G379" s="748"/>
      <c r="H379" s="741"/>
      <c r="I379" s="742"/>
      <c r="J379" s="743"/>
      <c r="K379" s="744"/>
      <c r="L379" s="745"/>
      <c r="M379" s="1036"/>
      <c r="N379" s="339"/>
      <c r="O379" s="702"/>
      <c r="P379" s="703"/>
      <c r="Q379" s="286"/>
      <c r="R379" s="287"/>
      <c r="S379" s="280"/>
      <c r="T379" s="280"/>
      <c r="U379" s="280"/>
      <c r="V379" s="280"/>
      <c r="W379" s="280"/>
      <c r="X379" s="280"/>
      <c r="Y379" s="280"/>
      <c r="Z379" s="280"/>
      <c r="AA379" s="280"/>
      <c r="AB379" s="280"/>
      <c r="AC379" s="280"/>
      <c r="AD379" s="280"/>
      <c r="AE379" s="280"/>
      <c r="AF379" s="704"/>
      <c r="AG379" s="704"/>
      <c r="AH379" s="704"/>
      <c r="AI379" s="705"/>
      <c r="AJ379" s="705"/>
      <c r="AK379" s="705"/>
      <c r="AL379" s="705"/>
      <c r="AM379" s="705"/>
      <c r="AN379" s="705"/>
      <c r="AO379" s="705"/>
      <c r="AP379" s="705"/>
      <c r="AQ379" s="705"/>
      <c r="AR379" s="705"/>
      <c r="AS379" s="705"/>
      <c r="AT379" s="705"/>
      <c r="AU379" s="705"/>
      <c r="AV379" s="705"/>
      <c r="AW379" s="705"/>
      <c r="AX379" s="705"/>
      <c r="AY379" s="705"/>
      <c r="AZ379" s="705"/>
      <c r="BA379" s="705"/>
      <c r="BB379" s="705"/>
      <c r="BC379" s="705"/>
      <c r="BD379" s="705"/>
      <c r="BE379" s="705"/>
      <c r="BF379" s="705"/>
      <c r="BG379" s="705"/>
      <c r="BH379" s="705"/>
      <c r="BI379" s="705"/>
      <c r="BJ379" s="705"/>
      <c r="BK379" s="705"/>
      <c r="BL379" s="705"/>
      <c r="BM379" s="705"/>
      <c r="BN379" s="705"/>
      <c r="BO379" s="705"/>
    </row>
    <row r="380" spans="1:67" s="706" customFormat="1" ht="10.55" customHeight="1" x14ac:dyDescent="0.2">
      <c r="A380" s="827" t="s">
        <v>443</v>
      </c>
      <c r="B380" s="367"/>
      <c r="C380" s="367"/>
      <c r="D380" s="373" t="s">
        <v>444</v>
      </c>
      <c r="E380" s="375">
        <v>0.9</v>
      </c>
      <c r="F380" s="721"/>
      <c r="G380" s="748"/>
      <c r="H380" s="741"/>
      <c r="I380" s="742"/>
      <c r="J380" s="743"/>
      <c r="K380" s="744"/>
      <c r="L380" s="745"/>
      <c r="M380" s="1036"/>
      <c r="N380" s="339"/>
      <c r="O380" s="702"/>
      <c r="P380" s="703"/>
      <c r="Q380" s="286"/>
      <c r="R380" s="287"/>
      <c r="S380" s="280"/>
      <c r="T380" s="280"/>
      <c r="U380" s="280"/>
      <c r="V380" s="280"/>
      <c r="W380" s="280"/>
      <c r="X380" s="280"/>
      <c r="Y380" s="280"/>
      <c r="Z380" s="280"/>
      <c r="AA380" s="280"/>
      <c r="AB380" s="280"/>
      <c r="AC380" s="280"/>
      <c r="AD380" s="280"/>
      <c r="AE380" s="280"/>
      <c r="AF380" s="704"/>
      <c r="AG380" s="704"/>
      <c r="AH380" s="704"/>
      <c r="AI380" s="705"/>
      <c r="AJ380" s="705"/>
      <c r="AK380" s="705"/>
      <c r="AL380" s="705"/>
      <c r="AM380" s="705"/>
      <c r="AN380" s="705"/>
      <c r="AO380" s="705"/>
      <c r="AP380" s="705"/>
      <c r="AQ380" s="705"/>
      <c r="AR380" s="705"/>
      <c r="AS380" s="705"/>
      <c r="AT380" s="705"/>
      <c r="AU380" s="705"/>
      <c r="AV380" s="705"/>
      <c r="AW380" s="705"/>
      <c r="AX380" s="705"/>
      <c r="AY380" s="705"/>
      <c r="AZ380" s="705"/>
      <c r="BA380" s="705"/>
      <c r="BB380" s="705"/>
      <c r="BC380" s="705"/>
      <c r="BD380" s="705"/>
      <c r="BE380" s="705"/>
      <c r="BF380" s="705"/>
      <c r="BG380" s="705"/>
      <c r="BH380" s="705"/>
      <c r="BI380" s="705"/>
      <c r="BJ380" s="705"/>
      <c r="BK380" s="705"/>
      <c r="BL380" s="705"/>
      <c r="BM380" s="705"/>
      <c r="BN380" s="705"/>
      <c r="BO380" s="705"/>
    </row>
    <row r="381" spans="1:67" s="706" customFormat="1" ht="10.55" customHeight="1" x14ac:dyDescent="0.2">
      <c r="A381" s="827" t="s">
        <v>500</v>
      </c>
      <c r="B381" s="367"/>
      <c r="C381" s="367"/>
      <c r="D381" s="373" t="s">
        <v>494</v>
      </c>
      <c r="E381" s="375">
        <v>1</v>
      </c>
      <c r="F381" s="721"/>
      <c r="G381" s="748"/>
      <c r="H381" s="741"/>
      <c r="I381" s="742"/>
      <c r="J381" s="743"/>
      <c r="K381" s="744"/>
      <c r="L381" s="745"/>
      <c r="M381" s="1036"/>
      <c r="N381" s="339"/>
      <c r="O381" s="702"/>
      <c r="P381" s="703"/>
      <c r="Q381" s="286"/>
      <c r="R381" s="287"/>
      <c r="S381" s="280"/>
      <c r="T381" s="280"/>
      <c r="U381" s="280"/>
      <c r="V381" s="280"/>
      <c r="W381" s="280"/>
      <c r="X381" s="280"/>
      <c r="Y381" s="280"/>
      <c r="Z381" s="280"/>
      <c r="AA381" s="280"/>
      <c r="AB381" s="280"/>
      <c r="AC381" s="280"/>
      <c r="AD381" s="280"/>
      <c r="AE381" s="280"/>
      <c r="AF381" s="704"/>
      <c r="AG381" s="704"/>
      <c r="AH381" s="704"/>
      <c r="AI381" s="705"/>
      <c r="AJ381" s="705"/>
      <c r="AK381" s="705"/>
      <c r="AL381" s="705"/>
      <c r="AM381" s="705"/>
      <c r="AN381" s="705"/>
      <c r="AO381" s="705"/>
      <c r="AP381" s="705"/>
      <c r="AQ381" s="705"/>
      <c r="AR381" s="705"/>
      <c r="AS381" s="705"/>
      <c r="AT381" s="705"/>
      <c r="AU381" s="705"/>
      <c r="AV381" s="705"/>
      <c r="AW381" s="705"/>
      <c r="AX381" s="705"/>
      <c r="AY381" s="705"/>
      <c r="AZ381" s="705"/>
      <c r="BA381" s="705"/>
      <c r="BB381" s="705"/>
      <c r="BC381" s="705"/>
      <c r="BD381" s="705"/>
      <c r="BE381" s="705"/>
      <c r="BF381" s="705"/>
      <c r="BG381" s="705"/>
      <c r="BH381" s="705"/>
      <c r="BI381" s="705"/>
      <c r="BJ381" s="705"/>
      <c r="BK381" s="705"/>
      <c r="BL381" s="705"/>
      <c r="BM381" s="705"/>
      <c r="BN381" s="705"/>
      <c r="BO381" s="705"/>
    </row>
    <row r="382" spans="1:67" s="706" customFormat="1" ht="10.55" customHeight="1" x14ac:dyDescent="0.2">
      <c r="A382" s="827" t="s">
        <v>501</v>
      </c>
      <c r="B382" s="2823" t="s">
        <v>837</v>
      </c>
      <c r="C382" s="2823"/>
      <c r="D382" s="373" t="s">
        <v>492</v>
      </c>
      <c r="E382" s="376">
        <v>6.2E-2</v>
      </c>
      <c r="F382" s="721"/>
      <c r="G382" s="2824"/>
      <c r="H382" s="2825"/>
      <c r="I382" s="742"/>
      <c r="J382" s="743"/>
      <c r="K382" s="744"/>
      <c r="L382" s="745"/>
      <c r="M382" s="1036"/>
      <c r="N382" s="339"/>
      <c r="O382" s="702"/>
      <c r="P382" s="703"/>
      <c r="Q382" s="286"/>
      <c r="R382" s="287"/>
      <c r="S382" s="280"/>
      <c r="T382" s="280"/>
      <c r="U382" s="280"/>
      <c r="V382" s="280"/>
      <c r="W382" s="280"/>
      <c r="X382" s="280"/>
      <c r="Y382" s="280"/>
      <c r="Z382" s="280"/>
      <c r="AA382" s="280"/>
      <c r="AB382" s="280"/>
      <c r="AC382" s="280"/>
      <c r="AD382" s="280"/>
      <c r="AE382" s="280"/>
      <c r="AF382" s="704"/>
      <c r="AG382" s="704"/>
      <c r="AH382" s="704"/>
      <c r="AI382" s="705"/>
      <c r="AJ382" s="705"/>
      <c r="AK382" s="705"/>
      <c r="AL382" s="705"/>
      <c r="AM382" s="705"/>
      <c r="AN382" s="705"/>
      <c r="AO382" s="705"/>
      <c r="AP382" s="705"/>
      <c r="AQ382" s="705"/>
      <c r="AR382" s="705"/>
      <c r="AS382" s="705"/>
      <c r="AT382" s="705"/>
      <c r="AU382" s="705"/>
      <c r="AV382" s="705"/>
      <c r="AW382" s="705"/>
      <c r="AX382" s="705"/>
      <c r="AY382" s="705"/>
      <c r="AZ382" s="705"/>
      <c r="BA382" s="705"/>
      <c r="BB382" s="705"/>
      <c r="BC382" s="705"/>
      <c r="BD382" s="705"/>
      <c r="BE382" s="705"/>
      <c r="BF382" s="705"/>
      <c r="BG382" s="705"/>
      <c r="BH382" s="705"/>
      <c r="BI382" s="705"/>
      <c r="BJ382" s="705"/>
      <c r="BK382" s="705"/>
      <c r="BL382" s="705"/>
      <c r="BM382" s="705"/>
      <c r="BN382" s="705"/>
      <c r="BO382" s="705"/>
    </row>
    <row r="383" spans="1:67" s="706" customFormat="1" ht="10.55" customHeight="1" x14ac:dyDescent="0.2">
      <c r="A383" s="827" t="s">
        <v>502</v>
      </c>
      <c r="B383" s="2823" t="s">
        <v>837</v>
      </c>
      <c r="C383" s="2823"/>
      <c r="D383" s="373" t="s">
        <v>493</v>
      </c>
      <c r="E383" s="376">
        <v>10.58</v>
      </c>
      <c r="F383" s="721"/>
      <c r="G383" s="2824"/>
      <c r="H383" s="2825"/>
      <c r="I383" s="742"/>
      <c r="J383" s="743"/>
      <c r="K383" s="744"/>
      <c r="L383" s="745"/>
      <c r="M383" s="1036"/>
      <c r="N383" s="339"/>
      <c r="O383" s="702"/>
      <c r="P383" s="703"/>
      <c r="Q383" s="286"/>
      <c r="R383" s="287"/>
      <c r="S383" s="280"/>
      <c r="T383" s="280"/>
      <c r="U383" s="280"/>
      <c r="V383" s="280"/>
      <c r="W383" s="280"/>
      <c r="X383" s="280"/>
      <c r="Y383" s="280"/>
      <c r="Z383" s="280"/>
      <c r="AA383" s="280"/>
      <c r="AB383" s="280"/>
      <c r="AC383" s="280"/>
      <c r="AD383" s="280"/>
      <c r="AE383" s="280"/>
      <c r="AF383" s="704"/>
      <c r="AG383" s="704"/>
      <c r="AH383" s="704"/>
      <c r="AI383" s="705"/>
      <c r="AJ383" s="705"/>
      <c r="AK383" s="705"/>
      <c r="AL383" s="705"/>
      <c r="AM383" s="705"/>
      <c r="AN383" s="705"/>
      <c r="AO383" s="705"/>
      <c r="AP383" s="705"/>
      <c r="AQ383" s="705"/>
      <c r="AR383" s="705"/>
      <c r="AS383" s="705"/>
      <c r="AT383" s="705"/>
      <c r="AU383" s="705"/>
      <c r="AV383" s="705"/>
      <c r="AW383" s="705"/>
      <c r="AX383" s="705"/>
      <c r="AY383" s="705"/>
      <c r="AZ383" s="705"/>
      <c r="BA383" s="705"/>
      <c r="BB383" s="705"/>
      <c r="BC383" s="705"/>
      <c r="BD383" s="705"/>
      <c r="BE383" s="705"/>
      <c r="BF383" s="705"/>
      <c r="BG383" s="705"/>
      <c r="BH383" s="705"/>
      <c r="BI383" s="705"/>
      <c r="BJ383" s="705"/>
      <c r="BK383" s="705"/>
      <c r="BL383" s="705"/>
      <c r="BM383" s="705"/>
      <c r="BN383" s="705"/>
      <c r="BO383" s="705"/>
    </row>
    <row r="384" spans="1:67" s="706" customFormat="1" ht="10.55" customHeight="1" x14ac:dyDescent="0.2">
      <c r="A384" s="827" t="s">
        <v>498</v>
      </c>
      <c r="B384" s="367"/>
      <c r="C384" s="367"/>
      <c r="D384" s="373" t="s">
        <v>499</v>
      </c>
      <c r="E384" s="376">
        <v>100</v>
      </c>
      <c r="F384" s="1037"/>
      <c r="G384" s="1038"/>
      <c r="H384" s="1039"/>
      <c r="I384" s="742"/>
      <c r="J384" s="743"/>
      <c r="K384" s="744"/>
      <c r="L384" s="745"/>
      <c r="M384" s="1036"/>
      <c r="N384" s="339"/>
      <c r="O384" s="702"/>
      <c r="P384" s="703"/>
      <c r="Q384" s="286"/>
      <c r="R384" s="287"/>
      <c r="S384" s="280"/>
      <c r="T384" s="280"/>
      <c r="U384" s="280"/>
      <c r="V384" s="280"/>
      <c r="W384" s="280"/>
      <c r="X384" s="280"/>
      <c r="Y384" s="280"/>
      <c r="Z384" s="280"/>
      <c r="AA384" s="280"/>
      <c r="AB384" s="280"/>
      <c r="AC384" s="280"/>
      <c r="AD384" s="280"/>
      <c r="AE384" s="280"/>
      <c r="AF384" s="704"/>
      <c r="AG384" s="704"/>
      <c r="AH384" s="704"/>
      <c r="AI384" s="705"/>
      <c r="AJ384" s="705"/>
      <c r="AK384" s="705"/>
      <c r="AL384" s="705"/>
      <c r="AM384" s="705"/>
      <c r="AN384" s="705"/>
      <c r="AO384" s="705"/>
      <c r="AP384" s="705"/>
      <c r="AQ384" s="705"/>
      <c r="AR384" s="705"/>
      <c r="AS384" s="705"/>
      <c r="AT384" s="705"/>
      <c r="AU384" s="705"/>
      <c r="AV384" s="705"/>
      <c r="AW384" s="705"/>
      <c r="AX384" s="705"/>
      <c r="AY384" s="705"/>
      <c r="AZ384" s="705"/>
      <c r="BA384" s="705"/>
      <c r="BB384" s="705"/>
      <c r="BC384" s="705"/>
      <c r="BD384" s="705"/>
      <c r="BE384" s="705"/>
      <c r="BF384" s="705"/>
      <c r="BG384" s="705"/>
      <c r="BH384" s="705"/>
      <c r="BI384" s="705"/>
      <c r="BJ384" s="705"/>
      <c r="BK384" s="705"/>
      <c r="BL384" s="705"/>
      <c r="BM384" s="705"/>
      <c r="BN384" s="705"/>
      <c r="BO384" s="705"/>
    </row>
    <row r="385" spans="1:67" s="706" customFormat="1" ht="10.55" customHeight="1" x14ac:dyDescent="0.2">
      <c r="A385" s="827" t="s">
        <v>496</v>
      </c>
      <c r="B385" s="367"/>
      <c r="C385" s="367"/>
      <c r="D385" s="373" t="s">
        <v>497</v>
      </c>
      <c r="E385" s="375">
        <v>1</v>
      </c>
      <c r="F385" s="1040"/>
      <c r="G385" s="1038"/>
      <c r="H385" s="1039"/>
      <c r="I385" s="742"/>
      <c r="J385" s="743"/>
      <c r="K385" s="744"/>
      <c r="L385" s="745"/>
      <c r="M385" s="1036"/>
      <c r="N385" s="339"/>
      <c r="O385" s="702"/>
      <c r="P385" s="703"/>
      <c r="Q385" s="286"/>
      <c r="R385" s="287"/>
      <c r="S385" s="280"/>
      <c r="T385" s="280"/>
      <c r="U385" s="280"/>
      <c r="V385" s="280"/>
      <c r="W385" s="280"/>
      <c r="X385" s="280"/>
      <c r="Y385" s="280"/>
      <c r="Z385" s="280"/>
      <c r="AA385" s="280"/>
      <c r="AB385" s="280"/>
      <c r="AC385" s="280"/>
      <c r="AD385" s="280"/>
      <c r="AE385" s="280"/>
      <c r="AF385" s="704"/>
      <c r="AG385" s="704"/>
      <c r="AH385" s="704"/>
      <c r="AI385" s="705"/>
      <c r="AJ385" s="705"/>
      <c r="AK385" s="705"/>
      <c r="AL385" s="705"/>
      <c r="AM385" s="705"/>
      <c r="AN385" s="705"/>
      <c r="AO385" s="705"/>
      <c r="AP385" s="705"/>
      <c r="AQ385" s="705"/>
      <c r="AR385" s="705"/>
      <c r="AS385" s="705"/>
      <c r="AT385" s="705"/>
      <c r="AU385" s="705"/>
      <c r="AV385" s="705"/>
      <c r="AW385" s="705"/>
      <c r="AX385" s="705"/>
      <c r="AY385" s="705"/>
      <c r="AZ385" s="705"/>
      <c r="BA385" s="705"/>
      <c r="BB385" s="705"/>
      <c r="BC385" s="705"/>
      <c r="BD385" s="705"/>
      <c r="BE385" s="705"/>
      <c r="BF385" s="705"/>
      <c r="BG385" s="705"/>
      <c r="BH385" s="705"/>
      <c r="BI385" s="705"/>
      <c r="BJ385" s="705"/>
      <c r="BK385" s="705"/>
      <c r="BL385" s="705"/>
      <c r="BM385" s="705"/>
      <c r="BN385" s="705"/>
      <c r="BO385" s="705"/>
    </row>
    <row r="386" spans="1:67" s="706" customFormat="1" ht="10.55" customHeight="1" x14ac:dyDescent="0.2">
      <c r="A386" s="827" t="s">
        <v>503</v>
      </c>
      <c r="B386" s="367"/>
      <c r="C386" s="367"/>
      <c r="D386" s="373" t="s">
        <v>505</v>
      </c>
      <c r="E386" s="375">
        <v>1</v>
      </c>
      <c r="F386" s="1040"/>
      <c r="G386" s="1038"/>
      <c r="H386" s="1039"/>
      <c r="I386" s="742"/>
      <c r="J386" s="743"/>
      <c r="K386" s="744"/>
      <c r="L386" s="745"/>
      <c r="M386" s="1036"/>
      <c r="N386" s="339"/>
      <c r="O386" s="702"/>
      <c r="P386" s="703"/>
      <c r="Q386" s="286"/>
      <c r="R386" s="287"/>
      <c r="S386" s="280"/>
      <c r="T386" s="280"/>
      <c r="U386" s="280"/>
      <c r="V386" s="280"/>
      <c r="W386" s="280"/>
      <c r="X386" s="280"/>
      <c r="Y386" s="280"/>
      <c r="Z386" s="280"/>
      <c r="AA386" s="280"/>
      <c r="AB386" s="280"/>
      <c r="AC386" s="280"/>
      <c r="AD386" s="280"/>
      <c r="AE386" s="280"/>
      <c r="AF386" s="704"/>
      <c r="AG386" s="704"/>
      <c r="AH386" s="704"/>
      <c r="AI386" s="705"/>
      <c r="AJ386" s="705"/>
      <c r="AK386" s="705"/>
      <c r="AL386" s="705"/>
      <c r="AM386" s="705"/>
      <c r="AN386" s="705"/>
      <c r="AO386" s="705"/>
      <c r="AP386" s="705"/>
      <c r="AQ386" s="705"/>
      <c r="AR386" s="705"/>
      <c r="AS386" s="705"/>
      <c r="AT386" s="705"/>
      <c r="AU386" s="705"/>
      <c r="AV386" s="705"/>
      <c r="AW386" s="705"/>
      <c r="AX386" s="705"/>
      <c r="AY386" s="705"/>
      <c r="AZ386" s="705"/>
      <c r="BA386" s="705"/>
      <c r="BB386" s="705"/>
      <c r="BC386" s="705"/>
      <c r="BD386" s="705"/>
      <c r="BE386" s="705"/>
      <c r="BF386" s="705"/>
      <c r="BG386" s="705"/>
      <c r="BH386" s="705"/>
      <c r="BI386" s="705"/>
      <c r="BJ386" s="705"/>
      <c r="BK386" s="705"/>
      <c r="BL386" s="705"/>
      <c r="BM386" s="705"/>
      <c r="BN386" s="705"/>
      <c r="BO386" s="705"/>
    </row>
    <row r="387" spans="1:67" s="706" customFormat="1" ht="10.55" customHeight="1" x14ac:dyDescent="0.2">
      <c r="A387" s="827" t="s">
        <v>504</v>
      </c>
      <c r="B387" s="367"/>
      <c r="C387" s="367"/>
      <c r="D387" s="373" t="s">
        <v>506</v>
      </c>
      <c r="E387" s="711">
        <v>150</v>
      </c>
      <c r="F387" s="1040"/>
      <c r="G387" s="1038"/>
      <c r="H387" s="1039"/>
      <c r="I387" s="742"/>
      <c r="J387" s="743"/>
      <c r="K387" s="744"/>
      <c r="L387" s="745"/>
      <c r="M387" s="1036"/>
      <c r="N387" s="339"/>
      <c r="O387" s="702"/>
      <c r="P387" s="703"/>
      <c r="Q387" s="286"/>
      <c r="R387" s="287"/>
      <c r="S387" s="280"/>
      <c r="T387" s="280"/>
      <c r="U387" s="280"/>
      <c r="V387" s="280"/>
      <c r="W387" s="280"/>
      <c r="X387" s="280"/>
      <c r="Y387" s="280"/>
      <c r="Z387" s="280"/>
      <c r="AA387" s="280"/>
      <c r="AB387" s="280"/>
      <c r="AC387" s="280"/>
      <c r="AD387" s="280"/>
      <c r="AE387" s="280"/>
      <c r="AF387" s="704"/>
      <c r="AG387" s="704"/>
      <c r="AH387" s="704"/>
      <c r="AI387" s="705"/>
      <c r="AJ387" s="705"/>
      <c r="AK387" s="705"/>
      <c r="AL387" s="705"/>
      <c r="AM387" s="705"/>
      <c r="AN387" s="705"/>
      <c r="AO387" s="705"/>
      <c r="AP387" s="705"/>
      <c r="AQ387" s="705"/>
      <c r="AR387" s="705"/>
      <c r="AS387" s="705"/>
      <c r="AT387" s="705"/>
      <c r="AU387" s="705"/>
      <c r="AV387" s="705"/>
      <c r="AW387" s="705"/>
      <c r="AX387" s="705"/>
      <c r="AY387" s="705"/>
      <c r="AZ387" s="705"/>
      <c r="BA387" s="705"/>
      <c r="BB387" s="705"/>
      <c r="BC387" s="705"/>
      <c r="BD387" s="705"/>
      <c r="BE387" s="705"/>
      <c r="BF387" s="705"/>
      <c r="BG387" s="705"/>
      <c r="BH387" s="705"/>
      <c r="BI387" s="705"/>
      <c r="BJ387" s="705"/>
      <c r="BK387" s="705"/>
      <c r="BL387" s="705"/>
      <c r="BM387" s="705"/>
      <c r="BN387" s="705"/>
      <c r="BO387" s="705"/>
    </row>
    <row r="388" spans="1:67" s="706" customFormat="1" ht="10.55" customHeight="1" x14ac:dyDescent="0.2">
      <c r="A388" s="828" t="s">
        <v>507</v>
      </c>
      <c r="B388" s="370"/>
      <c r="C388" s="370"/>
      <c r="D388" s="715"/>
      <c r="E388" s="2810">
        <f>E378*E379/100*E380*E384/100*E381*E385*E386*E387</f>
        <v>0</v>
      </c>
      <c r="F388" s="2811"/>
      <c r="G388" s="1041"/>
      <c r="H388" s="1042"/>
      <c r="I388" s="736"/>
      <c r="J388" s="737"/>
      <c r="K388" s="738"/>
      <c r="L388" s="739"/>
      <c r="M388" s="1035"/>
      <c r="N388" s="339"/>
      <c r="O388" s="702"/>
      <c r="P388" s="703"/>
      <c r="Q388" s="286"/>
      <c r="R388" s="287"/>
      <c r="S388" s="280"/>
      <c r="T388" s="280"/>
      <c r="U388" s="280"/>
      <c r="V388" s="280"/>
      <c r="W388" s="280"/>
      <c r="X388" s="280"/>
      <c r="Y388" s="280"/>
      <c r="Z388" s="280"/>
      <c r="AA388" s="280"/>
      <c r="AB388" s="280"/>
      <c r="AC388" s="280"/>
      <c r="AD388" s="280"/>
      <c r="AE388" s="280"/>
      <c r="AF388" s="704"/>
      <c r="AG388" s="704"/>
      <c r="AH388" s="704"/>
      <c r="AI388" s="705"/>
      <c r="AJ388" s="705"/>
      <c r="AK388" s="705"/>
      <c r="AL388" s="705"/>
      <c r="AM388" s="705"/>
      <c r="AN388" s="705"/>
      <c r="AO388" s="705"/>
      <c r="AP388" s="705"/>
      <c r="AQ388" s="705"/>
      <c r="AR388" s="705"/>
      <c r="AS388" s="705"/>
      <c r="AT388" s="705"/>
      <c r="AU388" s="705"/>
      <c r="AV388" s="705"/>
      <c r="AW388" s="705"/>
      <c r="AX388" s="705"/>
      <c r="AY388" s="705"/>
      <c r="AZ388" s="705"/>
      <c r="BA388" s="705"/>
      <c r="BB388" s="705"/>
      <c r="BC388" s="705"/>
      <c r="BD388" s="705"/>
      <c r="BE388" s="705"/>
      <c r="BF388" s="705"/>
      <c r="BG388" s="705"/>
      <c r="BH388" s="705"/>
      <c r="BI388" s="705"/>
      <c r="BJ388" s="705"/>
      <c r="BK388" s="705"/>
      <c r="BL388" s="705"/>
      <c r="BM388" s="705"/>
      <c r="BN388" s="705"/>
      <c r="BO388" s="705"/>
    </row>
    <row r="389" spans="1:67" s="706" customFormat="1" ht="10.55" customHeight="1" x14ac:dyDescent="0.2">
      <c r="A389" s="1043"/>
      <c r="B389" s="378"/>
      <c r="C389" s="378"/>
      <c r="D389" s="735"/>
      <c r="E389" s="1044"/>
      <c r="F389" s="1045"/>
      <c r="G389" s="1046"/>
      <c r="H389" s="1047"/>
      <c r="I389" s="700"/>
      <c r="J389" s="701"/>
      <c r="K389" s="717"/>
      <c r="L389" s="718"/>
      <c r="M389" s="1034"/>
      <c r="N389" s="339"/>
      <c r="O389" s="702"/>
      <c r="P389" s="703"/>
      <c r="Q389" s="286"/>
      <c r="R389" s="287"/>
      <c r="S389" s="280"/>
      <c r="T389" s="280"/>
      <c r="U389" s="280"/>
      <c r="V389" s="280"/>
      <c r="W389" s="280"/>
      <c r="X389" s="280"/>
      <c r="Y389" s="280"/>
      <c r="Z389" s="280"/>
      <c r="AA389" s="280"/>
      <c r="AB389" s="280"/>
      <c r="AC389" s="280"/>
      <c r="AD389" s="280"/>
      <c r="AE389" s="280"/>
      <c r="AF389" s="704"/>
      <c r="AG389" s="704"/>
      <c r="AH389" s="704"/>
      <c r="AI389" s="705"/>
      <c r="AJ389" s="705"/>
      <c r="AK389" s="705"/>
      <c r="AL389" s="705"/>
      <c r="AM389" s="705"/>
      <c r="AN389" s="705"/>
      <c r="AO389" s="705"/>
      <c r="AP389" s="705"/>
      <c r="AQ389" s="705"/>
      <c r="AR389" s="705"/>
      <c r="AS389" s="705"/>
      <c r="AT389" s="705"/>
      <c r="AU389" s="705"/>
      <c r="AV389" s="705"/>
      <c r="AW389" s="705"/>
      <c r="AX389" s="705"/>
      <c r="AY389" s="705"/>
      <c r="AZ389" s="705"/>
      <c r="BA389" s="705"/>
      <c r="BB389" s="705"/>
      <c r="BC389" s="705"/>
      <c r="BD389" s="705"/>
      <c r="BE389" s="705"/>
      <c r="BF389" s="705"/>
      <c r="BG389" s="705"/>
      <c r="BH389" s="705"/>
      <c r="BI389" s="705"/>
      <c r="BJ389" s="705"/>
      <c r="BK389" s="705"/>
      <c r="BL389" s="705"/>
      <c r="BM389" s="705"/>
      <c r="BN389" s="705"/>
      <c r="BO389" s="705"/>
    </row>
    <row r="390" spans="1:67" s="706" customFormat="1" ht="10.55" customHeight="1" x14ac:dyDescent="0.2">
      <c r="A390" s="824" t="s">
        <v>446</v>
      </c>
      <c r="B390" s="370"/>
      <c r="C390" s="370"/>
      <c r="D390" s="379"/>
      <c r="E390" s="1073"/>
      <c r="F390" s="725"/>
      <c r="G390" s="371"/>
      <c r="H390" s="1075"/>
      <c r="I390" s="736"/>
      <c r="J390" s="737"/>
      <c r="K390" s="738"/>
      <c r="L390" s="739"/>
      <c r="M390" s="1035"/>
      <c r="N390" s="339"/>
      <c r="O390" s="702"/>
      <c r="P390" s="703"/>
      <c r="Q390" s="286"/>
      <c r="R390" s="287"/>
      <c r="S390" s="280"/>
      <c r="T390" s="280"/>
      <c r="U390" s="280"/>
      <c r="V390" s="280"/>
      <c r="W390" s="280"/>
      <c r="X390" s="280"/>
      <c r="Y390" s="280"/>
      <c r="Z390" s="280"/>
      <c r="AA390" s="280"/>
      <c r="AB390" s="280"/>
      <c r="AC390" s="280"/>
      <c r="AD390" s="280"/>
      <c r="AE390" s="280"/>
      <c r="AF390" s="704"/>
      <c r="AG390" s="704"/>
      <c r="AH390" s="704"/>
      <c r="AI390" s="705"/>
      <c r="AJ390" s="705"/>
      <c r="AK390" s="705"/>
      <c r="AL390" s="705"/>
      <c r="AM390" s="705"/>
      <c r="AN390" s="705"/>
      <c r="AO390" s="705"/>
      <c r="AP390" s="705"/>
      <c r="AQ390" s="705"/>
      <c r="AR390" s="705"/>
      <c r="AS390" s="705"/>
      <c r="AT390" s="705"/>
      <c r="AU390" s="705"/>
      <c r="AV390" s="705"/>
      <c r="AW390" s="705"/>
      <c r="AX390" s="705"/>
      <c r="AY390" s="705"/>
      <c r="AZ390" s="705"/>
      <c r="BA390" s="705"/>
      <c r="BB390" s="705"/>
      <c r="BC390" s="705"/>
      <c r="BD390" s="705"/>
      <c r="BE390" s="705"/>
      <c r="BF390" s="705"/>
      <c r="BG390" s="705"/>
      <c r="BH390" s="705"/>
      <c r="BI390" s="705"/>
      <c r="BJ390" s="705"/>
      <c r="BK390" s="705"/>
      <c r="BL390" s="705"/>
      <c r="BM390" s="705"/>
      <c r="BN390" s="705"/>
      <c r="BO390" s="705"/>
    </row>
    <row r="391" spans="1:67" s="706" customFormat="1" ht="10.55" customHeight="1" x14ac:dyDescent="0.2">
      <c r="A391" s="825"/>
      <c r="B391" s="367"/>
      <c r="C391" s="367"/>
      <c r="D391" s="377"/>
      <c r="E391" s="716"/>
      <c r="F391" s="719"/>
      <c r="G391" s="740"/>
      <c r="H391" s="741"/>
      <c r="I391" s="742"/>
      <c r="J391" s="743"/>
      <c r="K391" s="744"/>
      <c r="L391" s="745"/>
      <c r="M391" s="1036"/>
      <c r="N391" s="339"/>
      <c r="O391" s="702"/>
      <c r="P391" s="703"/>
      <c r="Q391" s="286"/>
      <c r="R391" s="287"/>
      <c r="S391" s="280"/>
      <c r="T391" s="280"/>
      <c r="U391" s="280"/>
      <c r="V391" s="280"/>
      <c r="W391" s="280"/>
      <c r="X391" s="280"/>
      <c r="Y391" s="280"/>
      <c r="Z391" s="280"/>
      <c r="AA391" s="280"/>
      <c r="AB391" s="280"/>
      <c r="AC391" s="280"/>
      <c r="AD391" s="280"/>
      <c r="AE391" s="280"/>
      <c r="AF391" s="704"/>
      <c r="AG391" s="704"/>
      <c r="AH391" s="704"/>
      <c r="AI391" s="705"/>
      <c r="AJ391" s="705"/>
      <c r="AK391" s="705"/>
      <c r="AL391" s="705"/>
      <c r="AM391" s="705"/>
      <c r="AN391" s="705"/>
      <c r="AO391" s="705"/>
      <c r="AP391" s="705"/>
      <c r="AQ391" s="705"/>
      <c r="AR391" s="705"/>
      <c r="AS391" s="705"/>
      <c r="AT391" s="705"/>
      <c r="AU391" s="705"/>
      <c r="AV391" s="705"/>
      <c r="AW391" s="705"/>
      <c r="AX391" s="705"/>
      <c r="AY391" s="705"/>
      <c r="AZ391" s="705"/>
      <c r="BA391" s="705"/>
      <c r="BB391" s="705"/>
      <c r="BC391" s="705"/>
      <c r="BD391" s="705"/>
      <c r="BE391" s="705"/>
      <c r="BF391" s="705"/>
      <c r="BG391" s="705"/>
      <c r="BH391" s="705"/>
      <c r="BI391" s="705"/>
      <c r="BJ391" s="705"/>
      <c r="BK391" s="705"/>
      <c r="BL391" s="705"/>
      <c r="BM391" s="705"/>
      <c r="BN391" s="705"/>
      <c r="BO391" s="705"/>
    </row>
    <row r="392" spans="1:67" s="706" customFormat="1" ht="10.55" customHeight="1" x14ac:dyDescent="0.2">
      <c r="A392" s="826" t="s">
        <v>447</v>
      </c>
      <c r="B392" s="378"/>
      <c r="C392" s="378"/>
      <c r="D392" s="377"/>
      <c r="E392" s="372"/>
      <c r="F392" s="720"/>
      <c r="G392" s="740"/>
      <c r="H392" s="741"/>
      <c r="I392" s="742"/>
      <c r="J392" s="743"/>
      <c r="K392" s="744"/>
      <c r="L392" s="745"/>
      <c r="M392" s="1036"/>
      <c r="N392" s="339"/>
      <c r="O392" s="702"/>
      <c r="P392" s="703"/>
      <c r="Q392" s="286"/>
      <c r="R392" s="287"/>
      <c r="S392" s="280"/>
      <c r="T392" s="280"/>
      <c r="U392" s="280"/>
      <c r="V392" s="280"/>
      <c r="W392" s="280"/>
      <c r="X392" s="280"/>
      <c r="Y392" s="280"/>
      <c r="Z392" s="280"/>
      <c r="AA392" s="280"/>
      <c r="AB392" s="280"/>
      <c r="AC392" s="280"/>
      <c r="AD392" s="280"/>
      <c r="AE392" s="280"/>
      <c r="AF392" s="704"/>
      <c r="AG392" s="704"/>
      <c r="AH392" s="704"/>
      <c r="AI392" s="705"/>
      <c r="AJ392" s="705"/>
      <c r="AK392" s="705"/>
      <c r="AL392" s="705"/>
      <c r="AM392" s="705"/>
      <c r="AN392" s="705"/>
      <c r="AO392" s="705"/>
      <c r="AP392" s="705"/>
      <c r="AQ392" s="705"/>
      <c r="AR392" s="705"/>
      <c r="AS392" s="705"/>
      <c r="AT392" s="705"/>
      <c r="AU392" s="705"/>
      <c r="AV392" s="705"/>
      <c r="AW392" s="705"/>
      <c r="AX392" s="705"/>
      <c r="AY392" s="705"/>
      <c r="AZ392" s="705"/>
      <c r="BA392" s="705"/>
      <c r="BB392" s="705"/>
      <c r="BC392" s="705"/>
      <c r="BD392" s="705"/>
      <c r="BE392" s="705"/>
      <c r="BF392" s="705"/>
      <c r="BG392" s="705"/>
      <c r="BH392" s="705"/>
      <c r="BI392" s="705"/>
      <c r="BJ392" s="705"/>
      <c r="BK392" s="705"/>
      <c r="BL392" s="705"/>
      <c r="BM392" s="705"/>
      <c r="BN392" s="705"/>
      <c r="BO392" s="705"/>
    </row>
    <row r="393" spans="1:67" s="706" customFormat="1" ht="10.55" customHeight="1" x14ac:dyDescent="0.2">
      <c r="A393" s="1006" t="s">
        <v>548</v>
      </c>
      <c r="B393" s="2878"/>
      <c r="C393" s="2879"/>
      <c r="D393" s="2880"/>
      <c r="E393" s="2829"/>
      <c r="F393" s="2830"/>
      <c r="G393" s="746"/>
      <c r="H393" s="747"/>
      <c r="I393" s="742"/>
      <c r="J393" s="743"/>
      <c r="K393" s="744"/>
      <c r="L393" s="745"/>
      <c r="M393" s="1036"/>
      <c r="N393" s="339"/>
      <c r="O393" s="702"/>
      <c r="P393" s="703"/>
      <c r="Q393" s="286"/>
      <c r="R393" s="287"/>
      <c r="S393" s="280"/>
      <c r="T393" s="280"/>
      <c r="U393" s="280"/>
      <c r="V393" s="280"/>
      <c r="W393" s="280"/>
      <c r="X393" s="280"/>
      <c r="Y393" s="280"/>
      <c r="Z393" s="280"/>
      <c r="AA393" s="280"/>
      <c r="AB393" s="280"/>
      <c r="AC393" s="280"/>
      <c r="AD393" s="280"/>
      <c r="AE393" s="280"/>
      <c r="AF393" s="704"/>
      <c r="AG393" s="704"/>
      <c r="AH393" s="704"/>
      <c r="AI393" s="705"/>
      <c r="AJ393" s="705"/>
      <c r="AK393" s="705"/>
      <c r="AL393" s="705"/>
      <c r="AM393" s="705"/>
      <c r="AN393" s="705"/>
      <c r="AO393" s="705"/>
      <c r="AP393" s="705"/>
      <c r="AQ393" s="705"/>
      <c r="AR393" s="705"/>
      <c r="AS393" s="705"/>
      <c r="AT393" s="705"/>
      <c r="AU393" s="705"/>
      <c r="AV393" s="705"/>
      <c r="AW393" s="705"/>
      <c r="AX393" s="705"/>
      <c r="AY393" s="705"/>
      <c r="AZ393" s="705"/>
      <c r="BA393" s="705"/>
      <c r="BB393" s="705"/>
      <c r="BC393" s="705"/>
      <c r="BD393" s="705"/>
      <c r="BE393" s="705"/>
      <c r="BF393" s="705"/>
      <c r="BG393" s="705"/>
      <c r="BH393" s="705"/>
      <c r="BI393" s="705"/>
      <c r="BJ393" s="705"/>
      <c r="BK393" s="705"/>
      <c r="BL393" s="705"/>
      <c r="BM393" s="705"/>
      <c r="BN393" s="705"/>
      <c r="BO393" s="705"/>
    </row>
    <row r="394" spans="1:67" s="706" customFormat="1" ht="10.55" customHeight="1" x14ac:dyDescent="0.2">
      <c r="A394" s="1006" t="s">
        <v>66</v>
      </c>
      <c r="B394" s="2878"/>
      <c r="C394" s="2879"/>
      <c r="D394" s="2880"/>
      <c r="E394" s="2829"/>
      <c r="F394" s="2830"/>
      <c r="G394" s="748"/>
      <c r="H394" s="741"/>
      <c r="I394" s="742"/>
      <c r="J394" s="743"/>
      <c r="K394" s="744"/>
      <c r="L394" s="745"/>
      <c r="M394" s="1036"/>
      <c r="N394" s="339"/>
      <c r="O394" s="702"/>
      <c r="P394" s="703"/>
      <c r="Q394" s="286"/>
      <c r="R394" s="287"/>
      <c r="S394" s="280"/>
      <c r="T394" s="280"/>
      <c r="U394" s="280"/>
      <c r="V394" s="280"/>
      <c r="W394" s="280"/>
      <c r="X394" s="280"/>
      <c r="Y394" s="280"/>
      <c r="Z394" s="280"/>
      <c r="AA394" s="280"/>
      <c r="AB394" s="280"/>
      <c r="AC394" s="280"/>
      <c r="AD394" s="280"/>
      <c r="AE394" s="280"/>
      <c r="AF394" s="704"/>
      <c r="AG394" s="704"/>
      <c r="AH394" s="704"/>
      <c r="AI394" s="705"/>
      <c r="AJ394" s="705"/>
      <c r="AK394" s="705"/>
      <c r="AL394" s="705"/>
      <c r="AM394" s="705"/>
      <c r="AN394" s="705"/>
      <c r="AO394" s="705"/>
      <c r="AP394" s="705"/>
      <c r="AQ394" s="705"/>
      <c r="AR394" s="705"/>
      <c r="AS394" s="705"/>
      <c r="AT394" s="705"/>
      <c r="AU394" s="705"/>
      <c r="AV394" s="705"/>
      <c r="AW394" s="705"/>
      <c r="AX394" s="705"/>
      <c r="AY394" s="705"/>
      <c r="AZ394" s="705"/>
      <c r="BA394" s="705"/>
      <c r="BB394" s="705"/>
      <c r="BC394" s="705"/>
      <c r="BD394" s="705"/>
      <c r="BE394" s="705"/>
      <c r="BF394" s="705"/>
      <c r="BG394" s="705"/>
      <c r="BH394" s="705"/>
      <c r="BI394" s="705"/>
      <c r="BJ394" s="705"/>
      <c r="BK394" s="705"/>
      <c r="BL394" s="705"/>
      <c r="BM394" s="705"/>
      <c r="BN394" s="705"/>
      <c r="BO394" s="705"/>
    </row>
    <row r="395" spans="1:67" s="706" customFormat="1" ht="10.55" customHeight="1" x14ac:dyDescent="0.2">
      <c r="A395" s="1006" t="s">
        <v>67</v>
      </c>
      <c r="B395" s="2878"/>
      <c r="C395" s="2879"/>
      <c r="D395" s="2880"/>
      <c r="E395" s="2829"/>
      <c r="F395" s="2830"/>
      <c r="G395" s="748"/>
      <c r="H395" s="741"/>
      <c r="I395" s="742"/>
      <c r="J395" s="743"/>
      <c r="K395" s="744"/>
      <c r="L395" s="745"/>
      <c r="M395" s="1036"/>
      <c r="N395" s="339"/>
      <c r="O395" s="702"/>
      <c r="P395" s="703"/>
      <c r="Q395" s="286"/>
      <c r="R395" s="287"/>
      <c r="S395" s="280"/>
      <c r="T395" s="280"/>
      <c r="U395" s="280"/>
      <c r="V395" s="280"/>
      <c r="W395" s="280"/>
      <c r="X395" s="280"/>
      <c r="Y395" s="280"/>
      <c r="Z395" s="280"/>
      <c r="AA395" s="280"/>
      <c r="AB395" s="280"/>
      <c r="AC395" s="280"/>
      <c r="AD395" s="280"/>
      <c r="AE395" s="280"/>
      <c r="AF395" s="704"/>
      <c r="AG395" s="704"/>
      <c r="AH395" s="704"/>
      <c r="AI395" s="705"/>
      <c r="AJ395" s="705"/>
      <c r="AK395" s="705"/>
      <c r="AL395" s="705"/>
      <c r="AM395" s="705"/>
      <c r="AN395" s="705"/>
      <c r="AO395" s="705"/>
      <c r="AP395" s="705"/>
      <c r="AQ395" s="705"/>
      <c r="AR395" s="705"/>
      <c r="AS395" s="705"/>
      <c r="AT395" s="705"/>
      <c r="AU395" s="705"/>
      <c r="AV395" s="705"/>
      <c r="AW395" s="705"/>
      <c r="AX395" s="705"/>
      <c r="AY395" s="705"/>
      <c r="AZ395" s="705"/>
      <c r="BA395" s="705"/>
      <c r="BB395" s="705"/>
      <c r="BC395" s="705"/>
      <c r="BD395" s="705"/>
      <c r="BE395" s="705"/>
      <c r="BF395" s="705"/>
      <c r="BG395" s="705"/>
      <c r="BH395" s="705"/>
      <c r="BI395" s="705"/>
      <c r="BJ395" s="705"/>
      <c r="BK395" s="705"/>
      <c r="BL395" s="705"/>
      <c r="BM395" s="705"/>
      <c r="BN395" s="705"/>
      <c r="BO395" s="705"/>
    </row>
    <row r="396" spans="1:67" s="706" customFormat="1" ht="10.55" customHeight="1" x14ac:dyDescent="0.2">
      <c r="A396" s="1006" t="s">
        <v>448</v>
      </c>
      <c r="B396" s="2878"/>
      <c r="C396" s="2879"/>
      <c r="D396" s="2880"/>
      <c r="E396" s="2829"/>
      <c r="F396" s="2830"/>
      <c r="G396" s="748"/>
      <c r="H396" s="741"/>
      <c r="I396" s="742"/>
      <c r="J396" s="743"/>
      <c r="K396" s="744"/>
      <c r="L396" s="745"/>
      <c r="M396" s="1036"/>
      <c r="N396" s="339"/>
      <c r="O396" s="702"/>
      <c r="P396" s="703"/>
      <c r="Q396" s="286"/>
      <c r="R396" s="287"/>
      <c r="S396" s="280"/>
      <c r="T396" s="280"/>
      <c r="U396" s="280"/>
      <c r="V396" s="280"/>
      <c r="W396" s="280"/>
      <c r="X396" s="280"/>
      <c r="Y396" s="280"/>
      <c r="Z396" s="280"/>
      <c r="AA396" s="280"/>
      <c r="AB396" s="280"/>
      <c r="AC396" s="280"/>
      <c r="AD396" s="280"/>
      <c r="AE396" s="280"/>
      <c r="AF396" s="704"/>
      <c r="AG396" s="704"/>
      <c r="AH396" s="704"/>
      <c r="AI396" s="705"/>
      <c r="AJ396" s="705"/>
      <c r="AK396" s="705"/>
      <c r="AL396" s="705"/>
      <c r="AM396" s="705"/>
      <c r="AN396" s="705"/>
      <c r="AO396" s="705"/>
      <c r="AP396" s="705"/>
      <c r="AQ396" s="705"/>
      <c r="AR396" s="705"/>
      <c r="AS396" s="705"/>
      <c r="AT396" s="705"/>
      <c r="AU396" s="705"/>
      <c r="AV396" s="705"/>
      <c r="AW396" s="705"/>
      <c r="AX396" s="705"/>
      <c r="AY396" s="705"/>
      <c r="AZ396" s="705"/>
      <c r="BA396" s="705"/>
      <c r="BB396" s="705"/>
      <c r="BC396" s="705"/>
      <c r="BD396" s="705"/>
      <c r="BE396" s="705"/>
      <c r="BF396" s="705"/>
      <c r="BG396" s="705"/>
      <c r="BH396" s="705"/>
      <c r="BI396" s="705"/>
      <c r="BJ396" s="705"/>
      <c r="BK396" s="705"/>
      <c r="BL396" s="705"/>
      <c r="BM396" s="705"/>
      <c r="BN396" s="705"/>
      <c r="BO396" s="705"/>
    </row>
    <row r="397" spans="1:67" s="706" customFormat="1" ht="10.55" customHeight="1" x14ac:dyDescent="0.2">
      <c r="A397" s="1006" t="s">
        <v>449</v>
      </c>
      <c r="B397" s="2878"/>
      <c r="C397" s="2879"/>
      <c r="D397" s="2880"/>
      <c r="E397" s="2829"/>
      <c r="F397" s="2830"/>
      <c r="G397" s="749"/>
      <c r="H397" s="750"/>
      <c r="I397" s="742"/>
      <c r="J397" s="743"/>
      <c r="K397" s="744"/>
      <c r="L397" s="745"/>
      <c r="M397" s="1036"/>
      <c r="N397" s="339"/>
      <c r="O397" s="702"/>
      <c r="P397" s="703"/>
      <c r="Q397" s="286"/>
      <c r="R397" s="287"/>
      <c r="S397" s="280"/>
      <c r="T397" s="280"/>
      <c r="U397" s="280"/>
      <c r="V397" s="280"/>
      <c r="W397" s="280"/>
      <c r="X397" s="280"/>
      <c r="Y397" s="280"/>
      <c r="Z397" s="280"/>
      <c r="AA397" s="280"/>
      <c r="AB397" s="280"/>
      <c r="AC397" s="280"/>
      <c r="AD397" s="280"/>
      <c r="AE397" s="280"/>
      <c r="AF397" s="704"/>
      <c r="AG397" s="704"/>
      <c r="AH397" s="704"/>
      <c r="AI397" s="705"/>
      <c r="AJ397" s="705"/>
      <c r="AK397" s="705"/>
      <c r="AL397" s="705"/>
      <c r="AM397" s="705"/>
      <c r="AN397" s="705"/>
      <c r="AO397" s="705"/>
      <c r="AP397" s="705"/>
      <c r="AQ397" s="705"/>
      <c r="AR397" s="705"/>
      <c r="AS397" s="705"/>
      <c r="AT397" s="705"/>
      <c r="AU397" s="705"/>
      <c r="AV397" s="705"/>
      <c r="AW397" s="705"/>
      <c r="AX397" s="705"/>
      <c r="AY397" s="705"/>
      <c r="AZ397" s="705"/>
      <c r="BA397" s="705"/>
      <c r="BB397" s="705"/>
      <c r="BC397" s="705"/>
      <c r="BD397" s="705"/>
      <c r="BE397" s="705"/>
      <c r="BF397" s="705"/>
      <c r="BG397" s="705"/>
      <c r="BH397" s="705"/>
      <c r="BI397" s="705"/>
      <c r="BJ397" s="705"/>
      <c r="BK397" s="705"/>
      <c r="BL397" s="705"/>
      <c r="BM397" s="705"/>
      <c r="BN397" s="705"/>
      <c r="BO397" s="705"/>
    </row>
    <row r="398" spans="1:67" s="706" customFormat="1" ht="10.55" customHeight="1" x14ac:dyDescent="0.2">
      <c r="A398" s="829" t="s">
        <v>14</v>
      </c>
      <c r="B398" s="368"/>
      <c r="C398" s="368"/>
      <c r="D398" s="715"/>
      <c r="E398" s="2838">
        <f>SUM(E393:E397)</f>
        <v>0</v>
      </c>
      <c r="F398" s="2839"/>
      <c r="G398" s="723"/>
      <c r="H398" s="724"/>
      <c r="I398" s="736"/>
      <c r="J398" s="737"/>
      <c r="K398" s="738"/>
      <c r="L398" s="739"/>
      <c r="M398" s="1035"/>
      <c r="N398" s="339"/>
      <c r="O398" s="702"/>
      <c r="P398" s="703"/>
      <c r="Q398" s="286"/>
      <c r="R398" s="287"/>
      <c r="S398" s="280"/>
      <c r="T398" s="280"/>
      <c r="U398" s="280"/>
      <c r="V398" s="280"/>
      <c r="W398" s="280"/>
      <c r="X398" s="280"/>
      <c r="Y398" s="280"/>
      <c r="Z398" s="280"/>
      <c r="AA398" s="280"/>
      <c r="AB398" s="280"/>
      <c r="AC398" s="280"/>
      <c r="AD398" s="280"/>
      <c r="AE398" s="280"/>
      <c r="AF398" s="704"/>
      <c r="AG398" s="704"/>
      <c r="AH398" s="704"/>
      <c r="AI398" s="705"/>
      <c r="AJ398" s="705"/>
      <c r="AK398" s="705"/>
      <c r="AL398" s="705"/>
      <c r="AM398" s="705"/>
      <c r="AN398" s="705"/>
      <c r="AO398" s="705"/>
      <c r="AP398" s="705"/>
      <c r="AQ398" s="705"/>
      <c r="AR398" s="705"/>
      <c r="AS398" s="705"/>
      <c r="AT398" s="705"/>
      <c r="AU398" s="705"/>
      <c r="AV398" s="705"/>
      <c r="AW398" s="705"/>
      <c r="AX398" s="705"/>
      <c r="AY398" s="705"/>
      <c r="AZ398" s="705"/>
      <c r="BA398" s="705"/>
      <c r="BB398" s="705"/>
      <c r="BC398" s="705"/>
      <c r="BD398" s="705"/>
      <c r="BE398" s="705"/>
      <c r="BF398" s="705"/>
      <c r="BG398" s="705"/>
      <c r="BH398" s="705"/>
      <c r="BI398" s="705"/>
      <c r="BJ398" s="705"/>
      <c r="BK398" s="705"/>
      <c r="BL398" s="705"/>
      <c r="BM398" s="705"/>
      <c r="BN398" s="705"/>
      <c r="BO398" s="705"/>
    </row>
    <row r="399" spans="1:67" s="706" customFormat="1" ht="10.55" customHeight="1" x14ac:dyDescent="0.2">
      <c r="A399" s="827"/>
      <c r="B399" s="367"/>
      <c r="C399" s="367"/>
      <c r="D399" s="377"/>
      <c r="E399" s="716"/>
      <c r="F399" s="719"/>
      <c r="G399" s="740"/>
      <c r="H399" s="741"/>
      <c r="I399" s="742"/>
      <c r="J399" s="743"/>
      <c r="K399" s="744"/>
      <c r="L399" s="745"/>
      <c r="M399" s="1036"/>
      <c r="N399" s="339"/>
      <c r="O399" s="702"/>
      <c r="P399" s="703"/>
      <c r="Q399" s="286"/>
      <c r="R399" s="287"/>
      <c r="S399" s="280"/>
      <c r="T399" s="280"/>
      <c r="U399" s="280"/>
      <c r="V399" s="280"/>
      <c r="W399" s="280"/>
      <c r="X399" s="280"/>
      <c r="Y399" s="280"/>
      <c r="Z399" s="280"/>
      <c r="AA399" s="280"/>
      <c r="AB399" s="280"/>
      <c r="AC399" s="280"/>
      <c r="AD399" s="280"/>
      <c r="AE399" s="280"/>
      <c r="AF399" s="704"/>
      <c r="AG399" s="704"/>
      <c r="AH399" s="704"/>
      <c r="AI399" s="705"/>
      <c r="AJ399" s="705"/>
      <c r="AK399" s="705"/>
      <c r="AL399" s="705"/>
      <c r="AM399" s="705"/>
      <c r="AN399" s="705"/>
      <c r="AO399" s="705"/>
      <c r="AP399" s="705"/>
      <c r="AQ399" s="705"/>
      <c r="AR399" s="705"/>
      <c r="AS399" s="705"/>
      <c r="AT399" s="705"/>
      <c r="AU399" s="705"/>
      <c r="AV399" s="705"/>
      <c r="AW399" s="705"/>
      <c r="AX399" s="705"/>
      <c r="AY399" s="705"/>
      <c r="AZ399" s="705"/>
      <c r="BA399" s="705"/>
      <c r="BB399" s="705"/>
      <c r="BC399" s="705"/>
      <c r="BD399" s="705"/>
      <c r="BE399" s="705"/>
      <c r="BF399" s="705"/>
      <c r="BG399" s="705"/>
      <c r="BH399" s="705"/>
      <c r="BI399" s="705"/>
      <c r="BJ399" s="705"/>
      <c r="BK399" s="705"/>
      <c r="BL399" s="705"/>
      <c r="BM399" s="705"/>
      <c r="BN399" s="705"/>
      <c r="BO399" s="705"/>
    </row>
    <row r="400" spans="1:67" s="706" customFormat="1" ht="10.55" customHeight="1" x14ac:dyDescent="0.2">
      <c r="A400" s="826" t="s">
        <v>450</v>
      </c>
      <c r="B400" s="378"/>
      <c r="C400" s="378"/>
      <c r="D400" s="377"/>
      <c r="E400" s="372"/>
      <c r="F400" s="720"/>
      <c r="G400" s="740"/>
      <c r="H400" s="741"/>
      <c r="I400" s="742"/>
      <c r="J400" s="743"/>
      <c r="K400" s="744"/>
      <c r="L400" s="745"/>
      <c r="M400" s="1036"/>
      <c r="N400" s="339"/>
      <c r="O400" s="702"/>
      <c r="P400" s="703"/>
      <c r="Q400" s="286"/>
      <c r="R400" s="287"/>
      <c r="S400" s="280"/>
      <c r="T400" s="280"/>
      <c r="U400" s="280"/>
      <c r="V400" s="280"/>
      <c r="W400" s="280"/>
      <c r="X400" s="280"/>
      <c r="Y400" s="280"/>
      <c r="Z400" s="280"/>
      <c r="AA400" s="280"/>
      <c r="AB400" s="280"/>
      <c r="AC400" s="280"/>
      <c r="AD400" s="280"/>
      <c r="AE400" s="280"/>
      <c r="AF400" s="704"/>
      <c r="AG400" s="704"/>
      <c r="AH400" s="704"/>
      <c r="AI400" s="705"/>
      <c r="AJ400" s="705"/>
      <c r="AK400" s="705"/>
      <c r="AL400" s="705"/>
      <c r="AM400" s="705"/>
      <c r="AN400" s="705"/>
      <c r="AO400" s="705"/>
      <c r="AP400" s="705"/>
      <c r="AQ400" s="705"/>
      <c r="AR400" s="705"/>
      <c r="AS400" s="705"/>
      <c r="AT400" s="705"/>
      <c r="AU400" s="705"/>
      <c r="AV400" s="705"/>
      <c r="AW400" s="705"/>
      <c r="AX400" s="705"/>
      <c r="AY400" s="705"/>
      <c r="AZ400" s="705"/>
      <c r="BA400" s="705"/>
      <c r="BB400" s="705"/>
      <c r="BC400" s="705"/>
      <c r="BD400" s="705"/>
      <c r="BE400" s="705"/>
      <c r="BF400" s="705"/>
      <c r="BG400" s="705"/>
      <c r="BH400" s="705"/>
      <c r="BI400" s="705"/>
      <c r="BJ400" s="705"/>
      <c r="BK400" s="705"/>
      <c r="BL400" s="705"/>
      <c r="BM400" s="705"/>
      <c r="BN400" s="705"/>
      <c r="BO400" s="705"/>
    </row>
    <row r="401" spans="1:68" s="706" customFormat="1" ht="10.55" customHeight="1" x14ac:dyDescent="0.2">
      <c r="A401" s="1007" t="s">
        <v>548</v>
      </c>
      <c r="B401" s="2875"/>
      <c r="C401" s="2876"/>
      <c r="D401" s="2877"/>
      <c r="E401" s="2836"/>
      <c r="F401" s="2837"/>
      <c r="G401" s="746"/>
      <c r="H401" s="747"/>
      <c r="I401" s="742"/>
      <c r="J401" s="743"/>
      <c r="K401" s="744"/>
      <c r="L401" s="745"/>
      <c r="M401" s="1036"/>
      <c r="N401" s="339"/>
      <c r="O401" s="702"/>
      <c r="P401" s="703"/>
      <c r="Q401" s="286"/>
      <c r="R401" s="287"/>
      <c r="S401" s="280"/>
      <c r="T401" s="280"/>
      <c r="U401" s="280"/>
      <c r="V401" s="280"/>
      <c r="W401" s="280"/>
      <c r="X401" s="280"/>
      <c r="Y401" s="280"/>
      <c r="Z401" s="280"/>
      <c r="AA401" s="280"/>
      <c r="AB401" s="280"/>
      <c r="AC401" s="280"/>
      <c r="AD401" s="280"/>
      <c r="AE401" s="280"/>
      <c r="AF401" s="704"/>
      <c r="AG401" s="704"/>
      <c r="AH401" s="704"/>
      <c r="AI401" s="705"/>
      <c r="AJ401" s="705"/>
      <c r="AK401" s="705"/>
      <c r="AL401" s="705"/>
      <c r="AM401" s="705"/>
      <c r="AN401" s="705"/>
      <c r="AO401" s="705"/>
      <c r="AP401" s="705"/>
      <c r="AQ401" s="705"/>
      <c r="AR401" s="705"/>
      <c r="AS401" s="705"/>
      <c r="AT401" s="705"/>
      <c r="AU401" s="705"/>
      <c r="AV401" s="705"/>
      <c r="AW401" s="705"/>
      <c r="AX401" s="705"/>
      <c r="AY401" s="705"/>
      <c r="AZ401" s="705"/>
      <c r="BA401" s="705"/>
      <c r="BB401" s="705"/>
      <c r="BC401" s="705"/>
      <c r="BD401" s="705"/>
      <c r="BE401" s="705"/>
      <c r="BF401" s="705"/>
      <c r="BG401" s="705"/>
      <c r="BH401" s="705"/>
      <c r="BI401" s="705"/>
      <c r="BJ401" s="705"/>
      <c r="BK401" s="705"/>
      <c r="BL401" s="705"/>
      <c r="BM401" s="705"/>
      <c r="BN401" s="705"/>
      <c r="BO401" s="705"/>
    </row>
    <row r="402" spans="1:68" s="706" customFormat="1" ht="10.55" customHeight="1" x14ac:dyDescent="0.2">
      <c r="A402" s="1007" t="s">
        <v>66</v>
      </c>
      <c r="B402" s="2875"/>
      <c r="C402" s="2876"/>
      <c r="D402" s="2877"/>
      <c r="E402" s="2836"/>
      <c r="F402" s="2837"/>
      <c r="G402" s="748"/>
      <c r="H402" s="741"/>
      <c r="I402" s="742"/>
      <c r="J402" s="743"/>
      <c r="K402" s="744"/>
      <c r="L402" s="745"/>
      <c r="M402" s="1036"/>
      <c r="N402" s="339"/>
      <c r="O402" s="702"/>
      <c r="P402" s="703"/>
      <c r="Q402" s="286"/>
      <c r="R402" s="287"/>
      <c r="S402" s="280"/>
      <c r="T402" s="280"/>
      <c r="U402" s="280"/>
      <c r="V402" s="280"/>
      <c r="W402" s="280"/>
      <c r="X402" s="280"/>
      <c r="Y402" s="280"/>
      <c r="Z402" s="280"/>
      <c r="AA402" s="280"/>
      <c r="AB402" s="280"/>
      <c r="AC402" s="280"/>
      <c r="AD402" s="280"/>
      <c r="AE402" s="280"/>
      <c r="AF402" s="704"/>
      <c r="AG402" s="704"/>
      <c r="AH402" s="704"/>
      <c r="AI402" s="705"/>
      <c r="AJ402" s="705"/>
      <c r="AK402" s="705"/>
      <c r="AL402" s="705"/>
      <c r="AM402" s="705"/>
      <c r="AN402" s="705"/>
      <c r="AO402" s="705"/>
      <c r="AP402" s="705"/>
      <c r="AQ402" s="705"/>
      <c r="AR402" s="705"/>
      <c r="AS402" s="705"/>
      <c r="AT402" s="705"/>
      <c r="AU402" s="705"/>
      <c r="AV402" s="705"/>
      <c r="AW402" s="705"/>
      <c r="AX402" s="705"/>
      <c r="AY402" s="705"/>
      <c r="AZ402" s="705"/>
      <c r="BA402" s="705"/>
      <c r="BB402" s="705"/>
      <c r="BC402" s="705"/>
      <c r="BD402" s="705"/>
      <c r="BE402" s="705"/>
      <c r="BF402" s="705"/>
      <c r="BG402" s="705"/>
      <c r="BH402" s="705"/>
      <c r="BI402" s="705"/>
      <c r="BJ402" s="705"/>
      <c r="BK402" s="705"/>
      <c r="BL402" s="705"/>
      <c r="BM402" s="705"/>
      <c r="BN402" s="705"/>
      <c r="BO402" s="705"/>
    </row>
    <row r="403" spans="1:68" s="706" customFormat="1" ht="10.55" customHeight="1" x14ac:dyDescent="0.2">
      <c r="A403" s="1007" t="s">
        <v>67</v>
      </c>
      <c r="B403" s="2875"/>
      <c r="C403" s="2876"/>
      <c r="D403" s="2877"/>
      <c r="E403" s="2836"/>
      <c r="F403" s="2837"/>
      <c r="G403" s="748"/>
      <c r="H403" s="741"/>
      <c r="I403" s="742"/>
      <c r="J403" s="743"/>
      <c r="K403" s="744"/>
      <c r="L403" s="745"/>
      <c r="M403" s="1036"/>
      <c r="N403" s="339"/>
      <c r="O403" s="702"/>
      <c r="P403" s="703"/>
      <c r="Q403" s="286"/>
      <c r="R403" s="287"/>
      <c r="S403" s="280"/>
      <c r="T403" s="280"/>
      <c r="U403" s="280"/>
      <c r="V403" s="280"/>
      <c r="W403" s="280"/>
      <c r="X403" s="280"/>
      <c r="Y403" s="280"/>
      <c r="Z403" s="280"/>
      <c r="AA403" s="280"/>
      <c r="AB403" s="280"/>
      <c r="AC403" s="280"/>
      <c r="AD403" s="280"/>
      <c r="AE403" s="280"/>
      <c r="AF403" s="704"/>
      <c r="AG403" s="704"/>
      <c r="AH403" s="704"/>
      <c r="AI403" s="705"/>
      <c r="AJ403" s="705"/>
      <c r="AK403" s="705"/>
      <c r="AL403" s="705"/>
      <c r="AM403" s="705"/>
      <c r="AN403" s="705"/>
      <c r="AO403" s="705"/>
      <c r="AP403" s="705"/>
      <c r="AQ403" s="705"/>
      <c r="AR403" s="705"/>
      <c r="AS403" s="705"/>
      <c r="AT403" s="705"/>
      <c r="AU403" s="705"/>
      <c r="AV403" s="705"/>
      <c r="AW403" s="705"/>
      <c r="AX403" s="705"/>
      <c r="AY403" s="705"/>
      <c r="AZ403" s="705"/>
      <c r="BA403" s="705"/>
      <c r="BB403" s="705"/>
      <c r="BC403" s="705"/>
      <c r="BD403" s="705"/>
      <c r="BE403" s="705"/>
      <c r="BF403" s="705"/>
      <c r="BG403" s="705"/>
      <c r="BH403" s="705"/>
      <c r="BI403" s="705"/>
      <c r="BJ403" s="705"/>
      <c r="BK403" s="705"/>
      <c r="BL403" s="705"/>
      <c r="BM403" s="705"/>
      <c r="BN403" s="705"/>
      <c r="BO403" s="705"/>
    </row>
    <row r="404" spans="1:68" s="706" customFormat="1" ht="10.55" customHeight="1" x14ac:dyDescent="0.2">
      <c r="A404" s="1007" t="s">
        <v>448</v>
      </c>
      <c r="B404" s="2875"/>
      <c r="C404" s="2876"/>
      <c r="D404" s="2877"/>
      <c r="E404" s="2836"/>
      <c r="F404" s="2837"/>
      <c r="G404" s="748"/>
      <c r="H404" s="741"/>
      <c r="I404" s="742"/>
      <c r="J404" s="743"/>
      <c r="K404" s="744"/>
      <c r="L404" s="745"/>
      <c r="M404" s="1036"/>
      <c r="N404" s="339"/>
      <c r="O404" s="702"/>
      <c r="P404" s="703"/>
      <c r="Q404" s="286"/>
      <c r="R404" s="287"/>
      <c r="S404" s="280"/>
      <c r="T404" s="280"/>
      <c r="U404" s="280"/>
      <c r="V404" s="280"/>
      <c r="W404" s="280"/>
      <c r="X404" s="280"/>
      <c r="Y404" s="280"/>
      <c r="Z404" s="280"/>
      <c r="AA404" s="280"/>
      <c r="AB404" s="280"/>
      <c r="AC404" s="280"/>
      <c r="AD404" s="280"/>
      <c r="AE404" s="280"/>
      <c r="AF404" s="704"/>
      <c r="AG404" s="704"/>
      <c r="AH404" s="704"/>
      <c r="AI404" s="705"/>
      <c r="AJ404" s="705"/>
      <c r="AK404" s="705"/>
      <c r="AL404" s="705"/>
      <c r="AM404" s="705"/>
      <c r="AN404" s="705"/>
      <c r="AO404" s="705"/>
      <c r="AP404" s="705"/>
      <c r="AQ404" s="705"/>
      <c r="AR404" s="705"/>
      <c r="AS404" s="705"/>
      <c r="AT404" s="705"/>
      <c r="AU404" s="705"/>
      <c r="AV404" s="705"/>
      <c r="AW404" s="705"/>
      <c r="AX404" s="705"/>
      <c r="AY404" s="705"/>
      <c r="AZ404" s="705"/>
      <c r="BA404" s="705"/>
      <c r="BB404" s="705"/>
      <c r="BC404" s="705"/>
      <c r="BD404" s="705"/>
      <c r="BE404" s="705"/>
      <c r="BF404" s="705"/>
      <c r="BG404" s="705"/>
      <c r="BH404" s="705"/>
      <c r="BI404" s="705"/>
      <c r="BJ404" s="705"/>
      <c r="BK404" s="705"/>
      <c r="BL404" s="705"/>
      <c r="BM404" s="705"/>
      <c r="BN404" s="705"/>
      <c r="BO404" s="705"/>
    </row>
    <row r="405" spans="1:68" s="706" customFormat="1" ht="10.55" customHeight="1" x14ac:dyDescent="0.2">
      <c r="A405" s="1007" t="s">
        <v>449</v>
      </c>
      <c r="B405" s="2875"/>
      <c r="C405" s="2876"/>
      <c r="D405" s="2877"/>
      <c r="E405" s="2836"/>
      <c r="F405" s="2837"/>
      <c r="G405" s="749"/>
      <c r="H405" s="750"/>
      <c r="I405" s="742"/>
      <c r="J405" s="743"/>
      <c r="K405" s="744"/>
      <c r="L405" s="745"/>
      <c r="M405" s="1036"/>
      <c r="N405" s="339"/>
      <c r="O405" s="702"/>
      <c r="P405" s="703"/>
      <c r="Q405" s="286"/>
      <c r="R405" s="287"/>
      <c r="S405" s="280"/>
      <c r="T405" s="280"/>
      <c r="U405" s="280"/>
      <c r="V405" s="280"/>
      <c r="W405" s="280"/>
      <c r="X405" s="280"/>
      <c r="Y405" s="280"/>
      <c r="Z405" s="280"/>
      <c r="AA405" s="280"/>
      <c r="AB405" s="280"/>
      <c r="AC405" s="280"/>
      <c r="AD405" s="280"/>
      <c r="AE405" s="280"/>
      <c r="AF405" s="704"/>
      <c r="AG405" s="704"/>
      <c r="AH405" s="704"/>
      <c r="AI405" s="705"/>
      <c r="AJ405" s="705"/>
      <c r="AK405" s="705"/>
      <c r="AL405" s="705"/>
      <c r="AM405" s="705"/>
      <c r="AN405" s="705"/>
      <c r="AO405" s="705"/>
      <c r="AP405" s="705"/>
      <c r="AQ405" s="705"/>
      <c r="AR405" s="705"/>
      <c r="AS405" s="705"/>
      <c r="AT405" s="705"/>
      <c r="AU405" s="705"/>
      <c r="AV405" s="705"/>
      <c r="AW405" s="705"/>
      <c r="AX405" s="705"/>
      <c r="AY405" s="705"/>
      <c r="AZ405" s="705"/>
      <c r="BA405" s="705"/>
      <c r="BB405" s="705"/>
      <c r="BC405" s="705"/>
      <c r="BD405" s="705"/>
      <c r="BE405" s="705"/>
      <c r="BF405" s="705"/>
      <c r="BG405" s="705"/>
      <c r="BH405" s="705"/>
      <c r="BI405" s="705"/>
      <c r="BJ405" s="705"/>
      <c r="BK405" s="705"/>
      <c r="BL405" s="705"/>
      <c r="BM405" s="705"/>
      <c r="BN405" s="705"/>
      <c r="BO405" s="705"/>
    </row>
    <row r="406" spans="1:68" s="706" customFormat="1" ht="10.55" customHeight="1" x14ac:dyDescent="0.2">
      <c r="A406" s="829" t="s">
        <v>14</v>
      </c>
      <c r="B406" s="368"/>
      <c r="C406" s="368"/>
      <c r="D406" s="715"/>
      <c r="E406" s="2838">
        <f>SUM(E399:E405)</f>
        <v>0</v>
      </c>
      <c r="F406" s="2839"/>
      <c r="G406" s="723"/>
      <c r="H406" s="724"/>
      <c r="I406" s="736"/>
      <c r="J406" s="737"/>
      <c r="K406" s="738"/>
      <c r="L406" s="739"/>
      <c r="M406" s="1035"/>
      <c r="N406" s="339"/>
      <c r="O406" s="702"/>
      <c r="P406" s="703"/>
      <c r="Q406" s="286"/>
      <c r="R406" s="287"/>
      <c r="S406" s="280"/>
      <c r="T406" s="280"/>
      <c r="U406" s="280"/>
      <c r="V406" s="280"/>
      <c r="W406" s="280"/>
      <c r="X406" s="280"/>
      <c r="Y406" s="280"/>
      <c r="Z406" s="280"/>
      <c r="AA406" s="280"/>
      <c r="AB406" s="280"/>
      <c r="AC406" s="280"/>
      <c r="AD406" s="280"/>
      <c r="AE406" s="280"/>
      <c r="AF406" s="704"/>
      <c r="AG406" s="704"/>
      <c r="AH406" s="704"/>
      <c r="AI406" s="705"/>
      <c r="AJ406" s="705"/>
      <c r="AK406" s="705"/>
      <c r="AL406" s="705"/>
      <c r="AM406" s="705"/>
      <c r="AN406" s="705"/>
      <c r="AO406" s="705"/>
      <c r="AP406" s="705"/>
      <c r="AQ406" s="705"/>
      <c r="AR406" s="705"/>
      <c r="AS406" s="705"/>
      <c r="AT406" s="705"/>
      <c r="AU406" s="705"/>
      <c r="AV406" s="705"/>
      <c r="AW406" s="705"/>
      <c r="AX406" s="705"/>
      <c r="AY406" s="705"/>
      <c r="AZ406" s="705"/>
      <c r="BA406" s="705"/>
      <c r="BB406" s="705"/>
      <c r="BC406" s="705"/>
      <c r="BD406" s="705"/>
      <c r="BE406" s="705"/>
      <c r="BF406" s="705"/>
      <c r="BG406" s="705"/>
      <c r="BH406" s="705"/>
      <c r="BI406" s="705"/>
      <c r="BJ406" s="705"/>
      <c r="BK406" s="705"/>
      <c r="BL406" s="705"/>
      <c r="BM406" s="705"/>
      <c r="BN406" s="705"/>
      <c r="BO406" s="705"/>
    </row>
    <row r="407" spans="1:68" s="88" customFormat="1" ht="10.55" customHeight="1" x14ac:dyDescent="0.2">
      <c r="A407" s="1048"/>
      <c r="B407" s="1074"/>
      <c r="C407" s="1074"/>
      <c r="D407" s="1075"/>
      <c r="E407" s="2793"/>
      <c r="F407" s="2794"/>
      <c r="G407" s="1018"/>
      <c r="H407" s="1019"/>
      <c r="I407" s="676">
        <f>IF($O407&gt;0,-PMT(($I$39),$O407,1),0)</f>
        <v>0</v>
      </c>
      <c r="J407" s="677"/>
      <c r="K407" s="680"/>
      <c r="L407" s="1020"/>
      <c r="M407" s="1021">
        <f>ROUND(E407/100*IF(ISBLANK(L407),K407,L407),-1)</f>
        <v>0</v>
      </c>
      <c r="N407" s="1111"/>
      <c r="O407" s="674">
        <f>IF(ISBLANK(H407),G407,H407)</f>
        <v>0</v>
      </c>
      <c r="P407" s="682"/>
      <c r="Q407" s="286"/>
      <c r="R407" s="287"/>
      <c r="S407" s="280"/>
      <c r="T407" s="280"/>
      <c r="U407" s="280"/>
      <c r="V407" s="280"/>
      <c r="W407" s="280"/>
      <c r="X407" s="280"/>
      <c r="Y407" s="280"/>
      <c r="Z407" s="284"/>
      <c r="AA407" s="284"/>
      <c r="AB407" s="284"/>
      <c r="AC407" s="284"/>
      <c r="AD407" s="284"/>
      <c r="AE407" s="284"/>
      <c r="AF407" s="447"/>
      <c r="AG407" s="447"/>
      <c r="AH407" s="447"/>
      <c r="AI407" s="382"/>
      <c r="AJ407" s="382"/>
      <c r="AK407" s="382"/>
      <c r="AL407" s="382"/>
      <c r="AM407" s="382"/>
      <c r="AN407" s="382"/>
      <c r="AO407" s="382"/>
      <c r="AP407" s="382"/>
      <c r="AQ407" s="382"/>
      <c r="AR407" s="382"/>
      <c r="AS407" s="382"/>
      <c r="AT407" s="382"/>
      <c r="AU407" s="382"/>
      <c r="AV407" s="382"/>
      <c r="AW407" s="382"/>
      <c r="AX407" s="382"/>
      <c r="AY407" s="382"/>
      <c r="AZ407" s="382"/>
      <c r="BA407" s="382"/>
      <c r="BB407" s="382"/>
      <c r="BC407" s="382"/>
      <c r="BD407" s="382"/>
      <c r="BE407" s="382"/>
      <c r="BF407" s="382"/>
      <c r="BG407" s="382"/>
      <c r="BH407" s="382"/>
      <c r="BI407" s="382"/>
      <c r="BJ407" s="382"/>
      <c r="BK407" s="382"/>
      <c r="BL407" s="382"/>
      <c r="BM407" s="382"/>
      <c r="BN407" s="382"/>
      <c r="BO407" s="382"/>
    </row>
    <row r="408" spans="1:68" s="88" customFormat="1" ht="10.55" customHeight="1" x14ac:dyDescent="0.2">
      <c r="A408" s="1122" t="s">
        <v>549</v>
      </c>
      <c r="B408" s="2844"/>
      <c r="C408" s="2845"/>
      <c r="D408" s="2846"/>
      <c r="E408" s="2810"/>
      <c r="F408" s="2811"/>
      <c r="G408" s="2747"/>
      <c r="H408" s="2748"/>
      <c r="I408" s="688"/>
      <c r="J408" s="1012"/>
      <c r="K408" s="2749"/>
      <c r="L408" s="2750"/>
      <c r="M408" s="1430">
        <f>SUM(M409:M412)</f>
        <v>0</v>
      </c>
      <c r="N408" s="1111"/>
      <c r="O408" s="387">
        <f>IF(H408="",G408,H408)</f>
        <v>0</v>
      </c>
      <c r="P408" s="682"/>
      <c r="Q408" s="286"/>
      <c r="R408" s="287"/>
      <c r="S408" s="280"/>
      <c r="T408" s="280"/>
      <c r="U408" s="280"/>
      <c r="V408" s="280"/>
      <c r="W408" s="280"/>
      <c r="X408" s="280"/>
      <c r="Y408" s="280"/>
      <c r="Z408" s="284"/>
      <c r="AA408" s="284"/>
      <c r="AB408" s="284"/>
      <c r="AC408" s="284"/>
      <c r="AD408" s="284"/>
      <c r="AE408" s="284"/>
      <c r="AF408" s="447"/>
      <c r="AG408" s="447"/>
      <c r="AH408" s="447"/>
      <c r="AI408" s="382"/>
      <c r="AJ408" s="382"/>
      <c r="AK408" s="382"/>
      <c r="AL408" s="382"/>
      <c r="AM408" s="382"/>
      <c r="AN408" s="382"/>
      <c r="AO408" s="382"/>
      <c r="AP408" s="382"/>
      <c r="AQ408" s="382"/>
      <c r="AR408" s="382"/>
      <c r="AS408" s="382"/>
      <c r="AT408" s="382"/>
      <c r="AU408" s="382"/>
      <c r="AV408" s="382"/>
      <c r="AW408" s="382"/>
      <c r="AX408" s="382"/>
      <c r="AY408" s="382"/>
      <c r="AZ408" s="382"/>
      <c r="BA408" s="382"/>
      <c r="BB408" s="382"/>
      <c r="BC408" s="382"/>
      <c r="BD408" s="382"/>
      <c r="BE408" s="382"/>
      <c r="BF408" s="382"/>
      <c r="BG408" s="382"/>
      <c r="BH408" s="382"/>
      <c r="BI408" s="382"/>
      <c r="BJ408" s="382"/>
      <c r="BK408" s="382"/>
      <c r="BL408" s="382"/>
      <c r="BM408" s="382"/>
      <c r="BN408" s="382"/>
      <c r="BO408" s="382"/>
    </row>
    <row r="409" spans="1:68" s="88" customFormat="1" ht="10.55" customHeight="1" x14ac:dyDescent="0.2">
      <c r="A409" s="848" t="s">
        <v>550</v>
      </c>
      <c r="B409" s="689"/>
      <c r="C409" s="689"/>
      <c r="D409" s="1008"/>
      <c r="E409" s="2812"/>
      <c r="F409" s="2813"/>
      <c r="G409" s="1049"/>
      <c r="H409" s="1050"/>
      <c r="I409" s="1448"/>
      <c r="J409" s="1414"/>
      <c r="K409" s="733"/>
      <c r="L409" s="734"/>
      <c r="M409" s="1428">
        <f>(E414-E347)*D409</f>
        <v>0</v>
      </c>
      <c r="N409" s="1111"/>
      <c r="O409" s="674">
        <f>IF(ISBLANK(H409),G409,H409)</f>
        <v>0</v>
      </c>
      <c r="P409" s="682"/>
      <c r="Q409" s="286"/>
      <c r="R409" s="287"/>
      <c r="S409" s="280"/>
      <c r="T409" s="280"/>
      <c r="U409" s="280"/>
      <c r="V409" s="280"/>
      <c r="W409" s="280"/>
      <c r="X409" s="280"/>
      <c r="Y409" s="280"/>
      <c r="Z409" s="284"/>
      <c r="AA409" s="284"/>
      <c r="AB409" s="284"/>
      <c r="AC409" s="284"/>
      <c r="AD409" s="284"/>
      <c r="AE409" s="284"/>
      <c r="AF409" s="447"/>
      <c r="AG409" s="447"/>
      <c r="AH409" s="447"/>
      <c r="AI409" s="382"/>
      <c r="AJ409" s="382"/>
      <c r="AK409" s="382"/>
      <c r="AL409" s="382"/>
      <c r="AM409" s="382"/>
      <c r="AN409" s="382"/>
      <c r="AO409" s="382"/>
      <c r="AP409" s="382"/>
      <c r="AQ409" s="382"/>
      <c r="AR409" s="382"/>
      <c r="AS409" s="382"/>
      <c r="AT409" s="382"/>
      <c r="AU409" s="382"/>
      <c r="AV409" s="382"/>
      <c r="AW409" s="382"/>
      <c r="AX409" s="382"/>
      <c r="AY409" s="382"/>
      <c r="AZ409" s="382"/>
      <c r="BA409" s="382"/>
      <c r="BB409" s="382"/>
      <c r="BC409" s="382"/>
      <c r="BD409" s="382"/>
      <c r="BE409" s="382"/>
      <c r="BF409" s="382"/>
      <c r="BG409" s="382"/>
      <c r="BH409" s="382"/>
      <c r="BI409" s="382"/>
      <c r="BJ409" s="382"/>
      <c r="BK409" s="382"/>
      <c r="BL409" s="382"/>
      <c r="BM409" s="382"/>
      <c r="BN409" s="382"/>
      <c r="BO409" s="382"/>
    </row>
    <row r="410" spans="1:68" s="88" customFormat="1" ht="10.55" customHeight="1" x14ac:dyDescent="0.2">
      <c r="A410" s="1013" t="s">
        <v>551</v>
      </c>
      <c r="B410" s="2831"/>
      <c r="C410" s="2831"/>
      <c r="D410" s="2832"/>
      <c r="E410" s="2751"/>
      <c r="F410" s="2752"/>
      <c r="G410" s="1051"/>
      <c r="H410" s="1052"/>
      <c r="I410" s="1448">
        <f>IF($O410&gt;0,-PMT(($I$39),$O410,1),0)</f>
        <v>0</v>
      </c>
      <c r="J410" s="1414">
        <f>ROUND(E410*I410,-1)</f>
        <v>0</v>
      </c>
      <c r="K410" s="684"/>
      <c r="L410" s="685"/>
      <c r="M410" s="1442"/>
      <c r="N410" s="1111"/>
      <c r="O410" s="674">
        <f>IF(ISBLANK(H410),G410,H410)</f>
        <v>0</v>
      </c>
      <c r="P410" s="682"/>
      <c r="Q410" s="286"/>
      <c r="R410" s="287"/>
      <c r="S410" s="280"/>
      <c r="T410" s="280"/>
      <c r="U410" s="280"/>
      <c r="V410" s="280"/>
      <c r="W410" s="280"/>
      <c r="X410" s="280"/>
      <c r="Y410" s="280"/>
      <c r="Z410" s="284"/>
      <c r="AA410" s="284"/>
      <c r="AB410" s="284"/>
      <c r="AC410" s="284"/>
      <c r="AD410" s="284"/>
      <c r="AE410" s="284"/>
      <c r="AF410" s="447"/>
      <c r="AG410" s="447"/>
      <c r="AH410" s="447"/>
      <c r="AI410" s="382"/>
      <c r="AJ410" s="382"/>
      <c r="AK410" s="382"/>
      <c r="AL410" s="382"/>
      <c r="AM410" s="382"/>
      <c r="AN410" s="382"/>
      <c r="AO410" s="382"/>
      <c r="AP410" s="382"/>
      <c r="AQ410" s="382"/>
      <c r="AR410" s="382"/>
      <c r="AS410" s="382"/>
      <c r="AT410" s="382"/>
      <c r="AU410" s="382"/>
      <c r="AV410" s="382"/>
      <c r="AW410" s="382"/>
      <c r="AX410" s="382"/>
      <c r="AY410" s="382"/>
      <c r="AZ410" s="382"/>
      <c r="BA410" s="382"/>
      <c r="BB410" s="382"/>
      <c r="BC410" s="382"/>
      <c r="BD410" s="382"/>
      <c r="BE410" s="382"/>
      <c r="BF410" s="382"/>
      <c r="BG410" s="382"/>
      <c r="BH410" s="382"/>
      <c r="BI410" s="382"/>
      <c r="BJ410" s="382"/>
      <c r="BK410" s="382"/>
      <c r="BL410" s="382"/>
      <c r="BM410" s="382"/>
      <c r="BN410" s="382"/>
      <c r="BO410" s="382"/>
    </row>
    <row r="411" spans="1:68" s="88" customFormat="1" ht="10.55" customHeight="1" x14ac:dyDescent="0.2">
      <c r="A411" s="1013" t="s">
        <v>552</v>
      </c>
      <c r="B411" s="2831"/>
      <c r="C411" s="2831"/>
      <c r="D411" s="2832"/>
      <c r="E411" s="2751"/>
      <c r="F411" s="2752"/>
      <c r="G411" s="1051"/>
      <c r="H411" s="1052"/>
      <c r="I411" s="1448">
        <f>IF($O411&gt;0,-PMT(($I$39),$O411,1),0)</f>
        <v>0</v>
      </c>
      <c r="J411" s="1414">
        <f>ROUND(E411*I411,-1)</f>
        <v>0</v>
      </c>
      <c r="K411" s="684"/>
      <c r="L411" s="685"/>
      <c r="M411" s="1442">
        <f>ROUND(E411/100*IF(ISBLANK(L411),K411,L411),-1)</f>
        <v>0</v>
      </c>
      <c r="N411" s="1111"/>
      <c r="O411" s="674">
        <f>IF(ISBLANK(H411),G411,H411)</f>
        <v>0</v>
      </c>
      <c r="P411" s="682"/>
      <c r="Q411" s="286"/>
      <c r="R411" s="287"/>
      <c r="S411" s="280"/>
      <c r="T411" s="280"/>
      <c r="U411" s="280"/>
      <c r="V411" s="280"/>
      <c r="W411" s="280"/>
      <c r="X411" s="280"/>
      <c r="Y411" s="280"/>
      <c r="Z411" s="284"/>
      <c r="AA411" s="284"/>
      <c r="AB411" s="284"/>
      <c r="AC411" s="284"/>
      <c r="AD411" s="284"/>
      <c r="AE411" s="284"/>
      <c r="AF411" s="447"/>
      <c r="AG411" s="447"/>
      <c r="AH411" s="447"/>
      <c r="AI411" s="382"/>
      <c r="AJ411" s="382"/>
      <c r="AK411" s="382"/>
      <c r="AL411" s="382"/>
      <c r="AM411" s="382"/>
      <c r="AN411" s="382"/>
      <c r="AO411" s="382"/>
      <c r="AP411" s="382"/>
      <c r="AQ411" s="382"/>
      <c r="AR411" s="382"/>
      <c r="AS411" s="382"/>
      <c r="AT411" s="382"/>
      <c r="AU411" s="382"/>
      <c r="AV411" s="382"/>
      <c r="AW411" s="382"/>
      <c r="AX411" s="382"/>
      <c r="AY411" s="382"/>
      <c r="AZ411" s="382"/>
      <c r="BA411" s="382"/>
      <c r="BB411" s="382"/>
      <c r="BC411" s="382"/>
      <c r="BD411" s="382"/>
      <c r="BE411" s="382"/>
      <c r="BF411" s="382"/>
      <c r="BG411" s="382"/>
      <c r="BH411" s="382"/>
      <c r="BI411" s="382"/>
      <c r="BJ411" s="382"/>
      <c r="BK411" s="382"/>
      <c r="BL411" s="382"/>
      <c r="BM411" s="382"/>
      <c r="BN411" s="382"/>
      <c r="BO411" s="382"/>
    </row>
    <row r="412" spans="1:68" s="88" customFormat="1" ht="10.55" customHeight="1" x14ac:dyDescent="0.2">
      <c r="A412" s="1013" t="s">
        <v>553</v>
      </c>
      <c r="B412" s="2841"/>
      <c r="C412" s="2841"/>
      <c r="D412" s="2842"/>
      <c r="E412" s="2751"/>
      <c r="F412" s="2752"/>
      <c r="G412" s="1051"/>
      <c r="H412" s="1052"/>
      <c r="I412" s="1448">
        <f>IF($O412&gt;0,-PMT(($I$39),$O412,1),0)</f>
        <v>0</v>
      </c>
      <c r="J412" s="1414">
        <f>ROUND(E412*I412,-1)</f>
        <v>0</v>
      </c>
      <c r="K412" s="684"/>
      <c r="L412" s="685"/>
      <c r="M412" s="1442">
        <f>ROUND(E412/100*IF(ISBLANK(L412),K412,L412),-1)</f>
        <v>0</v>
      </c>
      <c r="N412" s="1111"/>
      <c r="O412" s="674">
        <f>IF(ISBLANK(H412),G412,H412)</f>
        <v>0</v>
      </c>
      <c r="P412" s="682"/>
      <c r="Q412" s="286"/>
      <c r="R412" s="287"/>
      <c r="S412" s="280"/>
      <c r="T412" s="280"/>
      <c r="U412" s="280"/>
      <c r="V412" s="280"/>
      <c r="W412" s="280"/>
      <c r="X412" s="280"/>
      <c r="Y412" s="280"/>
      <c r="Z412" s="284"/>
      <c r="AA412" s="284"/>
      <c r="AB412" s="284"/>
      <c r="AC412" s="284"/>
      <c r="AD412" s="284"/>
      <c r="AE412" s="284"/>
      <c r="AF412" s="447"/>
      <c r="AG412" s="447"/>
      <c r="AH412" s="447"/>
      <c r="AI412" s="382"/>
      <c r="AJ412" s="382"/>
      <c r="AK412" s="382"/>
      <c r="AL412" s="382"/>
      <c r="AM412" s="382"/>
      <c r="AN412" s="382"/>
      <c r="AO412" s="382"/>
      <c r="AP412" s="382"/>
      <c r="AQ412" s="382"/>
      <c r="AR412" s="382"/>
      <c r="AS412" s="382"/>
      <c r="AT412" s="382"/>
      <c r="AU412" s="382"/>
      <c r="AV412" s="382"/>
      <c r="AW412" s="382"/>
      <c r="AX412" s="382"/>
      <c r="AY412" s="382"/>
      <c r="AZ412" s="382"/>
      <c r="BA412" s="382"/>
      <c r="BB412" s="382"/>
      <c r="BC412" s="382"/>
      <c r="BD412" s="382"/>
      <c r="BE412" s="382"/>
      <c r="BF412" s="382"/>
      <c r="BG412" s="382"/>
      <c r="BH412" s="382"/>
      <c r="BI412" s="382"/>
      <c r="BJ412" s="382"/>
      <c r="BK412" s="382"/>
      <c r="BL412" s="382"/>
      <c r="BM412" s="382"/>
      <c r="BN412" s="382"/>
      <c r="BO412" s="382"/>
    </row>
    <row r="413" spans="1:68" s="88" customFormat="1" ht="10.55" customHeight="1" x14ac:dyDescent="0.2">
      <c r="A413" s="1017"/>
      <c r="B413" s="690"/>
      <c r="C413" s="690"/>
      <c r="D413" s="683"/>
      <c r="E413" s="2814"/>
      <c r="F413" s="2815"/>
      <c r="G413" s="1018"/>
      <c r="H413" s="1019"/>
      <c r="I413" s="1449">
        <f>IF($O413&gt;0,-PMT(($I$39),$O413,1),0)</f>
        <v>0</v>
      </c>
      <c r="J413" s="1447"/>
      <c r="K413" s="1444"/>
      <c r="L413" s="1445"/>
      <c r="M413" s="1443">
        <f>ROUND(E413/100*IF(ISBLANK(L413),K413,L413),-1)</f>
        <v>0</v>
      </c>
      <c r="N413" s="1111"/>
      <c r="O413" s="674">
        <f>IF(ISBLANK(H413),G413,H413)</f>
        <v>0</v>
      </c>
      <c r="P413" s="682"/>
      <c r="Q413" s="286"/>
      <c r="R413" s="287"/>
      <c r="S413" s="280"/>
      <c r="T413" s="280"/>
      <c r="U413" s="280"/>
      <c r="V413" s="280"/>
      <c r="W413" s="280"/>
      <c r="X413" s="280"/>
      <c r="Y413" s="280"/>
      <c r="Z413" s="284"/>
      <c r="AA413" s="284"/>
      <c r="AB413" s="284"/>
      <c r="AC413" s="284"/>
      <c r="AD413" s="284"/>
      <c r="AE413" s="284"/>
      <c r="AF413" s="447"/>
      <c r="AG413" s="447"/>
      <c r="AH413" s="447"/>
      <c r="AI413" s="382"/>
      <c r="AJ413" s="382"/>
      <c r="AK413" s="382"/>
      <c r="AL413" s="382"/>
      <c r="AM413" s="382"/>
      <c r="AN413" s="382"/>
      <c r="AO413" s="382"/>
      <c r="AP413" s="382"/>
      <c r="AQ413" s="382"/>
      <c r="AR413" s="382"/>
      <c r="AS413" s="382"/>
      <c r="AT413" s="382"/>
      <c r="AU413" s="382"/>
      <c r="AV413" s="382"/>
      <c r="AW413" s="382"/>
      <c r="AX413" s="382"/>
      <c r="AY413" s="382"/>
      <c r="AZ413" s="382"/>
      <c r="BA413" s="382"/>
      <c r="BB413" s="382"/>
      <c r="BC413" s="382"/>
      <c r="BD413" s="382"/>
      <c r="BE413" s="382"/>
      <c r="BF413" s="382"/>
      <c r="BG413" s="382"/>
      <c r="BH413" s="382"/>
      <c r="BI413" s="382"/>
      <c r="BJ413" s="382"/>
      <c r="BK413" s="382"/>
      <c r="BL413" s="382"/>
      <c r="BM413" s="382"/>
      <c r="BN413" s="382"/>
      <c r="BO413" s="382"/>
    </row>
    <row r="414" spans="1:68" s="88" customFormat="1" ht="14.1" customHeight="1" thickBot="1" x14ac:dyDescent="0.25">
      <c r="A414" s="391" t="s">
        <v>14</v>
      </c>
      <c r="B414" s="90"/>
      <c r="C414" s="90"/>
      <c r="D414" s="686"/>
      <c r="E414" s="2843">
        <f>ROUND(SUM(E44:E361)/2,-2)</f>
        <v>0</v>
      </c>
      <c r="F414" s="2843"/>
      <c r="G414" s="2840">
        <f>IF($E$414&gt;0,SUMPRODUCT($E$44:$E$360,$O$44:$O$360)/$E$414,0)</f>
        <v>0</v>
      </c>
      <c r="H414" s="2840"/>
      <c r="I414" s="1410">
        <f>IF(E414=0,0,J414/E414)</f>
        <v>0</v>
      </c>
      <c r="J414" s="1407">
        <f>ROUND(SUM(J44:J361)/2,-1)</f>
        <v>0</v>
      </c>
      <c r="K414" s="2764"/>
      <c r="L414" s="2765"/>
      <c r="M414" s="1446">
        <f>ROUND(SUM(M44:M413)/2,-1)</f>
        <v>0</v>
      </c>
      <c r="N414" s="1111"/>
      <c r="O414" s="320"/>
      <c r="P414" s="288"/>
      <c r="Q414" s="280"/>
      <c r="R414" s="287"/>
      <c r="S414" s="289"/>
      <c r="T414" s="271"/>
      <c r="U414" s="271"/>
      <c r="V414" s="271"/>
      <c r="W414" s="271"/>
      <c r="X414" s="271"/>
      <c r="Y414" s="271"/>
      <c r="Z414" s="270"/>
      <c r="AA414" s="270"/>
      <c r="AB414" s="270"/>
      <c r="AC414" s="270"/>
      <c r="AD414" s="270"/>
      <c r="AE414" s="270"/>
      <c r="AF414" s="380"/>
      <c r="AG414" s="380"/>
      <c r="AH414" s="380"/>
      <c r="AI414" s="381"/>
      <c r="AJ414" s="381"/>
      <c r="AK414" s="382"/>
      <c r="AL414" s="382"/>
      <c r="AM414" s="382"/>
      <c r="AN414" s="382"/>
      <c r="AO414" s="382"/>
      <c r="AP414" s="382"/>
      <c r="AQ414" s="382"/>
      <c r="AR414" s="382"/>
      <c r="AS414" s="382"/>
      <c r="AT414" s="382"/>
      <c r="AU414" s="382"/>
      <c r="AV414" s="382"/>
      <c r="AW414" s="382"/>
      <c r="AX414" s="382"/>
      <c r="AY414" s="382"/>
      <c r="AZ414" s="382"/>
      <c r="BA414" s="382"/>
      <c r="BB414" s="382"/>
      <c r="BC414" s="382"/>
      <c r="BD414" s="382"/>
      <c r="BE414" s="382"/>
      <c r="BF414" s="382"/>
      <c r="BG414" s="382"/>
      <c r="BH414" s="382"/>
      <c r="BI414" s="382"/>
      <c r="BJ414" s="382"/>
      <c r="BK414" s="382"/>
      <c r="BL414" s="382"/>
      <c r="BM414" s="382"/>
      <c r="BN414" s="382"/>
      <c r="BO414" s="382"/>
    </row>
    <row r="415" spans="1:68" s="270" customFormat="1" x14ac:dyDescent="0.2">
      <c r="A415" s="86"/>
      <c r="B415" s="84"/>
      <c r="C415" s="84"/>
      <c r="D415" s="84"/>
      <c r="E415" s="84"/>
      <c r="F415" s="84"/>
      <c r="G415" s="83"/>
      <c r="H415" s="83"/>
      <c r="I415" s="83"/>
      <c r="J415" s="86"/>
      <c r="K415" s="86"/>
      <c r="L415" s="86"/>
      <c r="M415" s="86"/>
      <c r="N415" s="86"/>
      <c r="O415" s="1111"/>
      <c r="P415" s="1111"/>
      <c r="Q415" s="1111"/>
      <c r="R415" s="1111"/>
      <c r="S415" s="1111"/>
      <c r="T415" s="1111"/>
      <c r="U415" s="1111"/>
      <c r="V415" s="1111"/>
      <c r="W415" s="1111"/>
      <c r="X415" s="1111"/>
      <c r="Y415" s="1111"/>
      <c r="Z415" s="1111"/>
      <c r="AA415" s="1111"/>
      <c r="AG415" s="380"/>
      <c r="AH415" s="380"/>
      <c r="AI415" s="380"/>
      <c r="AJ415" s="381"/>
      <c r="AK415" s="381"/>
      <c r="AL415" s="381"/>
      <c r="AM415" s="381"/>
      <c r="AN415" s="381"/>
      <c r="AO415" s="381"/>
      <c r="AP415" s="381"/>
      <c r="AQ415" s="381"/>
      <c r="AR415" s="381"/>
      <c r="AS415" s="381"/>
      <c r="AT415" s="381"/>
      <c r="AU415" s="381"/>
      <c r="AV415" s="381"/>
      <c r="AW415" s="381"/>
      <c r="AX415" s="381"/>
      <c r="AY415" s="381"/>
      <c r="AZ415" s="381"/>
      <c r="BA415" s="381"/>
      <c r="BB415" s="381"/>
      <c r="BC415" s="381"/>
      <c r="BD415" s="381"/>
      <c r="BE415" s="381"/>
      <c r="BF415" s="381"/>
      <c r="BG415" s="381"/>
      <c r="BH415" s="381"/>
      <c r="BI415" s="381"/>
      <c r="BJ415" s="381"/>
      <c r="BK415" s="381"/>
      <c r="BL415" s="381"/>
      <c r="BM415" s="381"/>
      <c r="BN415" s="381"/>
      <c r="BO415" s="381"/>
      <c r="BP415" s="381"/>
    </row>
    <row r="416" spans="1:68" s="270" customFormat="1" x14ac:dyDescent="0.2">
      <c r="A416" s="86"/>
      <c r="B416" s="84"/>
      <c r="C416" s="84"/>
      <c r="D416" s="84"/>
      <c r="E416" s="84"/>
      <c r="F416" s="84"/>
      <c r="G416" s="83"/>
      <c r="H416" s="83"/>
      <c r="I416" s="83"/>
      <c r="J416" s="86"/>
      <c r="K416" s="86"/>
      <c r="L416" s="86"/>
      <c r="M416" s="86"/>
      <c r="N416" s="86"/>
      <c r="O416" s="1111"/>
      <c r="P416" s="1111"/>
      <c r="Q416" s="1111"/>
      <c r="R416" s="1111"/>
      <c r="S416" s="1111"/>
      <c r="T416" s="1111"/>
      <c r="U416" s="1111"/>
      <c r="V416" s="1111"/>
      <c r="W416" s="1111"/>
      <c r="X416" s="1111"/>
      <c r="Y416" s="1111"/>
      <c r="Z416" s="1111"/>
      <c r="AA416" s="1111"/>
      <c r="AG416" s="380"/>
      <c r="AH416" s="380"/>
      <c r="AI416" s="380"/>
      <c r="AJ416" s="381"/>
      <c r="AK416" s="381"/>
      <c r="AL416" s="381"/>
      <c r="AM416" s="381"/>
      <c r="AN416" s="381"/>
      <c r="AO416" s="381"/>
      <c r="AP416" s="381"/>
      <c r="AQ416" s="381"/>
      <c r="AR416" s="381"/>
      <c r="AS416" s="381"/>
      <c r="AT416" s="381"/>
      <c r="AU416" s="381"/>
      <c r="AV416" s="381"/>
      <c r="AW416" s="381"/>
      <c r="AX416" s="381"/>
      <c r="AY416" s="381"/>
      <c r="AZ416" s="381"/>
      <c r="BA416" s="381"/>
      <c r="BB416" s="381"/>
      <c r="BC416" s="381"/>
      <c r="BD416" s="381"/>
      <c r="BE416" s="381"/>
      <c r="BF416" s="381"/>
      <c r="BG416" s="381"/>
      <c r="BH416" s="381"/>
      <c r="BI416" s="381"/>
      <c r="BJ416" s="381"/>
      <c r="BK416" s="381"/>
      <c r="BL416" s="381"/>
      <c r="BM416" s="381"/>
      <c r="BN416" s="381"/>
      <c r="BO416" s="381"/>
      <c r="BP416" s="381"/>
    </row>
    <row r="417" spans="1:68" s="270" customFormat="1" x14ac:dyDescent="0.2">
      <c r="A417" s="86"/>
      <c r="B417" s="84"/>
      <c r="C417" s="84"/>
      <c r="D417" s="84"/>
      <c r="E417" s="84"/>
      <c r="F417" s="84"/>
      <c r="G417" s="83"/>
      <c r="H417" s="83"/>
      <c r="I417" s="83"/>
      <c r="J417" s="86"/>
      <c r="K417" s="86"/>
      <c r="L417" s="86"/>
      <c r="M417" s="86"/>
      <c r="N417" s="86"/>
      <c r="O417" s="1111"/>
      <c r="P417" s="1111"/>
      <c r="Q417" s="1111"/>
      <c r="R417" s="1111"/>
      <c r="S417" s="1111"/>
      <c r="T417" s="1111"/>
      <c r="U417" s="1111"/>
      <c r="V417" s="1111"/>
      <c r="W417" s="1111"/>
      <c r="X417" s="1111"/>
      <c r="Y417" s="1111"/>
      <c r="Z417" s="1111"/>
      <c r="AA417" s="1111"/>
      <c r="AG417" s="380"/>
      <c r="AH417" s="380"/>
      <c r="AI417" s="380"/>
      <c r="AJ417" s="381"/>
      <c r="AK417" s="381"/>
      <c r="AL417" s="381"/>
      <c r="AM417" s="381"/>
      <c r="AN417" s="381"/>
      <c r="AO417" s="381"/>
      <c r="AP417" s="381"/>
      <c r="AQ417" s="381"/>
      <c r="AR417" s="381"/>
      <c r="AS417" s="381"/>
      <c r="AT417" s="381"/>
      <c r="AU417" s="381"/>
      <c r="AV417" s="381"/>
      <c r="AW417" s="381"/>
      <c r="AX417" s="381"/>
      <c r="AY417" s="381"/>
      <c r="AZ417" s="381"/>
      <c r="BA417" s="381"/>
      <c r="BB417" s="381"/>
      <c r="BC417" s="381"/>
      <c r="BD417" s="381"/>
      <c r="BE417" s="381"/>
      <c r="BF417" s="381"/>
      <c r="BG417" s="381"/>
      <c r="BH417" s="381"/>
      <c r="BI417" s="381"/>
      <c r="BJ417" s="381"/>
      <c r="BK417" s="381"/>
      <c r="BL417" s="381"/>
      <c r="BM417" s="381"/>
      <c r="BN417" s="381"/>
      <c r="BO417" s="381"/>
      <c r="BP417" s="381"/>
    </row>
    <row r="418" spans="1:68" s="270" customFormat="1" x14ac:dyDescent="0.2">
      <c r="A418" s="86"/>
      <c r="B418" s="84"/>
      <c r="C418" s="84"/>
      <c r="D418" s="84"/>
      <c r="E418" s="84"/>
      <c r="F418" s="84"/>
      <c r="G418" s="83"/>
      <c r="H418" s="83"/>
      <c r="I418" s="83"/>
      <c r="J418" s="86"/>
      <c r="K418" s="86"/>
      <c r="L418" s="86"/>
      <c r="M418" s="86"/>
      <c r="N418" s="86"/>
      <c r="O418" s="1111"/>
      <c r="P418" s="1111"/>
      <c r="Q418" s="1111"/>
      <c r="R418" s="1111"/>
      <c r="S418" s="1111"/>
      <c r="T418" s="1111"/>
      <c r="U418" s="1111"/>
      <c r="V418" s="1111"/>
      <c r="W418" s="1111"/>
      <c r="X418" s="1111"/>
      <c r="Y418" s="1111"/>
      <c r="Z418" s="1111"/>
      <c r="AA418" s="1111"/>
      <c r="AG418" s="380"/>
      <c r="AH418" s="380"/>
      <c r="AI418" s="380"/>
      <c r="AJ418" s="381"/>
      <c r="AK418" s="381"/>
      <c r="AL418" s="381"/>
      <c r="AM418" s="381"/>
      <c r="AN418" s="381"/>
      <c r="AO418" s="381"/>
      <c r="AP418" s="381"/>
      <c r="AQ418" s="381"/>
      <c r="AR418" s="381"/>
      <c r="AS418" s="381"/>
      <c r="AT418" s="381"/>
      <c r="AU418" s="381"/>
      <c r="AV418" s="381"/>
      <c r="AW418" s="381"/>
      <c r="AX418" s="381"/>
      <c r="AY418" s="381"/>
      <c r="AZ418" s="381"/>
      <c r="BA418" s="381"/>
      <c r="BB418" s="381"/>
      <c r="BC418" s="381"/>
      <c r="BD418" s="381"/>
      <c r="BE418" s="381"/>
      <c r="BF418" s="381"/>
      <c r="BG418" s="381"/>
      <c r="BH418" s="381"/>
      <c r="BI418" s="381"/>
      <c r="BJ418" s="381"/>
      <c r="BK418" s="381"/>
      <c r="BL418" s="381"/>
      <c r="BM418" s="381"/>
      <c r="BN418" s="381"/>
      <c r="BO418" s="381"/>
      <c r="BP418" s="381"/>
    </row>
    <row r="419" spans="1:68" s="270" customFormat="1" x14ac:dyDescent="0.2">
      <c r="A419" s="86"/>
      <c r="B419" s="84"/>
      <c r="C419" s="84"/>
      <c r="D419" s="84"/>
      <c r="E419" s="84"/>
      <c r="F419" s="84"/>
      <c r="G419" s="83"/>
      <c r="H419" s="83"/>
      <c r="I419" s="83"/>
      <c r="J419" s="86"/>
      <c r="K419" s="86"/>
      <c r="L419" s="86"/>
      <c r="M419" s="86"/>
      <c r="N419" s="86"/>
      <c r="O419" s="1111"/>
      <c r="P419" s="1111"/>
      <c r="Q419" s="1111"/>
      <c r="R419" s="1111"/>
      <c r="S419" s="1111"/>
      <c r="T419" s="1111"/>
      <c r="U419" s="1111"/>
      <c r="V419" s="1111"/>
      <c r="AG419" s="380"/>
      <c r="AH419" s="380"/>
      <c r="AI419" s="380"/>
      <c r="AJ419" s="381"/>
      <c r="AK419" s="381"/>
      <c r="AL419" s="381"/>
      <c r="AM419" s="381"/>
      <c r="AN419" s="381"/>
      <c r="AO419" s="381"/>
      <c r="AP419" s="381"/>
      <c r="AQ419" s="381"/>
      <c r="AR419" s="381"/>
      <c r="AS419" s="381"/>
      <c r="AT419" s="381"/>
      <c r="AU419" s="381"/>
      <c r="AV419" s="381"/>
      <c r="AW419" s="381"/>
      <c r="AX419" s="381"/>
      <c r="AY419" s="381"/>
      <c r="AZ419" s="381"/>
      <c r="BA419" s="381"/>
      <c r="BB419" s="381"/>
      <c r="BC419" s="381"/>
      <c r="BD419" s="381"/>
      <c r="BE419" s="381"/>
      <c r="BF419" s="381"/>
      <c r="BG419" s="381"/>
      <c r="BH419" s="381"/>
      <c r="BI419" s="381"/>
      <c r="BJ419" s="381"/>
      <c r="BK419" s="381"/>
      <c r="BL419" s="381"/>
      <c r="BM419" s="381"/>
      <c r="BN419" s="381"/>
      <c r="BO419" s="381"/>
      <c r="BP419" s="381"/>
    </row>
    <row r="420" spans="1:68" s="270" customFormat="1" x14ac:dyDescent="0.2">
      <c r="A420" s="86"/>
      <c r="B420" s="84"/>
      <c r="C420" s="84"/>
      <c r="D420" s="84"/>
      <c r="E420" s="84"/>
      <c r="F420" s="84"/>
      <c r="G420" s="83"/>
      <c r="H420" s="83"/>
      <c r="I420" s="83"/>
      <c r="J420" s="86"/>
      <c r="K420" s="86"/>
      <c r="L420" s="86"/>
      <c r="M420" s="86"/>
      <c r="N420" s="86"/>
      <c r="O420" s="1111"/>
      <c r="P420" s="1111"/>
      <c r="Q420" s="1111"/>
      <c r="R420" s="1111"/>
      <c r="S420" s="1111"/>
      <c r="T420" s="1111"/>
      <c r="U420" s="1111"/>
      <c r="V420" s="1111"/>
      <c r="AG420" s="380"/>
      <c r="AH420" s="380"/>
      <c r="AI420" s="380"/>
      <c r="AJ420" s="381"/>
      <c r="AK420" s="381"/>
      <c r="AL420" s="381"/>
      <c r="AM420" s="381"/>
      <c r="AN420" s="381"/>
      <c r="AO420" s="381"/>
      <c r="AP420" s="381"/>
      <c r="AQ420" s="381"/>
      <c r="AR420" s="381"/>
      <c r="AS420" s="381"/>
      <c r="AT420" s="381"/>
      <c r="AU420" s="381"/>
      <c r="AV420" s="381"/>
      <c r="AW420" s="381"/>
      <c r="AX420" s="381"/>
      <c r="AY420" s="381"/>
      <c r="AZ420" s="381"/>
      <c r="BA420" s="381"/>
      <c r="BB420" s="381"/>
      <c r="BC420" s="381"/>
      <c r="BD420" s="381"/>
      <c r="BE420" s="381"/>
      <c r="BF420" s="381"/>
      <c r="BG420" s="381"/>
      <c r="BH420" s="381"/>
      <c r="BI420" s="381"/>
      <c r="BJ420" s="381"/>
      <c r="BK420" s="381"/>
      <c r="BL420" s="381"/>
      <c r="BM420" s="381"/>
      <c r="BN420" s="381"/>
      <c r="BO420" s="381"/>
      <c r="BP420" s="381"/>
    </row>
    <row r="421" spans="1:68" s="270" customFormat="1" x14ac:dyDescent="0.2">
      <c r="A421" s="86"/>
      <c r="B421" s="84"/>
      <c r="C421" s="84"/>
      <c r="D421" s="84"/>
      <c r="E421" s="84"/>
      <c r="F421" s="84"/>
      <c r="G421" s="83"/>
      <c r="H421" s="83"/>
      <c r="I421" s="83"/>
      <c r="J421" s="86"/>
      <c r="K421" s="86"/>
      <c r="L421" s="86"/>
      <c r="M421" s="86"/>
      <c r="N421" s="86"/>
      <c r="O421" s="1111"/>
      <c r="P421" s="1111"/>
      <c r="Q421" s="1111"/>
      <c r="R421" s="1111"/>
      <c r="S421" s="1111"/>
      <c r="T421" s="1111"/>
      <c r="U421" s="1111"/>
      <c r="V421" s="1111"/>
      <c r="AG421" s="380"/>
      <c r="AH421" s="380"/>
      <c r="AI421" s="380"/>
      <c r="AJ421" s="381"/>
      <c r="AK421" s="381"/>
      <c r="AL421" s="381"/>
      <c r="AM421" s="381"/>
      <c r="AN421" s="381"/>
      <c r="AO421" s="381"/>
      <c r="AP421" s="381"/>
      <c r="AQ421" s="381"/>
      <c r="AR421" s="381"/>
      <c r="AS421" s="381"/>
      <c r="AT421" s="381"/>
      <c r="AU421" s="381"/>
      <c r="AV421" s="381"/>
      <c r="AW421" s="381"/>
      <c r="AX421" s="381"/>
      <c r="AY421" s="381"/>
      <c r="AZ421" s="381"/>
      <c r="BA421" s="381"/>
      <c r="BB421" s="381"/>
      <c r="BC421" s="381"/>
      <c r="BD421" s="381"/>
      <c r="BE421" s="381"/>
      <c r="BF421" s="381"/>
      <c r="BG421" s="381"/>
      <c r="BH421" s="381"/>
      <c r="BI421" s="381"/>
      <c r="BJ421" s="381"/>
      <c r="BK421" s="381"/>
      <c r="BL421" s="381"/>
      <c r="BM421" s="381"/>
      <c r="BN421" s="381"/>
      <c r="BO421" s="381"/>
      <c r="BP421" s="381"/>
    </row>
    <row r="422" spans="1:68" s="270" customFormat="1" ht="12.9" customHeight="1" x14ac:dyDescent="0.2">
      <c r="A422" s="86"/>
      <c r="B422" s="84"/>
      <c r="C422" s="84"/>
      <c r="D422" s="84"/>
      <c r="E422" s="84"/>
      <c r="F422" s="84"/>
      <c r="G422" s="83"/>
      <c r="H422" s="83"/>
      <c r="I422" s="83"/>
      <c r="J422" s="86"/>
      <c r="K422" s="86"/>
      <c r="L422" s="86"/>
      <c r="M422" s="86"/>
      <c r="N422" s="86"/>
      <c r="O422" s="1111"/>
      <c r="P422" s="1111"/>
      <c r="Q422" s="1111"/>
      <c r="R422" s="1111"/>
      <c r="S422" s="1111"/>
      <c r="T422" s="1111"/>
      <c r="U422" s="1111"/>
      <c r="V422" s="1111"/>
      <c r="AG422" s="380"/>
      <c r="AH422" s="380"/>
      <c r="AI422" s="380"/>
      <c r="AJ422" s="381"/>
      <c r="AK422" s="381"/>
      <c r="AL422" s="381"/>
      <c r="AM422" s="381"/>
      <c r="AN422" s="381"/>
      <c r="AO422" s="381"/>
      <c r="AP422" s="381"/>
      <c r="AQ422" s="381"/>
      <c r="AR422" s="381"/>
      <c r="AS422" s="381"/>
      <c r="AT422" s="381"/>
      <c r="AU422" s="381"/>
      <c r="AV422" s="381"/>
      <c r="AW422" s="381"/>
      <c r="AX422" s="381"/>
      <c r="AY422" s="381"/>
      <c r="AZ422" s="381"/>
      <c r="BA422" s="381"/>
      <c r="BB422" s="381"/>
      <c r="BC422" s="381"/>
      <c r="BD422" s="381"/>
      <c r="BE422" s="381"/>
      <c r="BF422" s="381"/>
      <c r="BG422" s="381"/>
      <c r="BH422" s="381"/>
      <c r="BI422" s="381"/>
      <c r="BJ422" s="381"/>
      <c r="BK422" s="381"/>
      <c r="BL422" s="381"/>
      <c r="BM422" s="381"/>
      <c r="BN422" s="381"/>
      <c r="BO422" s="381"/>
      <c r="BP422" s="381"/>
    </row>
  </sheetData>
  <sheetProtection algorithmName="SHA-512" hashValue="JNqt95lHxGU8eOxH/epF7G69THeKwg99uW6QZK85/Q8KTRT4IUQln5LDySuRAlGhTbhrf2MdxHPKxue2i+M+TA==" saltValue="oGNo55ApTa/lvd8BDDL0eQ==" spinCount="100000" sheet="1" objects="1" scenarios="1" selectLockedCells="1"/>
  <mergeCells count="829">
    <mergeCell ref="G31:I31"/>
    <mergeCell ref="K31:L31"/>
    <mergeCell ref="E32:F32"/>
    <mergeCell ref="G32:I32"/>
    <mergeCell ref="K32:L32"/>
    <mergeCell ref="E33:F33"/>
    <mergeCell ref="G33:I33"/>
    <mergeCell ref="K33:L33"/>
    <mergeCell ref="E37:F37"/>
    <mergeCell ref="G37:I37"/>
    <mergeCell ref="K37:L37"/>
    <mergeCell ref="E34:F34"/>
    <mergeCell ref="G34:I34"/>
    <mergeCell ref="K34:L34"/>
    <mergeCell ref="E35:F35"/>
    <mergeCell ref="G35:I35"/>
    <mergeCell ref="K35:L35"/>
    <mergeCell ref="E36:F36"/>
    <mergeCell ref="G36:I36"/>
    <mergeCell ref="K36:L36"/>
    <mergeCell ref="E28:F28"/>
    <mergeCell ref="G28:I28"/>
    <mergeCell ref="K28:L28"/>
    <mergeCell ref="E29:F29"/>
    <mergeCell ref="G29:I29"/>
    <mergeCell ref="K29:L29"/>
    <mergeCell ref="E30:F30"/>
    <mergeCell ref="G30:I30"/>
    <mergeCell ref="K30:L30"/>
    <mergeCell ref="E25:F25"/>
    <mergeCell ref="G25:I25"/>
    <mergeCell ref="K25:L25"/>
    <mergeCell ref="E26:F26"/>
    <mergeCell ref="G26:I26"/>
    <mergeCell ref="K26:L26"/>
    <mergeCell ref="E27:F27"/>
    <mergeCell ref="G27:I27"/>
    <mergeCell ref="K27:L27"/>
    <mergeCell ref="G21:I21"/>
    <mergeCell ref="K21:L21"/>
    <mergeCell ref="E22:F22"/>
    <mergeCell ref="G22:I22"/>
    <mergeCell ref="K22:L22"/>
    <mergeCell ref="E23:F23"/>
    <mergeCell ref="G23:I23"/>
    <mergeCell ref="K23:L23"/>
    <mergeCell ref="E24:F24"/>
    <mergeCell ref="G24:I24"/>
    <mergeCell ref="K24:L24"/>
    <mergeCell ref="B1:G1"/>
    <mergeCell ref="B45:D45"/>
    <mergeCell ref="E45:F45"/>
    <mergeCell ref="E13:F13"/>
    <mergeCell ref="G13:H13"/>
    <mergeCell ref="K13:L13"/>
    <mergeCell ref="E15:F15"/>
    <mergeCell ref="G15:I15"/>
    <mergeCell ref="K15:L15"/>
    <mergeCell ref="E16:F16"/>
    <mergeCell ref="G16:I16"/>
    <mergeCell ref="K16:L16"/>
    <mergeCell ref="E17:F17"/>
    <mergeCell ref="G17:I17"/>
    <mergeCell ref="K17:L17"/>
    <mergeCell ref="E18:F18"/>
    <mergeCell ref="G18:I18"/>
    <mergeCell ref="K18:L18"/>
    <mergeCell ref="E19:F19"/>
    <mergeCell ref="G19:I19"/>
    <mergeCell ref="E20:F20"/>
    <mergeCell ref="G20:I20"/>
    <mergeCell ref="K20:L20"/>
    <mergeCell ref="E21:F21"/>
    <mergeCell ref="B46:D46"/>
    <mergeCell ref="E46:F46"/>
    <mergeCell ref="B47:D47"/>
    <mergeCell ref="E47:F47"/>
    <mergeCell ref="E43:F43"/>
    <mergeCell ref="G43:H43"/>
    <mergeCell ref="K43:L43"/>
    <mergeCell ref="B44:D44"/>
    <mergeCell ref="E44:F44"/>
    <mergeCell ref="G44:H44"/>
    <mergeCell ref="K44:L44"/>
    <mergeCell ref="B51:D51"/>
    <mergeCell ref="E51:F51"/>
    <mergeCell ref="B52:D52"/>
    <mergeCell ref="E52:F52"/>
    <mergeCell ref="B53:D53"/>
    <mergeCell ref="E53:F53"/>
    <mergeCell ref="B48:D48"/>
    <mergeCell ref="E48:F48"/>
    <mergeCell ref="B49:D49"/>
    <mergeCell ref="E49:F49"/>
    <mergeCell ref="B50:D50"/>
    <mergeCell ref="E50:F50"/>
    <mergeCell ref="B57:D57"/>
    <mergeCell ref="E57:F57"/>
    <mergeCell ref="B58:D58"/>
    <mergeCell ref="E58:F58"/>
    <mergeCell ref="B59:D59"/>
    <mergeCell ref="E59:F59"/>
    <mergeCell ref="B54:D54"/>
    <mergeCell ref="E54:F54"/>
    <mergeCell ref="B55:D55"/>
    <mergeCell ref="E55:F55"/>
    <mergeCell ref="B56:D56"/>
    <mergeCell ref="E56:F56"/>
    <mergeCell ref="B62:D62"/>
    <mergeCell ref="E62:F62"/>
    <mergeCell ref="B63:D63"/>
    <mergeCell ref="E63:F63"/>
    <mergeCell ref="B64:D64"/>
    <mergeCell ref="E64:F64"/>
    <mergeCell ref="G59:H59"/>
    <mergeCell ref="K59:L59"/>
    <mergeCell ref="B60:D60"/>
    <mergeCell ref="E60:F60"/>
    <mergeCell ref="B61:D61"/>
    <mergeCell ref="E61:F61"/>
    <mergeCell ref="B68:D68"/>
    <mergeCell ref="E68:F68"/>
    <mergeCell ref="B69:D69"/>
    <mergeCell ref="E69:F69"/>
    <mergeCell ref="B70:D70"/>
    <mergeCell ref="E70:F70"/>
    <mergeCell ref="B65:D65"/>
    <mergeCell ref="E65:F65"/>
    <mergeCell ref="B66:D66"/>
    <mergeCell ref="E66:F66"/>
    <mergeCell ref="B67:D67"/>
    <mergeCell ref="E67:F67"/>
    <mergeCell ref="B74:D74"/>
    <mergeCell ref="E74:F74"/>
    <mergeCell ref="G74:H74"/>
    <mergeCell ref="K74:L74"/>
    <mergeCell ref="B75:D75"/>
    <mergeCell ref="E75:F75"/>
    <mergeCell ref="B71:D71"/>
    <mergeCell ref="E71:F71"/>
    <mergeCell ref="B72:D72"/>
    <mergeCell ref="E72:F72"/>
    <mergeCell ref="B73:D73"/>
    <mergeCell ref="E73:F73"/>
    <mergeCell ref="B79:D79"/>
    <mergeCell ref="E79:F79"/>
    <mergeCell ref="B80:D80"/>
    <mergeCell ref="E80:F80"/>
    <mergeCell ref="B81:D81"/>
    <mergeCell ref="E81:F81"/>
    <mergeCell ref="B76:D76"/>
    <mergeCell ref="E76:F76"/>
    <mergeCell ref="B77:D77"/>
    <mergeCell ref="E77:F77"/>
    <mergeCell ref="B78:D78"/>
    <mergeCell ref="E78:F78"/>
    <mergeCell ref="G89:H89"/>
    <mergeCell ref="K89:L89"/>
    <mergeCell ref="B85:D85"/>
    <mergeCell ref="E85:F85"/>
    <mergeCell ref="B86:D86"/>
    <mergeCell ref="E86:F86"/>
    <mergeCell ref="B87:D87"/>
    <mergeCell ref="E87:F87"/>
    <mergeCell ref="B82:D82"/>
    <mergeCell ref="E82:F82"/>
    <mergeCell ref="B83:D83"/>
    <mergeCell ref="E83:F83"/>
    <mergeCell ref="B84:D84"/>
    <mergeCell ref="E84:F84"/>
    <mergeCell ref="B90:D90"/>
    <mergeCell ref="E90:F90"/>
    <mergeCell ref="B91:D91"/>
    <mergeCell ref="E91:F91"/>
    <mergeCell ref="B92:D92"/>
    <mergeCell ref="E92:F92"/>
    <mergeCell ref="B88:D88"/>
    <mergeCell ref="E88:F88"/>
    <mergeCell ref="B89:D89"/>
    <mergeCell ref="E89:F89"/>
    <mergeCell ref="B96:D96"/>
    <mergeCell ref="E96:F96"/>
    <mergeCell ref="B97:D97"/>
    <mergeCell ref="E97:F97"/>
    <mergeCell ref="B98:D98"/>
    <mergeCell ref="E98:F98"/>
    <mergeCell ref="B93:D93"/>
    <mergeCell ref="E93:F93"/>
    <mergeCell ref="B94:D94"/>
    <mergeCell ref="E94:F94"/>
    <mergeCell ref="B95:D95"/>
    <mergeCell ref="E95:F95"/>
    <mergeCell ref="B104:D104"/>
    <mergeCell ref="E104:F104"/>
    <mergeCell ref="B105:D105"/>
    <mergeCell ref="E105:F105"/>
    <mergeCell ref="B106:D106"/>
    <mergeCell ref="E106:F106"/>
    <mergeCell ref="B101:D101"/>
    <mergeCell ref="E101:F101"/>
    <mergeCell ref="B102:D102"/>
    <mergeCell ref="E102:F102"/>
    <mergeCell ref="B103:D103"/>
    <mergeCell ref="E103:F103"/>
    <mergeCell ref="B109:D109"/>
    <mergeCell ref="E109:F109"/>
    <mergeCell ref="B110:D110"/>
    <mergeCell ref="E110:F110"/>
    <mergeCell ref="B111:D111"/>
    <mergeCell ref="E111:F111"/>
    <mergeCell ref="G106:H106"/>
    <mergeCell ref="K106:L106"/>
    <mergeCell ref="B107:D107"/>
    <mergeCell ref="E107:F107"/>
    <mergeCell ref="B108:D108"/>
    <mergeCell ref="E108:F108"/>
    <mergeCell ref="B115:D115"/>
    <mergeCell ref="E115:F115"/>
    <mergeCell ref="B116:D116"/>
    <mergeCell ref="E116:F116"/>
    <mergeCell ref="B117:D117"/>
    <mergeCell ref="E117:F117"/>
    <mergeCell ref="B112:D112"/>
    <mergeCell ref="E112:F112"/>
    <mergeCell ref="B113:D113"/>
    <mergeCell ref="E113:F113"/>
    <mergeCell ref="B114:D114"/>
    <mergeCell ref="E114:F114"/>
    <mergeCell ref="B121:D121"/>
    <mergeCell ref="E121:F121"/>
    <mergeCell ref="G121:H121"/>
    <mergeCell ref="K121:L121"/>
    <mergeCell ref="B122:D122"/>
    <mergeCell ref="E122:F122"/>
    <mergeCell ref="B118:D118"/>
    <mergeCell ref="E118:F118"/>
    <mergeCell ref="B119:D119"/>
    <mergeCell ref="E119:F119"/>
    <mergeCell ref="B120:D120"/>
    <mergeCell ref="E120:F120"/>
    <mergeCell ref="B126:D126"/>
    <mergeCell ref="E126:F126"/>
    <mergeCell ref="B127:D127"/>
    <mergeCell ref="E127:F127"/>
    <mergeCell ref="B128:D128"/>
    <mergeCell ref="E128:F128"/>
    <mergeCell ref="B123:D123"/>
    <mergeCell ref="E123:F123"/>
    <mergeCell ref="B124:D124"/>
    <mergeCell ref="E124:F124"/>
    <mergeCell ref="B125:D125"/>
    <mergeCell ref="E125:F125"/>
    <mergeCell ref="G136:H136"/>
    <mergeCell ref="K136:L136"/>
    <mergeCell ref="B132:D132"/>
    <mergeCell ref="E132:F132"/>
    <mergeCell ref="B133:D133"/>
    <mergeCell ref="E133:F133"/>
    <mergeCell ref="B134:D134"/>
    <mergeCell ref="E134:F134"/>
    <mergeCell ref="B129:D129"/>
    <mergeCell ref="E129:F129"/>
    <mergeCell ref="B130:D130"/>
    <mergeCell ref="E130:F130"/>
    <mergeCell ref="B131:D131"/>
    <mergeCell ref="E131:F131"/>
    <mergeCell ref="B137:D137"/>
    <mergeCell ref="E137:F137"/>
    <mergeCell ref="B138:D138"/>
    <mergeCell ref="E138:F138"/>
    <mergeCell ref="B139:D139"/>
    <mergeCell ref="E139:F139"/>
    <mergeCell ref="B135:D135"/>
    <mergeCell ref="E135:F135"/>
    <mergeCell ref="B136:D136"/>
    <mergeCell ref="E136:F136"/>
    <mergeCell ref="B143:D143"/>
    <mergeCell ref="E143:F143"/>
    <mergeCell ref="B144:D144"/>
    <mergeCell ref="E144:F144"/>
    <mergeCell ref="B145:D145"/>
    <mergeCell ref="E145:F145"/>
    <mergeCell ref="B140:D140"/>
    <mergeCell ref="E140:F140"/>
    <mergeCell ref="B141:D141"/>
    <mergeCell ref="E141:F141"/>
    <mergeCell ref="B142:D142"/>
    <mergeCell ref="E142:F142"/>
    <mergeCell ref="B149:D149"/>
    <mergeCell ref="E149:F149"/>
    <mergeCell ref="B150:D150"/>
    <mergeCell ref="E150:F150"/>
    <mergeCell ref="B151:D151"/>
    <mergeCell ref="E151:F151"/>
    <mergeCell ref="B146:D146"/>
    <mergeCell ref="E146:F146"/>
    <mergeCell ref="B147:D147"/>
    <mergeCell ref="E147:F147"/>
    <mergeCell ref="B148:D148"/>
    <mergeCell ref="E148:F148"/>
    <mergeCell ref="B154:D154"/>
    <mergeCell ref="E154:F154"/>
    <mergeCell ref="B155:D155"/>
    <mergeCell ref="E155:F155"/>
    <mergeCell ref="B156:D156"/>
    <mergeCell ref="E156:F156"/>
    <mergeCell ref="G151:H151"/>
    <mergeCell ref="K151:L151"/>
    <mergeCell ref="B152:D152"/>
    <mergeCell ref="E152:F152"/>
    <mergeCell ref="B153:D153"/>
    <mergeCell ref="E153:F153"/>
    <mergeCell ref="B160:D160"/>
    <mergeCell ref="E160:F160"/>
    <mergeCell ref="B161:D161"/>
    <mergeCell ref="E161:F161"/>
    <mergeCell ref="B162:D162"/>
    <mergeCell ref="E162:F162"/>
    <mergeCell ref="B157:D157"/>
    <mergeCell ref="E157:F157"/>
    <mergeCell ref="B158:D158"/>
    <mergeCell ref="E158:F158"/>
    <mergeCell ref="B159:D159"/>
    <mergeCell ref="E159:F159"/>
    <mergeCell ref="B166:D166"/>
    <mergeCell ref="E166:F166"/>
    <mergeCell ref="G166:H166"/>
    <mergeCell ref="K166:L166"/>
    <mergeCell ref="B167:D167"/>
    <mergeCell ref="E167:F167"/>
    <mergeCell ref="B163:D163"/>
    <mergeCell ref="E163:F163"/>
    <mergeCell ref="B164:D164"/>
    <mergeCell ref="E164:F164"/>
    <mergeCell ref="B165:D165"/>
    <mergeCell ref="E165:F165"/>
    <mergeCell ref="B171:D171"/>
    <mergeCell ref="E171:F171"/>
    <mergeCell ref="B172:D172"/>
    <mergeCell ref="E172:F172"/>
    <mergeCell ref="B173:D173"/>
    <mergeCell ref="E173:F173"/>
    <mergeCell ref="B168:D168"/>
    <mergeCell ref="E168:F168"/>
    <mergeCell ref="B169:D169"/>
    <mergeCell ref="E169:F169"/>
    <mergeCell ref="B170:D170"/>
    <mergeCell ref="E170:F170"/>
    <mergeCell ref="G181:H181"/>
    <mergeCell ref="K181:L181"/>
    <mergeCell ref="B177:D177"/>
    <mergeCell ref="E177:F177"/>
    <mergeCell ref="B178:D178"/>
    <mergeCell ref="E178:F178"/>
    <mergeCell ref="B179:D179"/>
    <mergeCell ref="E179:F179"/>
    <mergeCell ref="B174:D174"/>
    <mergeCell ref="E174:F174"/>
    <mergeCell ref="B175:D175"/>
    <mergeCell ref="E175:F175"/>
    <mergeCell ref="B176:D176"/>
    <mergeCell ref="E176:F176"/>
    <mergeCell ref="B182:D182"/>
    <mergeCell ref="E182:F182"/>
    <mergeCell ref="B183:D183"/>
    <mergeCell ref="E183:F183"/>
    <mergeCell ref="B184:D184"/>
    <mergeCell ref="E184:F184"/>
    <mergeCell ref="B180:D180"/>
    <mergeCell ref="E180:F180"/>
    <mergeCell ref="B181:D181"/>
    <mergeCell ref="E181:F181"/>
    <mergeCell ref="B188:D188"/>
    <mergeCell ref="E188:F188"/>
    <mergeCell ref="B189:D189"/>
    <mergeCell ref="E189:F189"/>
    <mergeCell ref="B190:D190"/>
    <mergeCell ref="E190:F190"/>
    <mergeCell ref="B185:D185"/>
    <mergeCell ref="E185:F185"/>
    <mergeCell ref="B186:D186"/>
    <mergeCell ref="E186:F186"/>
    <mergeCell ref="B187:D187"/>
    <mergeCell ref="E187:F187"/>
    <mergeCell ref="B194:D194"/>
    <mergeCell ref="E194:F194"/>
    <mergeCell ref="B195:D195"/>
    <mergeCell ref="E195:F195"/>
    <mergeCell ref="B196:D196"/>
    <mergeCell ref="E196:F196"/>
    <mergeCell ref="B191:D191"/>
    <mergeCell ref="E191:F191"/>
    <mergeCell ref="B192:D192"/>
    <mergeCell ref="E192:F192"/>
    <mergeCell ref="B193:D193"/>
    <mergeCell ref="E193:F193"/>
    <mergeCell ref="B199:D199"/>
    <mergeCell ref="E199:F199"/>
    <mergeCell ref="B200:D200"/>
    <mergeCell ref="E200:F200"/>
    <mergeCell ref="B201:D201"/>
    <mergeCell ref="E201:F201"/>
    <mergeCell ref="G196:H196"/>
    <mergeCell ref="K196:L196"/>
    <mergeCell ref="B197:D197"/>
    <mergeCell ref="E197:F197"/>
    <mergeCell ref="B198:D198"/>
    <mergeCell ref="E198:F198"/>
    <mergeCell ref="B205:D205"/>
    <mergeCell ref="E205:F205"/>
    <mergeCell ref="B206:D206"/>
    <mergeCell ref="E206:F206"/>
    <mergeCell ref="B207:D207"/>
    <mergeCell ref="E207:F207"/>
    <mergeCell ref="B202:D202"/>
    <mergeCell ref="E202:F202"/>
    <mergeCell ref="B203:D203"/>
    <mergeCell ref="E203:F203"/>
    <mergeCell ref="B204:D204"/>
    <mergeCell ref="E204:F204"/>
    <mergeCell ref="B211:D211"/>
    <mergeCell ref="E211:F211"/>
    <mergeCell ref="G211:H211"/>
    <mergeCell ref="K211:L211"/>
    <mergeCell ref="B212:D212"/>
    <mergeCell ref="E212:F212"/>
    <mergeCell ref="B208:D208"/>
    <mergeCell ref="E208:F208"/>
    <mergeCell ref="B209:D209"/>
    <mergeCell ref="E209:F209"/>
    <mergeCell ref="B210:D210"/>
    <mergeCell ref="E210:F210"/>
    <mergeCell ref="B216:D216"/>
    <mergeCell ref="E216:F216"/>
    <mergeCell ref="B217:D217"/>
    <mergeCell ref="E217:F217"/>
    <mergeCell ref="B218:D218"/>
    <mergeCell ref="E218:F218"/>
    <mergeCell ref="B213:D213"/>
    <mergeCell ref="E213:F213"/>
    <mergeCell ref="B214:D214"/>
    <mergeCell ref="E214:F214"/>
    <mergeCell ref="B215:D215"/>
    <mergeCell ref="E215:F215"/>
    <mergeCell ref="G226:H226"/>
    <mergeCell ref="K226:L226"/>
    <mergeCell ref="B222:D222"/>
    <mergeCell ref="E222:F222"/>
    <mergeCell ref="B223:D223"/>
    <mergeCell ref="E223:F223"/>
    <mergeCell ref="B224:D224"/>
    <mergeCell ref="E224:F224"/>
    <mergeCell ref="B219:D219"/>
    <mergeCell ref="E219:F219"/>
    <mergeCell ref="B220:D220"/>
    <mergeCell ref="E220:F220"/>
    <mergeCell ref="B221:D221"/>
    <mergeCell ref="E221:F221"/>
    <mergeCell ref="B227:D227"/>
    <mergeCell ref="E227:F227"/>
    <mergeCell ref="B228:D228"/>
    <mergeCell ref="E228:F228"/>
    <mergeCell ref="B229:D229"/>
    <mergeCell ref="E229:F229"/>
    <mergeCell ref="B225:D225"/>
    <mergeCell ref="E225:F225"/>
    <mergeCell ref="B226:D226"/>
    <mergeCell ref="E226:F226"/>
    <mergeCell ref="B233:D233"/>
    <mergeCell ref="E233:F233"/>
    <mergeCell ref="B234:D234"/>
    <mergeCell ref="E234:F234"/>
    <mergeCell ref="B235:D235"/>
    <mergeCell ref="E235:F235"/>
    <mergeCell ref="B230:D230"/>
    <mergeCell ref="E230:F230"/>
    <mergeCell ref="B231:D231"/>
    <mergeCell ref="E231:F231"/>
    <mergeCell ref="B232:D232"/>
    <mergeCell ref="E232:F232"/>
    <mergeCell ref="B239:D239"/>
    <mergeCell ref="E239:F239"/>
    <mergeCell ref="B240:D240"/>
    <mergeCell ref="E240:F240"/>
    <mergeCell ref="B241:D241"/>
    <mergeCell ref="E241:F241"/>
    <mergeCell ref="B236:D236"/>
    <mergeCell ref="E236:F236"/>
    <mergeCell ref="B237:D237"/>
    <mergeCell ref="E237:F237"/>
    <mergeCell ref="B238:D238"/>
    <mergeCell ref="E238:F238"/>
    <mergeCell ref="B244:D244"/>
    <mergeCell ref="E244:F244"/>
    <mergeCell ref="B245:D245"/>
    <mergeCell ref="E245:F245"/>
    <mergeCell ref="B246:D246"/>
    <mergeCell ref="E246:F246"/>
    <mergeCell ref="G241:H241"/>
    <mergeCell ref="K241:L241"/>
    <mergeCell ref="B242:D242"/>
    <mergeCell ref="E242:F242"/>
    <mergeCell ref="B243:D243"/>
    <mergeCell ref="E243:F243"/>
    <mergeCell ref="B250:D250"/>
    <mergeCell ref="E250:F250"/>
    <mergeCell ref="B251:D251"/>
    <mergeCell ref="E251:F251"/>
    <mergeCell ref="B252:D252"/>
    <mergeCell ref="E252:F252"/>
    <mergeCell ref="B247:D247"/>
    <mergeCell ref="E247:F247"/>
    <mergeCell ref="B248:D248"/>
    <mergeCell ref="E248:F248"/>
    <mergeCell ref="B249:D249"/>
    <mergeCell ref="E249:F249"/>
    <mergeCell ref="K256:L256"/>
    <mergeCell ref="B257:D257"/>
    <mergeCell ref="E257:F257"/>
    <mergeCell ref="B253:D253"/>
    <mergeCell ref="E253:F253"/>
    <mergeCell ref="B254:D254"/>
    <mergeCell ref="E254:F254"/>
    <mergeCell ref="B255:D255"/>
    <mergeCell ref="E255:F255"/>
    <mergeCell ref="B258:D258"/>
    <mergeCell ref="E258:F258"/>
    <mergeCell ref="B259:D259"/>
    <mergeCell ref="E259:F259"/>
    <mergeCell ref="B260:D260"/>
    <mergeCell ref="E260:F260"/>
    <mergeCell ref="B256:D256"/>
    <mergeCell ref="E256:F256"/>
    <mergeCell ref="G256:H256"/>
    <mergeCell ref="E264:F264"/>
    <mergeCell ref="B265:D265"/>
    <mergeCell ref="E265:F265"/>
    <mergeCell ref="B266:D266"/>
    <mergeCell ref="E266:F266"/>
    <mergeCell ref="B261:D261"/>
    <mergeCell ref="E261:F261"/>
    <mergeCell ref="B262:D262"/>
    <mergeCell ref="E262:F262"/>
    <mergeCell ref="B263:D263"/>
    <mergeCell ref="E263:F263"/>
    <mergeCell ref="B264:D264"/>
    <mergeCell ref="E270:F270"/>
    <mergeCell ref="B271:D271"/>
    <mergeCell ref="E271:F271"/>
    <mergeCell ref="G271:H271"/>
    <mergeCell ref="K271:L271"/>
    <mergeCell ref="B267:D267"/>
    <mergeCell ref="E267:F267"/>
    <mergeCell ref="B268:D268"/>
    <mergeCell ref="E268:F268"/>
    <mergeCell ref="B269:D269"/>
    <mergeCell ref="E269:F269"/>
    <mergeCell ref="B270:D270"/>
    <mergeCell ref="E275:F275"/>
    <mergeCell ref="B276:D276"/>
    <mergeCell ref="E276:F276"/>
    <mergeCell ref="B277:D277"/>
    <mergeCell ref="E277:F277"/>
    <mergeCell ref="B272:D272"/>
    <mergeCell ref="E272:F272"/>
    <mergeCell ref="B273:D273"/>
    <mergeCell ref="E273:F273"/>
    <mergeCell ref="B274:D274"/>
    <mergeCell ref="E274:F274"/>
    <mergeCell ref="B275:D275"/>
    <mergeCell ref="E281:F281"/>
    <mergeCell ref="B282:D282"/>
    <mergeCell ref="E282:F282"/>
    <mergeCell ref="B283:D283"/>
    <mergeCell ref="E283:F283"/>
    <mergeCell ref="B278:D278"/>
    <mergeCell ref="E278:F278"/>
    <mergeCell ref="B279:D279"/>
    <mergeCell ref="E279:F279"/>
    <mergeCell ref="B280:D280"/>
    <mergeCell ref="E280:F280"/>
    <mergeCell ref="B281:D281"/>
    <mergeCell ref="G286:H286"/>
    <mergeCell ref="K286:L286"/>
    <mergeCell ref="B287:D287"/>
    <mergeCell ref="E287:F287"/>
    <mergeCell ref="B288:D288"/>
    <mergeCell ref="E288:F288"/>
    <mergeCell ref="B284:D284"/>
    <mergeCell ref="E284:F284"/>
    <mergeCell ref="B285:D285"/>
    <mergeCell ref="E285:F285"/>
    <mergeCell ref="B286:D286"/>
    <mergeCell ref="E286:F286"/>
    <mergeCell ref="E292:F292"/>
    <mergeCell ref="B293:D293"/>
    <mergeCell ref="E293:F293"/>
    <mergeCell ref="B294:D294"/>
    <mergeCell ref="E294:F294"/>
    <mergeCell ref="B289:D289"/>
    <mergeCell ref="E289:F289"/>
    <mergeCell ref="B290:D290"/>
    <mergeCell ref="E290:F290"/>
    <mergeCell ref="B291:D291"/>
    <mergeCell ref="E291:F291"/>
    <mergeCell ref="B292:D292"/>
    <mergeCell ref="E298:F298"/>
    <mergeCell ref="B299:D299"/>
    <mergeCell ref="E299:F299"/>
    <mergeCell ref="B300:D300"/>
    <mergeCell ref="E300:F300"/>
    <mergeCell ref="B295:D295"/>
    <mergeCell ref="E295:F295"/>
    <mergeCell ref="B296:D296"/>
    <mergeCell ref="E296:F296"/>
    <mergeCell ref="B297:D297"/>
    <mergeCell ref="E297:F297"/>
    <mergeCell ref="B298:D298"/>
    <mergeCell ref="E303:F303"/>
    <mergeCell ref="B304:D304"/>
    <mergeCell ref="E304:F304"/>
    <mergeCell ref="B305:D305"/>
    <mergeCell ref="E305:F305"/>
    <mergeCell ref="B301:D301"/>
    <mergeCell ref="E301:F301"/>
    <mergeCell ref="G301:H301"/>
    <mergeCell ref="K301:L301"/>
    <mergeCell ref="B302:D302"/>
    <mergeCell ref="E302:F302"/>
    <mergeCell ref="B303:D303"/>
    <mergeCell ref="E309:F309"/>
    <mergeCell ref="B310:D310"/>
    <mergeCell ref="E310:F310"/>
    <mergeCell ref="B311:D311"/>
    <mergeCell ref="E311:F311"/>
    <mergeCell ref="B306:D306"/>
    <mergeCell ref="E306:F306"/>
    <mergeCell ref="B307:D307"/>
    <mergeCell ref="E307:F307"/>
    <mergeCell ref="B308:D308"/>
    <mergeCell ref="E308:F308"/>
    <mergeCell ref="B309:D309"/>
    <mergeCell ref="E315:F315"/>
    <mergeCell ref="B316:D316"/>
    <mergeCell ref="E316:F316"/>
    <mergeCell ref="G316:H316"/>
    <mergeCell ref="K316:L316"/>
    <mergeCell ref="B312:D312"/>
    <mergeCell ref="E312:F312"/>
    <mergeCell ref="B313:D313"/>
    <mergeCell ref="E313:F313"/>
    <mergeCell ref="B314:D314"/>
    <mergeCell ref="E314:F314"/>
    <mergeCell ref="B315:D315"/>
    <mergeCell ref="E320:F320"/>
    <mergeCell ref="B321:D321"/>
    <mergeCell ref="E321:F321"/>
    <mergeCell ref="B322:D322"/>
    <mergeCell ref="E322:F322"/>
    <mergeCell ref="B317:D317"/>
    <mergeCell ref="E317:F317"/>
    <mergeCell ref="B318:D318"/>
    <mergeCell ref="E318:F318"/>
    <mergeCell ref="B319:D319"/>
    <mergeCell ref="E319:F319"/>
    <mergeCell ref="B320:D320"/>
    <mergeCell ref="E326:F326"/>
    <mergeCell ref="B327:D327"/>
    <mergeCell ref="E327:F327"/>
    <mergeCell ref="B328:D328"/>
    <mergeCell ref="E328:F328"/>
    <mergeCell ref="B323:D323"/>
    <mergeCell ref="E323:F323"/>
    <mergeCell ref="B324:D324"/>
    <mergeCell ref="E324:F324"/>
    <mergeCell ref="B325:D325"/>
    <mergeCell ref="E325:F325"/>
    <mergeCell ref="B326:D326"/>
    <mergeCell ref="G331:H331"/>
    <mergeCell ref="K331:L331"/>
    <mergeCell ref="E333:F333"/>
    <mergeCell ref="B334:D334"/>
    <mergeCell ref="E334:F334"/>
    <mergeCell ref="B335:D335"/>
    <mergeCell ref="E335:F335"/>
    <mergeCell ref="B329:D329"/>
    <mergeCell ref="E329:F329"/>
    <mergeCell ref="B330:D330"/>
    <mergeCell ref="E330:F330"/>
    <mergeCell ref="B331:D331"/>
    <mergeCell ref="E331:F331"/>
    <mergeCell ref="E339:F339"/>
    <mergeCell ref="E340:F340"/>
    <mergeCell ref="B341:D341"/>
    <mergeCell ref="E341:F341"/>
    <mergeCell ref="B342:D342"/>
    <mergeCell ref="E342:F342"/>
    <mergeCell ref="B336:D336"/>
    <mergeCell ref="E336:F336"/>
    <mergeCell ref="B337:D337"/>
    <mergeCell ref="E337:F337"/>
    <mergeCell ref="B338:D338"/>
    <mergeCell ref="E338:F338"/>
    <mergeCell ref="E346:F346"/>
    <mergeCell ref="B347:D347"/>
    <mergeCell ref="E347:F347"/>
    <mergeCell ref="G347:H347"/>
    <mergeCell ref="K347:L347"/>
    <mergeCell ref="B348:D348"/>
    <mergeCell ref="E348:F348"/>
    <mergeCell ref="B343:D343"/>
    <mergeCell ref="E343:F343"/>
    <mergeCell ref="B344:D344"/>
    <mergeCell ref="E344:F344"/>
    <mergeCell ref="B345:D345"/>
    <mergeCell ref="E345:F345"/>
    <mergeCell ref="E352:F352"/>
    <mergeCell ref="B353:D353"/>
    <mergeCell ref="E353:F353"/>
    <mergeCell ref="B354:D354"/>
    <mergeCell ref="E354:F354"/>
    <mergeCell ref="B349:D349"/>
    <mergeCell ref="E349:F349"/>
    <mergeCell ref="B350:D350"/>
    <mergeCell ref="E350:F350"/>
    <mergeCell ref="B351:D351"/>
    <mergeCell ref="E351:F351"/>
    <mergeCell ref="B352:D352"/>
    <mergeCell ref="E358:F358"/>
    <mergeCell ref="B359:D359"/>
    <mergeCell ref="E359:F359"/>
    <mergeCell ref="B360:D360"/>
    <mergeCell ref="E360:F360"/>
    <mergeCell ref="B355:D355"/>
    <mergeCell ref="E355:F355"/>
    <mergeCell ref="B356:D356"/>
    <mergeCell ref="E356:F356"/>
    <mergeCell ref="B357:D357"/>
    <mergeCell ref="E357:F357"/>
    <mergeCell ref="B358:D358"/>
    <mergeCell ref="E378:F378"/>
    <mergeCell ref="B382:C382"/>
    <mergeCell ref="G382:H382"/>
    <mergeCell ref="B383:C383"/>
    <mergeCell ref="G383:H383"/>
    <mergeCell ref="E388:F388"/>
    <mergeCell ref="E365:F365"/>
    <mergeCell ref="B369:C369"/>
    <mergeCell ref="G369:H369"/>
    <mergeCell ref="B370:C370"/>
    <mergeCell ref="G370:H370"/>
    <mergeCell ref="E375:F375"/>
    <mergeCell ref="E396:F396"/>
    <mergeCell ref="B397:D397"/>
    <mergeCell ref="E397:F397"/>
    <mergeCell ref="E398:F398"/>
    <mergeCell ref="B401:D401"/>
    <mergeCell ref="E401:F401"/>
    <mergeCell ref="B393:D393"/>
    <mergeCell ref="E393:F393"/>
    <mergeCell ref="B394:D394"/>
    <mergeCell ref="E394:F394"/>
    <mergeCell ref="B395:D395"/>
    <mergeCell ref="E395:F395"/>
    <mergeCell ref="B396:D396"/>
    <mergeCell ref="B408:D408"/>
    <mergeCell ref="E408:F408"/>
    <mergeCell ref="B402:D402"/>
    <mergeCell ref="E402:F402"/>
    <mergeCell ref="B403:D403"/>
    <mergeCell ref="E403:F403"/>
    <mergeCell ref="B404:D404"/>
    <mergeCell ref="E404:F404"/>
    <mergeCell ref="B411:D411"/>
    <mergeCell ref="E11:F12"/>
    <mergeCell ref="G11:H12"/>
    <mergeCell ref="I11:I13"/>
    <mergeCell ref="J11:J12"/>
    <mergeCell ref="B15:D15"/>
    <mergeCell ref="B16:D16"/>
    <mergeCell ref="B17:D17"/>
    <mergeCell ref="B18:D18"/>
    <mergeCell ref="B19:D19"/>
    <mergeCell ref="A14:M14"/>
    <mergeCell ref="K19:L19"/>
    <mergeCell ref="K11:M12"/>
    <mergeCell ref="B20:D20"/>
    <mergeCell ref="B21:D21"/>
    <mergeCell ref="B22:D22"/>
    <mergeCell ref="B23:D23"/>
    <mergeCell ref="B24:D24"/>
    <mergeCell ref="B25:D25"/>
    <mergeCell ref="B26:D26"/>
    <mergeCell ref="B27:D27"/>
    <mergeCell ref="B28:D28"/>
    <mergeCell ref="B29:D29"/>
    <mergeCell ref="B30:D30"/>
    <mergeCell ref="B31:D31"/>
    <mergeCell ref="B32:D32"/>
    <mergeCell ref="B33:D33"/>
    <mergeCell ref="B34:D34"/>
    <mergeCell ref="B35:D35"/>
    <mergeCell ref="B36:D36"/>
    <mergeCell ref="E41:F42"/>
    <mergeCell ref="E31:F31"/>
    <mergeCell ref="B99:D99"/>
    <mergeCell ref="E99:F99"/>
    <mergeCell ref="B100:D100"/>
    <mergeCell ref="E100:F100"/>
    <mergeCell ref="K41:M42"/>
    <mergeCell ref="G41:H42"/>
    <mergeCell ref="I41:I43"/>
    <mergeCell ref="J41:J42"/>
    <mergeCell ref="K414:L414"/>
    <mergeCell ref="B412:D412"/>
    <mergeCell ref="E412:F412"/>
    <mergeCell ref="E413:F413"/>
    <mergeCell ref="E414:F414"/>
    <mergeCell ref="G414:H414"/>
    <mergeCell ref="G408:H408"/>
    <mergeCell ref="K408:L408"/>
    <mergeCell ref="E409:F409"/>
    <mergeCell ref="B410:D410"/>
    <mergeCell ref="E410:F410"/>
    <mergeCell ref="E411:F411"/>
    <mergeCell ref="B405:D405"/>
    <mergeCell ref="E405:F405"/>
    <mergeCell ref="E406:F406"/>
    <mergeCell ref="E407:F407"/>
  </mergeCells>
  <conditionalFormatting sqref="M45:M58 M348:M375 I348:I375 M409:M412 I409:I412 I388:I406 M388:M406">
    <cfRule type="expression" dxfId="256" priority="221">
      <formula>IF(ISBLANK(H45),FALSE,TRUE)</formula>
    </cfRule>
  </conditionalFormatting>
  <conditionalFormatting sqref="I45:I58">
    <cfRule type="expression" dxfId="255" priority="220">
      <formula>IF(ISBLANK(H45),FALSE,TRUE)</formula>
    </cfRule>
  </conditionalFormatting>
  <conditionalFormatting sqref="M60:M72">
    <cfRule type="expression" dxfId="254" priority="219">
      <formula>IF(ISBLANK(L60),FALSE,TRUE)</formula>
    </cfRule>
  </conditionalFormatting>
  <conditionalFormatting sqref="I60:I72">
    <cfRule type="expression" dxfId="253" priority="218">
      <formula>IF(ISBLANK(H60),FALSE,TRUE)</formula>
    </cfRule>
  </conditionalFormatting>
  <conditionalFormatting sqref="M75:M87">
    <cfRule type="expression" dxfId="252" priority="217">
      <formula>IF(ISBLANK(L75),FALSE,TRUE)</formula>
    </cfRule>
  </conditionalFormatting>
  <conditionalFormatting sqref="I75:I87">
    <cfRule type="expression" dxfId="251" priority="216">
      <formula>IF(ISBLANK(H75),FALSE,TRUE)</formula>
    </cfRule>
  </conditionalFormatting>
  <conditionalFormatting sqref="M73">
    <cfRule type="expression" dxfId="250" priority="215">
      <formula>IF(ISBLANK(L73),FALSE,TRUE)</formula>
    </cfRule>
  </conditionalFormatting>
  <conditionalFormatting sqref="I73">
    <cfRule type="expression" dxfId="249" priority="214">
      <formula>IF(ISBLANK(H73),FALSE,TRUE)</formula>
    </cfRule>
  </conditionalFormatting>
  <conditionalFormatting sqref="M88">
    <cfRule type="expression" dxfId="248" priority="213">
      <formula>IF(ISBLANK(L88),FALSE,TRUE)</formula>
    </cfRule>
  </conditionalFormatting>
  <conditionalFormatting sqref="I88">
    <cfRule type="expression" dxfId="247" priority="212">
      <formula>IF(ISBLANK(H88),FALSE,TRUE)</formula>
    </cfRule>
  </conditionalFormatting>
  <conditionalFormatting sqref="M90:M98 M101:M104">
    <cfRule type="expression" dxfId="246" priority="211">
      <formula>IF(ISBLANK(L90),FALSE,TRUE)</formula>
    </cfRule>
  </conditionalFormatting>
  <conditionalFormatting sqref="I90:I98 I101:I104">
    <cfRule type="expression" dxfId="245" priority="210">
      <formula>IF(ISBLANK(H90),FALSE,TRUE)</formula>
    </cfRule>
  </conditionalFormatting>
  <conditionalFormatting sqref="I227:I239">
    <cfRule type="expression" dxfId="244" priority="209">
      <formula>IF(ISBLANK(H227),FALSE,TRUE)</formula>
    </cfRule>
  </conditionalFormatting>
  <conditionalFormatting sqref="M257:M269">
    <cfRule type="expression" dxfId="243" priority="208">
      <formula>IF(ISBLANK(L257),FALSE,TRUE)</formula>
    </cfRule>
  </conditionalFormatting>
  <conditionalFormatting sqref="M107:M119">
    <cfRule type="expression" dxfId="242" priority="207">
      <formula>IF(ISBLANK(L107),FALSE,TRUE)</formula>
    </cfRule>
  </conditionalFormatting>
  <conditionalFormatting sqref="I107:I119">
    <cfRule type="expression" dxfId="241" priority="206">
      <formula>IF(ISBLANK(H107),FALSE,TRUE)</formula>
    </cfRule>
  </conditionalFormatting>
  <conditionalFormatting sqref="I257:I269">
    <cfRule type="expression" dxfId="240" priority="205">
      <formula>IF(ISBLANK(H257),FALSE,TRUE)</formula>
    </cfRule>
  </conditionalFormatting>
  <conditionalFormatting sqref="M242:M254">
    <cfRule type="expression" dxfId="239" priority="204">
      <formula>IF(ISBLANK(L242),FALSE,TRUE)</formula>
    </cfRule>
  </conditionalFormatting>
  <conditionalFormatting sqref="M122:M134">
    <cfRule type="expression" dxfId="238" priority="203">
      <formula>IF(ISBLANK(L122),FALSE,TRUE)</formula>
    </cfRule>
  </conditionalFormatting>
  <conditionalFormatting sqref="I122:I134">
    <cfRule type="expression" dxfId="237" priority="202">
      <formula>IF(ISBLANK(H122),FALSE,TRUE)</formula>
    </cfRule>
  </conditionalFormatting>
  <conditionalFormatting sqref="I242:I254">
    <cfRule type="expression" dxfId="236" priority="201">
      <formula>IF(ISBLANK(H242),FALSE,TRUE)</formula>
    </cfRule>
  </conditionalFormatting>
  <conditionalFormatting sqref="M272:M284">
    <cfRule type="expression" dxfId="235" priority="200">
      <formula>IF(ISBLANK(L272),FALSE,TRUE)</formula>
    </cfRule>
  </conditionalFormatting>
  <conditionalFormatting sqref="M137:M149">
    <cfRule type="expression" dxfId="234" priority="199">
      <formula>IF(ISBLANK(L137),FALSE,TRUE)</formula>
    </cfRule>
  </conditionalFormatting>
  <conditionalFormatting sqref="I137:I149">
    <cfRule type="expression" dxfId="233" priority="198">
      <formula>IF(ISBLANK(H137),FALSE,TRUE)</formula>
    </cfRule>
  </conditionalFormatting>
  <conditionalFormatting sqref="I272:I284">
    <cfRule type="expression" dxfId="232" priority="197">
      <formula>IF(ISBLANK(H272),FALSE,TRUE)</formula>
    </cfRule>
  </conditionalFormatting>
  <conditionalFormatting sqref="M152:M164">
    <cfRule type="expression" dxfId="231" priority="196">
      <formula>IF(ISBLANK(L152),FALSE,TRUE)</formula>
    </cfRule>
  </conditionalFormatting>
  <conditionalFormatting sqref="I152:I164">
    <cfRule type="expression" dxfId="230" priority="195">
      <formula>IF(ISBLANK(H152),FALSE,TRUE)</formula>
    </cfRule>
  </conditionalFormatting>
  <conditionalFormatting sqref="M287:M299">
    <cfRule type="expression" dxfId="229" priority="194">
      <formula>IF(ISBLANK(L287),FALSE,TRUE)</formula>
    </cfRule>
  </conditionalFormatting>
  <conditionalFormatting sqref="M167:M179">
    <cfRule type="expression" dxfId="228" priority="193">
      <formula>IF(ISBLANK(L167),FALSE,TRUE)</formula>
    </cfRule>
  </conditionalFormatting>
  <conditionalFormatting sqref="I167:I179">
    <cfRule type="expression" dxfId="227" priority="192">
      <formula>IF(ISBLANK(H167),FALSE,TRUE)</formula>
    </cfRule>
  </conditionalFormatting>
  <conditionalFormatting sqref="I287:I299">
    <cfRule type="expression" dxfId="226" priority="191">
      <formula>IF(ISBLANK(H287),FALSE,TRUE)</formula>
    </cfRule>
  </conditionalFormatting>
  <conditionalFormatting sqref="M182:M194">
    <cfRule type="expression" dxfId="225" priority="190">
      <formula>IF(ISBLANK(L182),FALSE,TRUE)</formula>
    </cfRule>
  </conditionalFormatting>
  <conditionalFormatting sqref="I182:I194">
    <cfRule type="expression" dxfId="224" priority="189">
      <formula>IF(ISBLANK(H182),FALSE,TRUE)</formula>
    </cfRule>
  </conditionalFormatting>
  <conditionalFormatting sqref="M302:M314">
    <cfRule type="expression" dxfId="223" priority="188">
      <formula>IF(ISBLANK(L302),FALSE,TRUE)</formula>
    </cfRule>
  </conditionalFormatting>
  <conditionalFormatting sqref="M197:M209">
    <cfRule type="expression" dxfId="222" priority="187">
      <formula>IF(ISBLANK(L197),FALSE,TRUE)</formula>
    </cfRule>
  </conditionalFormatting>
  <conditionalFormatting sqref="I197:I209">
    <cfRule type="expression" dxfId="221" priority="186">
      <formula>IF(ISBLANK(H197),FALSE,TRUE)</formula>
    </cfRule>
  </conditionalFormatting>
  <conditionalFormatting sqref="I302:I314">
    <cfRule type="expression" dxfId="220" priority="185">
      <formula>IF(ISBLANK(H302),FALSE,TRUE)</formula>
    </cfRule>
  </conditionalFormatting>
  <conditionalFormatting sqref="M212:M224">
    <cfRule type="expression" dxfId="219" priority="184">
      <formula>IF(ISBLANK(L212),FALSE,TRUE)</formula>
    </cfRule>
  </conditionalFormatting>
  <conditionalFormatting sqref="I212:I224">
    <cfRule type="expression" dxfId="218" priority="183">
      <formula>IF(ISBLANK(H212),FALSE,TRUE)</formula>
    </cfRule>
  </conditionalFormatting>
  <conditionalFormatting sqref="M317:M329">
    <cfRule type="expression" dxfId="217" priority="182">
      <formula>IF(ISBLANK(L317),FALSE,TRUE)</formula>
    </cfRule>
  </conditionalFormatting>
  <conditionalFormatting sqref="M227:M239">
    <cfRule type="expression" dxfId="216" priority="181">
      <formula>IF(ISBLANK(L227),FALSE,TRUE)</formula>
    </cfRule>
  </conditionalFormatting>
  <conditionalFormatting sqref="I317:I329">
    <cfRule type="expression" dxfId="215" priority="180">
      <formula>IF(ISBLANK(H317),FALSE,TRUE)</formula>
    </cfRule>
  </conditionalFormatting>
  <conditionalFormatting sqref="M333:M345">
    <cfRule type="expression" dxfId="214" priority="179">
      <formula>IF(ISBLANK(L333),FALSE,TRUE)</formula>
    </cfRule>
  </conditionalFormatting>
  <conditionalFormatting sqref="I333:I345">
    <cfRule type="expression" dxfId="213" priority="178">
      <formula>IF(ISBLANK(H333),FALSE,TRUE)</formula>
    </cfRule>
  </conditionalFormatting>
  <conditionalFormatting sqref="M105">
    <cfRule type="expression" dxfId="212" priority="177">
      <formula>IF(ISBLANK(L105),FALSE,TRUE)</formula>
    </cfRule>
  </conditionalFormatting>
  <conditionalFormatting sqref="I105">
    <cfRule type="expression" dxfId="211" priority="176">
      <formula>IF(ISBLANK(H105),FALSE,TRUE)</formula>
    </cfRule>
  </conditionalFormatting>
  <conditionalFormatting sqref="M120">
    <cfRule type="expression" dxfId="210" priority="175">
      <formula>IF(ISBLANK(L120),FALSE,TRUE)</formula>
    </cfRule>
  </conditionalFormatting>
  <conditionalFormatting sqref="I120">
    <cfRule type="expression" dxfId="209" priority="174">
      <formula>IF(ISBLANK(H120),FALSE,TRUE)</formula>
    </cfRule>
  </conditionalFormatting>
  <conditionalFormatting sqref="M135">
    <cfRule type="expression" dxfId="208" priority="173">
      <formula>IF(ISBLANK(L135),FALSE,TRUE)</formula>
    </cfRule>
  </conditionalFormatting>
  <conditionalFormatting sqref="I135">
    <cfRule type="expression" dxfId="207" priority="172">
      <formula>IF(ISBLANK(H135),FALSE,TRUE)</formula>
    </cfRule>
  </conditionalFormatting>
  <conditionalFormatting sqref="M150">
    <cfRule type="expression" dxfId="206" priority="171">
      <formula>IF(ISBLANK(L150),FALSE,TRUE)</formula>
    </cfRule>
  </conditionalFormatting>
  <conditionalFormatting sqref="I150">
    <cfRule type="expression" dxfId="205" priority="170">
      <formula>IF(ISBLANK(H150),FALSE,TRUE)</formula>
    </cfRule>
  </conditionalFormatting>
  <conditionalFormatting sqref="M165">
    <cfRule type="expression" dxfId="204" priority="169">
      <formula>IF(ISBLANK(L165),FALSE,TRUE)</formula>
    </cfRule>
  </conditionalFormatting>
  <conditionalFormatting sqref="I165">
    <cfRule type="expression" dxfId="203" priority="168">
      <formula>IF(ISBLANK(H165),FALSE,TRUE)</formula>
    </cfRule>
  </conditionalFormatting>
  <conditionalFormatting sqref="M180">
    <cfRule type="expression" dxfId="202" priority="167">
      <formula>IF(ISBLANK(L180),FALSE,TRUE)</formula>
    </cfRule>
  </conditionalFormatting>
  <conditionalFormatting sqref="I180">
    <cfRule type="expression" dxfId="201" priority="166">
      <formula>IF(ISBLANK(H180),FALSE,TRUE)</formula>
    </cfRule>
  </conditionalFormatting>
  <conditionalFormatting sqref="M195">
    <cfRule type="expression" dxfId="200" priority="165">
      <formula>IF(ISBLANK(L195),FALSE,TRUE)</formula>
    </cfRule>
  </conditionalFormatting>
  <conditionalFormatting sqref="I195">
    <cfRule type="expression" dxfId="199" priority="164">
      <formula>IF(ISBLANK(H195),FALSE,TRUE)</formula>
    </cfRule>
  </conditionalFormatting>
  <conditionalFormatting sqref="M210">
    <cfRule type="expression" dxfId="198" priority="163">
      <formula>IF(ISBLANK(L210),FALSE,TRUE)</formula>
    </cfRule>
  </conditionalFormatting>
  <conditionalFormatting sqref="I210">
    <cfRule type="expression" dxfId="197" priority="162">
      <formula>IF(ISBLANK(H210),FALSE,TRUE)</formula>
    </cfRule>
  </conditionalFormatting>
  <conditionalFormatting sqref="M225">
    <cfRule type="expression" dxfId="196" priority="161">
      <formula>IF(ISBLANK(L225),FALSE,TRUE)</formula>
    </cfRule>
  </conditionalFormatting>
  <conditionalFormatting sqref="I225">
    <cfRule type="expression" dxfId="195" priority="160">
      <formula>IF(ISBLANK(H225),FALSE,TRUE)</formula>
    </cfRule>
  </conditionalFormatting>
  <conditionalFormatting sqref="M240">
    <cfRule type="expression" dxfId="194" priority="159">
      <formula>IF(ISBLANK(L240),FALSE,TRUE)</formula>
    </cfRule>
  </conditionalFormatting>
  <conditionalFormatting sqref="I240">
    <cfRule type="expression" dxfId="193" priority="158">
      <formula>IF(ISBLANK(H240),FALSE,TRUE)</formula>
    </cfRule>
  </conditionalFormatting>
  <conditionalFormatting sqref="M255">
    <cfRule type="expression" dxfId="192" priority="157">
      <formula>IF(ISBLANK(L255),FALSE,TRUE)</formula>
    </cfRule>
  </conditionalFormatting>
  <conditionalFormatting sqref="I255">
    <cfRule type="expression" dxfId="191" priority="156">
      <formula>IF(ISBLANK(H255),FALSE,TRUE)</formula>
    </cfRule>
  </conditionalFormatting>
  <conditionalFormatting sqref="M270">
    <cfRule type="expression" dxfId="190" priority="155">
      <formula>IF(ISBLANK(L270),FALSE,TRUE)</formula>
    </cfRule>
  </conditionalFormatting>
  <conditionalFormatting sqref="I270">
    <cfRule type="expression" dxfId="189" priority="154">
      <formula>IF(ISBLANK(H270),FALSE,TRUE)</formula>
    </cfRule>
  </conditionalFormatting>
  <conditionalFormatting sqref="M285">
    <cfRule type="expression" dxfId="188" priority="153">
      <formula>IF(ISBLANK(L285),FALSE,TRUE)</formula>
    </cfRule>
  </conditionalFormatting>
  <conditionalFormatting sqref="I285">
    <cfRule type="expression" dxfId="187" priority="152">
      <formula>IF(ISBLANK(H285),FALSE,TRUE)</formula>
    </cfRule>
  </conditionalFormatting>
  <conditionalFormatting sqref="M300">
    <cfRule type="expression" dxfId="186" priority="151">
      <formula>IF(ISBLANK(L300),FALSE,TRUE)</formula>
    </cfRule>
  </conditionalFormatting>
  <conditionalFormatting sqref="I300">
    <cfRule type="expression" dxfId="185" priority="150">
      <formula>IF(ISBLANK(H300),FALSE,TRUE)</formula>
    </cfRule>
  </conditionalFormatting>
  <conditionalFormatting sqref="M315">
    <cfRule type="expression" dxfId="184" priority="149">
      <formula>IF(ISBLANK(L315),FALSE,TRUE)</formula>
    </cfRule>
  </conditionalFormatting>
  <conditionalFormatting sqref="I315">
    <cfRule type="expression" dxfId="183" priority="148">
      <formula>IF(ISBLANK(H315),FALSE,TRUE)</formula>
    </cfRule>
  </conditionalFormatting>
  <conditionalFormatting sqref="M330">
    <cfRule type="expression" dxfId="182" priority="147">
      <formula>IF(ISBLANK(L330),FALSE,TRUE)</formula>
    </cfRule>
  </conditionalFormatting>
  <conditionalFormatting sqref="I330">
    <cfRule type="expression" dxfId="181" priority="146">
      <formula>IF(ISBLANK(H330),FALSE,TRUE)</formula>
    </cfRule>
  </conditionalFormatting>
  <conditionalFormatting sqref="I413">
    <cfRule type="expression" dxfId="180" priority="145">
      <formula>IF(ISBLANK(H413),FALSE,TRUE)</formula>
    </cfRule>
  </conditionalFormatting>
  <conditionalFormatting sqref="M346">
    <cfRule type="expression" dxfId="179" priority="144">
      <formula>IF(ISBLANK(L346),FALSE,TRUE)</formula>
    </cfRule>
  </conditionalFormatting>
  <conditionalFormatting sqref="I346">
    <cfRule type="expression" dxfId="178" priority="143">
      <formula>IF(ISBLANK(H346),FALSE,TRUE)</formula>
    </cfRule>
  </conditionalFormatting>
  <conditionalFormatting sqref="M413">
    <cfRule type="expression" dxfId="177" priority="142">
      <formula>IF(ISBLANK(L413),FALSE,TRUE)</formula>
    </cfRule>
  </conditionalFormatting>
  <conditionalFormatting sqref="M376:M387 I376:I387">
    <cfRule type="expression" dxfId="176" priority="140">
      <formula>IF(ISBLANK(H376),FALSE,TRUE)</formula>
    </cfRule>
  </conditionalFormatting>
  <conditionalFormatting sqref="M407">
    <cfRule type="expression" dxfId="175" priority="137">
      <formula>IF(ISBLANK(L407),FALSE,TRUE)</formula>
    </cfRule>
  </conditionalFormatting>
  <conditionalFormatting sqref="I407">
    <cfRule type="expression" dxfId="174" priority="136">
      <formula>IF(ISBLANK(H407),FALSE,TRUE)</formula>
    </cfRule>
  </conditionalFormatting>
  <conditionalFormatting sqref="K52:K57 K71:K72 K82:K87 K107:K119 K132:K134 K146:K149 K152:K164 K176:K179 K187:K194 K197:K209 K212:K224 K227:K239 K250:K254 K257:K269 K281:K284 K287:K299 K302:K314 K317:K329 K333:K345 K103:K104">
    <cfRule type="expression" dxfId="173" priority="135">
      <formula>L52&lt;&gt;""</formula>
    </cfRule>
  </conditionalFormatting>
  <conditionalFormatting sqref="G52:G57">
    <cfRule type="expression" dxfId="172" priority="134">
      <formula>H52&lt;&gt;""</formula>
    </cfRule>
  </conditionalFormatting>
  <conditionalFormatting sqref="G82:G87 G107:G119 G132:G134 G146:G149 G152:G164 G176:G179 G187:G194 G197:G209 G212:G224 G227:G239 G250:G254 G257:G269 G281:G284 G287:G299 G302:G314 G317:G329 G333:G345 G348:G360 G103:G104">
    <cfRule type="expression" dxfId="171" priority="132">
      <formula>H82&lt;&gt;""</formula>
    </cfRule>
  </conditionalFormatting>
  <conditionalFormatting sqref="M15:M37">
    <cfRule type="expression" dxfId="170" priority="131">
      <formula>IF(ISBLANK(L15),FALSE,TRUE)</formula>
    </cfRule>
  </conditionalFormatting>
  <conditionalFormatting sqref="K15:K37 G15:G37">
    <cfRule type="expression" dxfId="169" priority="130">
      <formula>H15&lt;&gt;""</formula>
    </cfRule>
  </conditionalFormatting>
  <conditionalFormatting sqref="M15:M37">
    <cfRule type="expression" dxfId="168" priority="129">
      <formula>IF(ISBLANK(L15),FALSE,TRUE)</formula>
    </cfRule>
  </conditionalFormatting>
  <conditionalFormatting sqref="K15:K37 G15:G37">
    <cfRule type="expression" dxfId="167" priority="128">
      <formula>H15&lt;&gt;""</formula>
    </cfRule>
  </conditionalFormatting>
  <conditionalFormatting sqref="E15">
    <cfRule type="expression" dxfId="166" priority="127">
      <formula>$X$11</formula>
    </cfRule>
  </conditionalFormatting>
  <conditionalFormatting sqref="J15">
    <cfRule type="expression" dxfId="165" priority="126">
      <formula>$X$11</formula>
    </cfRule>
  </conditionalFormatting>
  <conditionalFormatting sqref="M15">
    <cfRule type="expression" dxfId="164" priority="125">
      <formula>$X$11</formula>
    </cfRule>
  </conditionalFormatting>
  <conditionalFormatting sqref="M45:M58 M348:M375 I348:I375 M409:M412 I409:I412 I388:I406 M388:M406">
    <cfRule type="expression" dxfId="163" priority="124">
      <formula>IF(ISBLANK(H45),FALSE,TRUE)</formula>
    </cfRule>
  </conditionalFormatting>
  <conditionalFormatting sqref="I45:I58">
    <cfRule type="expression" dxfId="162" priority="123">
      <formula>IF(ISBLANK(H45),FALSE,TRUE)</formula>
    </cfRule>
  </conditionalFormatting>
  <conditionalFormatting sqref="M60:M72">
    <cfRule type="expression" dxfId="161" priority="122">
      <formula>IF(ISBLANK(L60),FALSE,TRUE)</formula>
    </cfRule>
  </conditionalFormatting>
  <conditionalFormatting sqref="I60:I72">
    <cfRule type="expression" dxfId="160" priority="121">
      <formula>IF(ISBLANK(H60),FALSE,TRUE)</formula>
    </cfRule>
  </conditionalFormatting>
  <conditionalFormatting sqref="M75:M87">
    <cfRule type="expression" dxfId="159" priority="120">
      <formula>IF(ISBLANK(L75),FALSE,TRUE)</formula>
    </cfRule>
  </conditionalFormatting>
  <conditionalFormatting sqref="I75:I87">
    <cfRule type="expression" dxfId="158" priority="119">
      <formula>IF(ISBLANK(H75),FALSE,TRUE)</formula>
    </cfRule>
  </conditionalFormatting>
  <conditionalFormatting sqref="M73">
    <cfRule type="expression" dxfId="157" priority="118">
      <formula>IF(ISBLANK(L73),FALSE,TRUE)</formula>
    </cfRule>
  </conditionalFormatting>
  <conditionalFormatting sqref="I73">
    <cfRule type="expression" dxfId="156" priority="117">
      <formula>IF(ISBLANK(H73),FALSE,TRUE)</formula>
    </cfRule>
  </conditionalFormatting>
  <conditionalFormatting sqref="M88">
    <cfRule type="expression" dxfId="155" priority="116">
      <formula>IF(ISBLANK(L88),FALSE,TRUE)</formula>
    </cfRule>
  </conditionalFormatting>
  <conditionalFormatting sqref="I88">
    <cfRule type="expression" dxfId="154" priority="115">
      <formula>IF(ISBLANK(H88),FALSE,TRUE)</formula>
    </cfRule>
  </conditionalFormatting>
  <conditionalFormatting sqref="M90:M98 M101:M104">
    <cfRule type="expression" dxfId="153" priority="114">
      <formula>IF(ISBLANK(L90),FALSE,TRUE)</formula>
    </cfRule>
  </conditionalFormatting>
  <conditionalFormatting sqref="I90:I98 I101:I104">
    <cfRule type="expression" dxfId="152" priority="113">
      <formula>IF(ISBLANK(H90),FALSE,TRUE)</formula>
    </cfRule>
  </conditionalFormatting>
  <conditionalFormatting sqref="I227:I239">
    <cfRule type="expression" dxfId="151" priority="112">
      <formula>IF(ISBLANK(H227),FALSE,TRUE)</formula>
    </cfRule>
  </conditionalFormatting>
  <conditionalFormatting sqref="M257:M269">
    <cfRule type="expression" dxfId="150" priority="111">
      <formula>IF(ISBLANK(L257),FALSE,TRUE)</formula>
    </cfRule>
  </conditionalFormatting>
  <conditionalFormatting sqref="M107:M119">
    <cfRule type="expression" dxfId="149" priority="110">
      <formula>IF(ISBLANK(L107),FALSE,TRUE)</formula>
    </cfRule>
  </conditionalFormatting>
  <conditionalFormatting sqref="I107:I119">
    <cfRule type="expression" dxfId="148" priority="109">
      <formula>IF(ISBLANK(H107),FALSE,TRUE)</formula>
    </cfRule>
  </conditionalFormatting>
  <conditionalFormatting sqref="I257:I269">
    <cfRule type="expression" dxfId="147" priority="108">
      <formula>IF(ISBLANK(H257),FALSE,TRUE)</formula>
    </cfRule>
  </conditionalFormatting>
  <conditionalFormatting sqref="M242:M254">
    <cfRule type="expression" dxfId="146" priority="107">
      <formula>IF(ISBLANK(L242),FALSE,TRUE)</formula>
    </cfRule>
  </conditionalFormatting>
  <conditionalFormatting sqref="M122:M134">
    <cfRule type="expression" dxfId="145" priority="106">
      <formula>IF(ISBLANK(L122),FALSE,TRUE)</formula>
    </cfRule>
  </conditionalFormatting>
  <conditionalFormatting sqref="I122:I134">
    <cfRule type="expression" dxfId="144" priority="105">
      <formula>IF(ISBLANK(H122),FALSE,TRUE)</formula>
    </cfRule>
  </conditionalFormatting>
  <conditionalFormatting sqref="I242:I254">
    <cfRule type="expression" dxfId="143" priority="104">
      <formula>IF(ISBLANK(H242),FALSE,TRUE)</formula>
    </cfRule>
  </conditionalFormatting>
  <conditionalFormatting sqref="M272:M284">
    <cfRule type="expression" dxfId="142" priority="103">
      <formula>IF(ISBLANK(L272),FALSE,TRUE)</formula>
    </cfRule>
  </conditionalFormatting>
  <conditionalFormatting sqref="M137:M149">
    <cfRule type="expression" dxfId="141" priority="102">
      <formula>IF(ISBLANK(L137),FALSE,TRUE)</formula>
    </cfRule>
  </conditionalFormatting>
  <conditionalFormatting sqref="I137:I149">
    <cfRule type="expression" dxfId="140" priority="101">
      <formula>IF(ISBLANK(H137),FALSE,TRUE)</formula>
    </cfRule>
  </conditionalFormatting>
  <conditionalFormatting sqref="I272:I284">
    <cfRule type="expression" dxfId="139" priority="100">
      <formula>IF(ISBLANK(H272),FALSE,TRUE)</formula>
    </cfRule>
  </conditionalFormatting>
  <conditionalFormatting sqref="M152:M164">
    <cfRule type="expression" dxfId="138" priority="99">
      <formula>IF(ISBLANK(L152),FALSE,TRUE)</formula>
    </cfRule>
  </conditionalFormatting>
  <conditionalFormatting sqref="I152:I164">
    <cfRule type="expression" dxfId="137" priority="98">
      <formula>IF(ISBLANK(H152),FALSE,TRUE)</formula>
    </cfRule>
  </conditionalFormatting>
  <conditionalFormatting sqref="M287:M299">
    <cfRule type="expression" dxfId="136" priority="97">
      <formula>IF(ISBLANK(L287),FALSE,TRUE)</formula>
    </cfRule>
  </conditionalFormatting>
  <conditionalFormatting sqref="M167:M179">
    <cfRule type="expression" dxfId="135" priority="96">
      <formula>IF(ISBLANK(L167),FALSE,TRUE)</formula>
    </cfRule>
  </conditionalFormatting>
  <conditionalFormatting sqref="I167:I179">
    <cfRule type="expression" dxfId="134" priority="95">
      <formula>IF(ISBLANK(H167),FALSE,TRUE)</formula>
    </cfRule>
  </conditionalFormatting>
  <conditionalFormatting sqref="I287:I299">
    <cfRule type="expression" dxfId="133" priority="94">
      <formula>IF(ISBLANK(H287),FALSE,TRUE)</formula>
    </cfRule>
  </conditionalFormatting>
  <conditionalFormatting sqref="M182:M194">
    <cfRule type="expression" dxfId="132" priority="93">
      <formula>IF(ISBLANK(L182),FALSE,TRUE)</formula>
    </cfRule>
  </conditionalFormatting>
  <conditionalFormatting sqref="I182:I194">
    <cfRule type="expression" dxfId="131" priority="92">
      <formula>IF(ISBLANK(H182),FALSE,TRUE)</formula>
    </cfRule>
  </conditionalFormatting>
  <conditionalFormatting sqref="M302:M314">
    <cfRule type="expression" dxfId="130" priority="91">
      <formula>IF(ISBLANK(L302),FALSE,TRUE)</formula>
    </cfRule>
  </conditionalFormatting>
  <conditionalFormatting sqref="M197:M209">
    <cfRule type="expression" dxfId="129" priority="90">
      <formula>IF(ISBLANK(L197),FALSE,TRUE)</formula>
    </cfRule>
  </conditionalFormatting>
  <conditionalFormatting sqref="I197:I209">
    <cfRule type="expression" dxfId="128" priority="89">
      <formula>IF(ISBLANK(H197),FALSE,TRUE)</formula>
    </cfRule>
  </conditionalFormatting>
  <conditionalFormatting sqref="I302:I314">
    <cfRule type="expression" dxfId="127" priority="88">
      <formula>IF(ISBLANK(H302),FALSE,TRUE)</formula>
    </cfRule>
  </conditionalFormatting>
  <conditionalFormatting sqref="M212:M224">
    <cfRule type="expression" dxfId="126" priority="87">
      <formula>IF(ISBLANK(L212),FALSE,TRUE)</formula>
    </cfRule>
  </conditionalFormatting>
  <conditionalFormatting sqref="I212:I224">
    <cfRule type="expression" dxfId="125" priority="86">
      <formula>IF(ISBLANK(H212),FALSE,TRUE)</formula>
    </cfRule>
  </conditionalFormatting>
  <conditionalFormatting sqref="M317:M329">
    <cfRule type="expression" dxfId="124" priority="85">
      <formula>IF(ISBLANK(L317),FALSE,TRUE)</formula>
    </cfRule>
  </conditionalFormatting>
  <conditionalFormatting sqref="M227:M239">
    <cfRule type="expression" dxfId="123" priority="84">
      <formula>IF(ISBLANK(L227),FALSE,TRUE)</formula>
    </cfRule>
  </conditionalFormatting>
  <conditionalFormatting sqref="I317:I329">
    <cfRule type="expression" dxfId="122" priority="83">
      <formula>IF(ISBLANK(H317),FALSE,TRUE)</formula>
    </cfRule>
  </conditionalFormatting>
  <conditionalFormatting sqref="M333:M345">
    <cfRule type="expression" dxfId="121" priority="82">
      <formula>IF(ISBLANK(L333),FALSE,TRUE)</formula>
    </cfRule>
  </conditionalFormatting>
  <conditionalFormatting sqref="I333:I345">
    <cfRule type="expression" dxfId="120" priority="81">
      <formula>IF(ISBLANK(H333),FALSE,TRUE)</formula>
    </cfRule>
  </conditionalFormatting>
  <conditionalFormatting sqref="M105">
    <cfRule type="expression" dxfId="119" priority="80">
      <formula>IF(ISBLANK(L105),FALSE,TRUE)</formula>
    </cfRule>
  </conditionalFormatting>
  <conditionalFormatting sqref="I105">
    <cfRule type="expression" dxfId="118" priority="79">
      <formula>IF(ISBLANK(H105),FALSE,TRUE)</formula>
    </cfRule>
  </conditionalFormatting>
  <conditionalFormatting sqref="M120">
    <cfRule type="expression" dxfId="117" priority="78">
      <formula>IF(ISBLANK(L120),FALSE,TRUE)</formula>
    </cfRule>
  </conditionalFormatting>
  <conditionalFormatting sqref="I120">
    <cfRule type="expression" dxfId="116" priority="77">
      <formula>IF(ISBLANK(H120),FALSE,TRUE)</formula>
    </cfRule>
  </conditionalFormatting>
  <conditionalFormatting sqref="M135">
    <cfRule type="expression" dxfId="115" priority="76">
      <formula>IF(ISBLANK(L135),FALSE,TRUE)</formula>
    </cfRule>
  </conditionalFormatting>
  <conditionalFormatting sqref="I135">
    <cfRule type="expression" dxfId="114" priority="75">
      <formula>IF(ISBLANK(H135),FALSE,TRUE)</formula>
    </cfRule>
  </conditionalFormatting>
  <conditionalFormatting sqref="M150">
    <cfRule type="expression" dxfId="113" priority="74">
      <formula>IF(ISBLANK(L150),FALSE,TRUE)</formula>
    </cfRule>
  </conditionalFormatting>
  <conditionalFormatting sqref="I150">
    <cfRule type="expression" dxfId="112" priority="73">
      <formula>IF(ISBLANK(H150),FALSE,TRUE)</formula>
    </cfRule>
  </conditionalFormatting>
  <conditionalFormatting sqref="M165">
    <cfRule type="expression" dxfId="111" priority="72">
      <formula>IF(ISBLANK(L165),FALSE,TRUE)</formula>
    </cfRule>
  </conditionalFormatting>
  <conditionalFormatting sqref="I165">
    <cfRule type="expression" dxfId="110" priority="71">
      <formula>IF(ISBLANK(H165),FALSE,TRUE)</formula>
    </cfRule>
  </conditionalFormatting>
  <conditionalFormatting sqref="M180">
    <cfRule type="expression" dxfId="109" priority="70">
      <formula>IF(ISBLANK(L180),FALSE,TRUE)</formula>
    </cfRule>
  </conditionalFormatting>
  <conditionalFormatting sqref="I180">
    <cfRule type="expression" dxfId="108" priority="69">
      <formula>IF(ISBLANK(H180),FALSE,TRUE)</formula>
    </cfRule>
  </conditionalFormatting>
  <conditionalFormatting sqref="M195">
    <cfRule type="expression" dxfId="107" priority="68">
      <formula>IF(ISBLANK(L195),FALSE,TRUE)</formula>
    </cfRule>
  </conditionalFormatting>
  <conditionalFormatting sqref="I195">
    <cfRule type="expression" dxfId="106" priority="67">
      <formula>IF(ISBLANK(H195),FALSE,TRUE)</formula>
    </cfRule>
  </conditionalFormatting>
  <conditionalFormatting sqref="M210">
    <cfRule type="expression" dxfId="105" priority="66">
      <formula>IF(ISBLANK(L210),FALSE,TRUE)</formula>
    </cfRule>
  </conditionalFormatting>
  <conditionalFormatting sqref="I210">
    <cfRule type="expression" dxfId="104" priority="65">
      <formula>IF(ISBLANK(H210),FALSE,TRUE)</formula>
    </cfRule>
  </conditionalFormatting>
  <conditionalFormatting sqref="M225">
    <cfRule type="expression" dxfId="103" priority="64">
      <formula>IF(ISBLANK(L225),FALSE,TRUE)</formula>
    </cfRule>
  </conditionalFormatting>
  <conditionalFormatting sqref="I225">
    <cfRule type="expression" dxfId="102" priority="63">
      <formula>IF(ISBLANK(H225),FALSE,TRUE)</formula>
    </cfRule>
  </conditionalFormatting>
  <conditionalFormatting sqref="M240">
    <cfRule type="expression" dxfId="101" priority="62">
      <formula>IF(ISBLANK(L240),FALSE,TRUE)</formula>
    </cfRule>
  </conditionalFormatting>
  <conditionalFormatting sqref="I240">
    <cfRule type="expression" dxfId="100" priority="61">
      <formula>IF(ISBLANK(H240),FALSE,TRUE)</formula>
    </cfRule>
  </conditionalFormatting>
  <conditionalFormatting sqref="M255">
    <cfRule type="expression" dxfId="99" priority="60">
      <formula>IF(ISBLANK(L255),FALSE,TRUE)</formula>
    </cfRule>
  </conditionalFormatting>
  <conditionalFormatting sqref="I255">
    <cfRule type="expression" dxfId="98" priority="59">
      <formula>IF(ISBLANK(H255),FALSE,TRUE)</formula>
    </cfRule>
  </conditionalFormatting>
  <conditionalFormatting sqref="M270">
    <cfRule type="expression" dxfId="97" priority="58">
      <formula>IF(ISBLANK(L270),FALSE,TRUE)</formula>
    </cfRule>
  </conditionalFormatting>
  <conditionalFormatting sqref="I270">
    <cfRule type="expression" dxfId="96" priority="57">
      <formula>IF(ISBLANK(H270),FALSE,TRUE)</formula>
    </cfRule>
  </conditionalFormatting>
  <conditionalFormatting sqref="M285">
    <cfRule type="expression" dxfId="95" priority="56">
      <formula>IF(ISBLANK(L285),FALSE,TRUE)</formula>
    </cfRule>
  </conditionalFormatting>
  <conditionalFormatting sqref="I285">
    <cfRule type="expression" dxfId="94" priority="55">
      <formula>IF(ISBLANK(H285),FALSE,TRUE)</formula>
    </cfRule>
  </conditionalFormatting>
  <conditionalFormatting sqref="M300">
    <cfRule type="expression" dxfId="93" priority="54">
      <formula>IF(ISBLANK(L300),FALSE,TRUE)</formula>
    </cfRule>
  </conditionalFormatting>
  <conditionalFormatting sqref="I300">
    <cfRule type="expression" dxfId="92" priority="53">
      <formula>IF(ISBLANK(H300),FALSE,TRUE)</formula>
    </cfRule>
  </conditionalFormatting>
  <conditionalFormatting sqref="M315">
    <cfRule type="expression" dxfId="91" priority="52">
      <formula>IF(ISBLANK(L315),FALSE,TRUE)</formula>
    </cfRule>
  </conditionalFormatting>
  <conditionalFormatting sqref="I315">
    <cfRule type="expression" dxfId="90" priority="51">
      <formula>IF(ISBLANK(H315),FALSE,TRUE)</formula>
    </cfRule>
  </conditionalFormatting>
  <conditionalFormatting sqref="M330">
    <cfRule type="expression" dxfId="89" priority="50">
      <formula>IF(ISBLANK(L330),FALSE,TRUE)</formula>
    </cfRule>
  </conditionalFormatting>
  <conditionalFormatting sqref="I330">
    <cfRule type="expression" dxfId="88" priority="49">
      <formula>IF(ISBLANK(H330),FALSE,TRUE)</formula>
    </cfRule>
  </conditionalFormatting>
  <conditionalFormatting sqref="I413">
    <cfRule type="expression" dxfId="87" priority="48">
      <formula>IF(ISBLANK(H413),FALSE,TRUE)</formula>
    </cfRule>
  </conditionalFormatting>
  <conditionalFormatting sqref="M346">
    <cfRule type="expression" dxfId="86" priority="47">
      <formula>IF(ISBLANK(L346),FALSE,TRUE)</formula>
    </cfRule>
  </conditionalFormatting>
  <conditionalFormatting sqref="I346">
    <cfRule type="expression" dxfId="85" priority="46">
      <formula>IF(ISBLANK(H346),FALSE,TRUE)</formula>
    </cfRule>
  </conditionalFormatting>
  <conditionalFormatting sqref="M413">
    <cfRule type="expression" dxfId="84" priority="45">
      <formula>IF(ISBLANK(L413),FALSE,TRUE)</formula>
    </cfRule>
  </conditionalFormatting>
  <conditionalFormatting sqref="M376:M387 I376:I387">
    <cfRule type="expression" dxfId="83" priority="44">
      <formula>IF(ISBLANK(H376),FALSE,TRUE)</formula>
    </cfRule>
  </conditionalFormatting>
  <conditionalFormatting sqref="M407">
    <cfRule type="expression" dxfId="82" priority="43">
      <formula>IF(ISBLANK(L407),FALSE,TRUE)</formula>
    </cfRule>
  </conditionalFormatting>
  <conditionalFormatting sqref="I407">
    <cfRule type="expression" dxfId="81" priority="42">
      <formula>IF(ISBLANK(H407),FALSE,TRUE)</formula>
    </cfRule>
  </conditionalFormatting>
  <conditionalFormatting sqref="G52:G57">
    <cfRule type="expression" dxfId="80" priority="41">
      <formula>H52&lt;&gt;""</formula>
    </cfRule>
  </conditionalFormatting>
  <conditionalFormatting sqref="G45:G51">
    <cfRule type="expression" dxfId="79" priority="36">
      <formula>H45&lt;&gt;""</formula>
    </cfRule>
  </conditionalFormatting>
  <conditionalFormatting sqref="G82:G87 G107:G119 G132:G134 G146:G149 G152:G164 G176:G179 G187:G194 G197:G209 G212:G224 G227:G239 G250:G254 G257:G269 G281:G284 G287:G299 G302:G314 G317:G329 G333:G345 G348:G360 G103:G104">
    <cfRule type="expression" dxfId="78" priority="39">
      <formula>H82&lt;&gt;""</formula>
    </cfRule>
  </conditionalFormatting>
  <conditionalFormatting sqref="K52:K57 K71:K72 K82:K87 K107:K119 K132:K134 K146:K149 K152:K164 K176:K179 K187:K194 K197:K209 K212:K224 K227:K239 K250:K254 K257:K269 K281:K284 K287:K299 K302:K314 K317:K329 K333:K345 K103:K104">
    <cfRule type="expression" dxfId="77" priority="38">
      <formula>L52&lt;&gt;""</formula>
    </cfRule>
  </conditionalFormatting>
  <conditionalFormatting sqref="M414">
    <cfRule type="expression" dxfId="76" priority="37">
      <formula>IF(ISBLANK(L414),FALSE,TRUE)</formula>
    </cfRule>
  </conditionalFormatting>
  <conditionalFormatting sqref="G182:G186">
    <cfRule type="expression" dxfId="75" priority="6">
      <formula>H182&lt;&gt;""</formula>
    </cfRule>
  </conditionalFormatting>
  <conditionalFormatting sqref="K45:K51">
    <cfRule type="expression" dxfId="74" priority="35">
      <formula>L45&lt;&gt;""</formula>
    </cfRule>
  </conditionalFormatting>
  <conditionalFormatting sqref="G60:G70">
    <cfRule type="expression" dxfId="73" priority="34">
      <formula>H60&lt;&gt;""</formula>
    </cfRule>
  </conditionalFormatting>
  <conditionalFormatting sqref="K60:K70">
    <cfRule type="expression" dxfId="72" priority="33">
      <formula>L60&lt;&gt;""</formula>
    </cfRule>
  </conditionalFormatting>
  <conditionalFormatting sqref="G75:G81">
    <cfRule type="expression" dxfId="71" priority="32">
      <formula>H75&lt;&gt;""</formula>
    </cfRule>
  </conditionalFormatting>
  <conditionalFormatting sqref="K75:K81">
    <cfRule type="expression" dxfId="70" priority="31">
      <formula>L75&lt;&gt;""</formula>
    </cfRule>
  </conditionalFormatting>
  <conditionalFormatting sqref="M99:M100">
    <cfRule type="expression" dxfId="69" priority="30">
      <formula>IF(ISBLANK(L99),FALSE,TRUE)</formula>
    </cfRule>
  </conditionalFormatting>
  <conditionalFormatting sqref="I99:I100">
    <cfRule type="expression" dxfId="68" priority="29">
      <formula>IF(ISBLANK(H99),FALSE,TRUE)</formula>
    </cfRule>
  </conditionalFormatting>
  <conditionalFormatting sqref="K122:K131">
    <cfRule type="expression" dxfId="67" priority="11">
      <formula>L122&lt;&gt;""</formula>
    </cfRule>
  </conditionalFormatting>
  <conditionalFormatting sqref="K182:K186">
    <cfRule type="expression" dxfId="66" priority="5">
      <formula>L182&lt;&gt;""</formula>
    </cfRule>
  </conditionalFormatting>
  <conditionalFormatting sqref="M99:M100">
    <cfRule type="expression" dxfId="65" priority="26">
      <formula>IF(ISBLANK(L99),FALSE,TRUE)</formula>
    </cfRule>
  </conditionalFormatting>
  <conditionalFormatting sqref="I99:I100">
    <cfRule type="expression" dxfId="64" priority="25">
      <formula>IF(ISBLANK(H99),FALSE,TRUE)</formula>
    </cfRule>
  </conditionalFormatting>
  <conditionalFormatting sqref="G272:G280">
    <cfRule type="expression" dxfId="63" priority="2">
      <formula>H272&lt;&gt;""</formula>
    </cfRule>
  </conditionalFormatting>
  <conditionalFormatting sqref="G91:G93 G95 G98:G102">
    <cfRule type="expression" dxfId="62" priority="22">
      <formula>H91&lt;&gt;""</formula>
    </cfRule>
  </conditionalFormatting>
  <conditionalFormatting sqref="G90">
    <cfRule type="expression" dxfId="61" priority="21">
      <formula>H90&lt;&gt;""</formula>
    </cfRule>
  </conditionalFormatting>
  <conditionalFormatting sqref="G94">
    <cfRule type="expression" dxfId="60" priority="20">
      <formula>H94&lt;&gt;""</formula>
    </cfRule>
  </conditionalFormatting>
  <conditionalFormatting sqref="G96">
    <cfRule type="expression" dxfId="59" priority="19">
      <formula>H96&lt;&gt;""</formula>
    </cfRule>
  </conditionalFormatting>
  <conditionalFormatting sqref="G97">
    <cfRule type="expression" dxfId="58" priority="18">
      <formula>H97&lt;&gt;""</formula>
    </cfRule>
  </conditionalFormatting>
  <conditionalFormatting sqref="K91:K93 K95 K98:K102">
    <cfRule type="expression" dxfId="57" priority="17">
      <formula>L91&lt;&gt;""</formula>
    </cfRule>
  </conditionalFormatting>
  <conditionalFormatting sqref="K90">
    <cfRule type="expression" dxfId="56" priority="16">
      <formula>L90&lt;&gt;""</formula>
    </cfRule>
  </conditionalFormatting>
  <conditionalFormatting sqref="K94">
    <cfRule type="expression" dxfId="55" priority="15">
      <formula>L94&lt;&gt;""</formula>
    </cfRule>
  </conditionalFormatting>
  <conditionalFormatting sqref="K96">
    <cfRule type="expression" dxfId="54" priority="14">
      <formula>L96&lt;&gt;""</formula>
    </cfRule>
  </conditionalFormatting>
  <conditionalFormatting sqref="K97">
    <cfRule type="expression" dxfId="53" priority="13">
      <formula>L97&lt;&gt;""</formula>
    </cfRule>
  </conditionalFormatting>
  <conditionalFormatting sqref="G122:G131">
    <cfRule type="expression" dxfId="52" priority="12">
      <formula>H122&lt;&gt;""</formula>
    </cfRule>
  </conditionalFormatting>
  <conditionalFormatting sqref="G137:G145">
    <cfRule type="expression" dxfId="51" priority="10">
      <formula>H137&lt;&gt;""</formula>
    </cfRule>
  </conditionalFormatting>
  <conditionalFormatting sqref="K137:K145">
    <cfRule type="expression" dxfId="50" priority="9">
      <formula>L137&lt;&gt;""</formula>
    </cfRule>
  </conditionalFormatting>
  <conditionalFormatting sqref="G167:G175">
    <cfRule type="expression" dxfId="49" priority="8">
      <formula>H167&lt;&gt;""</formula>
    </cfRule>
  </conditionalFormatting>
  <conditionalFormatting sqref="K167:K175">
    <cfRule type="expression" dxfId="48" priority="7">
      <formula>L167&lt;&gt;""</formula>
    </cfRule>
  </conditionalFormatting>
  <conditionalFormatting sqref="G242:G249">
    <cfRule type="expression" dxfId="47" priority="4">
      <formula>H242&lt;&gt;""</formula>
    </cfRule>
  </conditionalFormatting>
  <conditionalFormatting sqref="K242:K249">
    <cfRule type="expression" dxfId="46" priority="3">
      <formula>L242&lt;&gt;""</formula>
    </cfRule>
  </conditionalFormatting>
  <conditionalFormatting sqref="K272:K280">
    <cfRule type="expression" dxfId="45" priority="1">
      <formula>L272&lt;&gt;""</formula>
    </cfRule>
  </conditionalFormatting>
  <hyperlinks>
    <hyperlink ref="F2" location="Neu_in_Version" display="i"/>
  </hyperlinks>
  <pageMargins left="0.70866141732283472" right="0.70866141732283472" top="0.39370078740157483" bottom="0.98425196850393704" header="0.39370078740157483" footer="0.39370078740157483"/>
  <pageSetup paperSize="9" scale="82" firstPageNumber="3" fitToHeight="0" orientation="portrait" r:id="rId1"/>
  <headerFooter scaleWithDoc="0">
    <oddFooter>&amp;L&amp;8Das Amt für Hochbauten ist eine Dienstabteilung des
Hochbaudepartements der Stadt Zürich&amp;CSeite &amp;P/&amp;N&amp;6
                                                          &amp;D/&amp;F&amp;R&amp;G</oddFooter>
  </headerFooter>
  <rowBreaks count="6" manualBreakCount="6">
    <brk id="73" max="12" man="1"/>
    <brk id="135" max="12" man="1"/>
    <brk id="195" max="12" man="1"/>
    <brk id="255" max="12" man="1"/>
    <brk id="315" max="12" man="1"/>
    <brk id="346" max="12" man="1"/>
  </rowBreaks>
  <drawing r:id="rId2"/>
  <legacyDrawing r:id="rId3"/>
  <legacyDrawingHF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9" tint="0.39997558519241921"/>
    <pageSetUpPr fitToPage="1"/>
  </sheetPr>
  <dimension ref="A1:AC75"/>
  <sheetViews>
    <sheetView showGridLines="0" showZeros="0" zoomScaleNormal="100" zoomScaleSheetLayoutView="100" workbookViewId="0">
      <pane ySplit="8" topLeftCell="A9" activePane="bottomLeft" state="frozen"/>
      <selection activeCell="P30" sqref="P30"/>
      <selection pane="bottomLeft" activeCell="E2" sqref="E2"/>
    </sheetView>
  </sheetViews>
  <sheetFormatPr baseColWidth="10" defaultColWidth="11.375" defaultRowHeight="12.9" customHeight="1" x14ac:dyDescent="0.2"/>
  <cols>
    <col min="1" max="2" width="10.25" style="40" customWidth="1"/>
    <col min="3" max="3" width="17.75" style="40" customWidth="1"/>
    <col min="4" max="4" width="17.75" style="244" customWidth="1"/>
    <col min="5" max="5" width="17.75" style="40" customWidth="1"/>
    <col min="6" max="6" width="17.75" style="42" customWidth="1"/>
    <col min="7" max="9" width="16.25" style="41" customWidth="1"/>
    <col min="10" max="13" width="15.75" style="41" customWidth="1"/>
    <col min="14" max="27" width="11.375" style="41"/>
    <col min="28" max="16384" width="11.375" style="40"/>
  </cols>
  <sheetData>
    <row r="1" spans="1:29" s="268" customFormat="1" ht="56.25" customHeight="1" x14ac:dyDescent="0.2">
      <c r="A1" s="2892"/>
      <c r="B1" s="2892"/>
      <c r="C1" s="2892"/>
      <c r="D1" s="339"/>
      <c r="E1" s="867"/>
      <c r="F1" s="867"/>
      <c r="G1" s="867"/>
      <c r="H1" s="867"/>
      <c r="I1" s="336"/>
      <c r="J1" s="336"/>
      <c r="K1" s="336"/>
      <c r="L1" s="336"/>
      <c r="M1" s="336"/>
      <c r="N1" s="336"/>
      <c r="O1" s="336"/>
      <c r="P1" s="336"/>
      <c r="Q1" s="336"/>
      <c r="R1" s="336"/>
      <c r="S1" s="336"/>
      <c r="T1" s="336"/>
      <c r="U1" s="336"/>
      <c r="V1" s="336"/>
    </row>
    <row r="2" spans="1:29" s="268" customFormat="1" ht="13.6" customHeight="1" x14ac:dyDescent="0.25">
      <c r="A2" s="1102" t="str">
        <f>CONCATENATE("Variantenvergleich Energiesysteme - Version ",Versionsinfo!$B$4)</f>
        <v>Variantenvergleich Energiesysteme - Version 2.2</v>
      </c>
      <c r="B2" s="868"/>
      <c r="D2" s="1535"/>
      <c r="E2" s="1536" t="s">
        <v>684</v>
      </c>
      <c r="F2" s="867"/>
      <c r="G2" s="867"/>
      <c r="H2" s="867"/>
      <c r="I2" s="336"/>
      <c r="J2" s="336"/>
      <c r="K2" s="336"/>
      <c r="L2" s="336"/>
      <c r="M2" s="869"/>
      <c r="N2" s="870"/>
      <c r="O2" s="336"/>
      <c r="P2" s="336"/>
      <c r="Q2" s="336"/>
      <c r="R2" s="336"/>
      <c r="S2" s="336"/>
      <c r="T2" s="336"/>
      <c r="U2" s="336"/>
      <c r="V2" s="336"/>
    </row>
    <row r="3" spans="1:29" s="268" customFormat="1" ht="12.75" customHeight="1" x14ac:dyDescent="0.2">
      <c r="A3" s="871" t="s">
        <v>178</v>
      </c>
      <c r="B3" s="871"/>
      <c r="D3" s="339"/>
    </row>
    <row r="4" spans="1:29" s="268" customFormat="1" ht="23.95" customHeight="1" x14ac:dyDescent="0.2">
      <c r="A4" s="872"/>
      <c r="B4" s="344"/>
      <c r="D4" s="339"/>
    </row>
    <row r="5" spans="1:29" s="108" customFormat="1" ht="12.9" customHeight="1" x14ac:dyDescent="0.25">
      <c r="A5" s="1108">
        <f>Projektdaten!C8</f>
        <v>0</v>
      </c>
      <c r="D5" s="853"/>
      <c r="F5" s="1109">
        <f>Projektdaten!I8</f>
        <v>0</v>
      </c>
      <c r="H5" s="164"/>
      <c r="I5" s="270"/>
      <c r="J5" s="276"/>
      <c r="K5" s="276"/>
      <c r="L5" s="277"/>
      <c r="M5" s="276"/>
      <c r="N5" s="276"/>
      <c r="O5" s="276"/>
      <c r="P5" s="276"/>
      <c r="Q5" s="276"/>
      <c r="R5" s="276"/>
      <c r="S5" s="276"/>
      <c r="T5" s="276"/>
      <c r="U5" s="276"/>
      <c r="V5" s="276"/>
      <c r="W5" s="276"/>
      <c r="X5" s="276"/>
      <c r="Y5" s="109"/>
      <c r="Z5" s="109"/>
      <c r="AA5" s="109"/>
    </row>
    <row r="6" spans="1:29" s="83" customFormat="1" ht="7.5" customHeight="1" x14ac:dyDescent="0.2">
      <c r="A6" s="86"/>
      <c r="B6" s="86"/>
      <c r="C6" s="84"/>
      <c r="D6" s="31"/>
      <c r="G6" s="86"/>
      <c r="H6" s="86"/>
      <c r="I6" s="270"/>
      <c r="J6" s="270"/>
      <c r="K6" s="270"/>
      <c r="L6" s="278"/>
      <c r="M6" s="270"/>
      <c r="N6" s="270"/>
      <c r="O6" s="273"/>
      <c r="P6" s="273"/>
      <c r="Q6" s="273"/>
      <c r="R6" s="273"/>
      <c r="S6" s="273"/>
      <c r="T6" s="273"/>
      <c r="U6" s="273"/>
      <c r="V6" s="273"/>
      <c r="W6" s="273"/>
      <c r="X6" s="273"/>
      <c r="Y6" s="85"/>
      <c r="Z6" s="85"/>
      <c r="AA6" s="85"/>
      <c r="AB6" s="84"/>
      <c r="AC6" s="84"/>
    </row>
    <row r="7" spans="1:29" s="43" customFormat="1" ht="18" customHeight="1" x14ac:dyDescent="0.3">
      <c r="A7" s="47" t="s">
        <v>103</v>
      </c>
      <c r="B7" s="47"/>
      <c r="C7" s="82"/>
      <c r="D7" s="82"/>
      <c r="E7" s="64"/>
      <c r="F7" s="64"/>
      <c r="G7" s="56"/>
      <c r="H7" s="41"/>
      <c r="I7" s="41"/>
      <c r="J7" s="41"/>
      <c r="K7" s="41"/>
      <c r="L7" s="41"/>
      <c r="M7" s="41"/>
      <c r="N7" s="41"/>
      <c r="O7" s="41"/>
      <c r="P7" s="41"/>
      <c r="Q7" s="41"/>
      <c r="R7" s="41"/>
      <c r="S7" s="41"/>
      <c r="T7" s="41"/>
      <c r="U7" s="41"/>
      <c r="V7" s="41"/>
      <c r="W7" s="41"/>
      <c r="X7" s="41"/>
      <c r="Y7" s="41"/>
      <c r="Z7" s="41"/>
      <c r="AA7" s="41"/>
    </row>
    <row r="8" spans="1:29" ht="5.95" customHeight="1" thickBot="1" x14ac:dyDescent="0.25">
      <c r="A8" s="79"/>
      <c r="B8" s="79"/>
      <c r="C8" s="81"/>
      <c r="D8" s="854"/>
      <c r="E8" s="80"/>
      <c r="F8" s="79"/>
    </row>
    <row r="9" spans="1:29" ht="14.95" customHeight="1" x14ac:dyDescent="0.2">
      <c r="A9" s="228" t="s">
        <v>17</v>
      </c>
      <c r="B9" s="226"/>
      <c r="C9" s="227" t="s">
        <v>18</v>
      </c>
      <c r="D9" s="855" t="s">
        <v>19</v>
      </c>
      <c r="E9" s="227" t="s">
        <v>20</v>
      </c>
      <c r="F9" s="866" t="s">
        <v>21</v>
      </c>
      <c r="G9" s="77"/>
      <c r="J9" s="78"/>
      <c r="K9" s="78"/>
      <c r="L9" s="78"/>
      <c r="M9" s="78"/>
    </row>
    <row r="10" spans="1:29" ht="19.55" customHeight="1" x14ac:dyDescent="0.2">
      <c r="A10" s="72" t="s">
        <v>22</v>
      </c>
      <c r="B10" s="229"/>
      <c r="C10" s="350">
        <f>EV_Var1!$E$6</f>
        <v>0</v>
      </c>
      <c r="D10" s="856">
        <f>EV_Var2!$E$6</f>
        <v>0</v>
      </c>
      <c r="E10" s="350">
        <f>EV_Var3!$E$6</f>
        <v>0</v>
      </c>
      <c r="F10" s="351">
        <f>EV_Var4!$E$6</f>
        <v>0</v>
      </c>
      <c r="G10" s="77" t="s">
        <v>12</v>
      </c>
      <c r="H10" s="298"/>
      <c r="I10" s="298"/>
      <c r="J10" s="298"/>
      <c r="K10" s="298"/>
      <c r="L10" s="298"/>
      <c r="M10" s="298"/>
    </row>
    <row r="11" spans="1:29" ht="45" customHeight="1" thickBot="1" x14ac:dyDescent="0.25">
      <c r="A11" s="230" t="s">
        <v>23</v>
      </c>
      <c r="B11" s="231"/>
      <c r="C11" s="812">
        <f>EV_Var1!$J$6</f>
        <v>0</v>
      </c>
      <c r="D11" s="857">
        <f>EV_Var2!$J$6</f>
        <v>0</v>
      </c>
      <c r="E11" s="812">
        <f>EV_Var3!$J$6</f>
        <v>0</v>
      </c>
      <c r="F11" s="813">
        <f>EV_Var4!$J$6</f>
        <v>0</v>
      </c>
      <c r="G11" s="77"/>
      <c r="H11" s="298"/>
      <c r="I11" s="298"/>
      <c r="J11" s="298"/>
      <c r="K11" s="298"/>
      <c r="L11" s="298"/>
      <c r="M11" s="298"/>
    </row>
    <row r="12" spans="1:29" s="43" customFormat="1" ht="27.7" customHeight="1" x14ac:dyDescent="0.25">
      <c r="A12" s="348" t="s">
        <v>24</v>
      </c>
      <c r="B12" s="76"/>
      <c r="C12" s="75"/>
      <c r="D12" s="858"/>
      <c r="E12" s="73"/>
      <c r="F12" s="74"/>
      <c r="G12" s="56"/>
      <c r="H12" s="298"/>
      <c r="I12" s="300"/>
      <c r="J12" s="301"/>
      <c r="K12" s="300"/>
      <c r="L12" s="300"/>
      <c r="M12" s="300"/>
      <c r="N12" s="44"/>
      <c r="O12" s="44"/>
      <c r="P12" s="44"/>
      <c r="Q12" s="44"/>
      <c r="R12" s="44"/>
      <c r="S12" s="41"/>
      <c r="T12" s="41"/>
      <c r="U12" s="41"/>
      <c r="V12" s="41"/>
      <c r="W12" s="41"/>
      <c r="X12" s="41"/>
      <c r="Y12" s="41"/>
      <c r="Z12" s="41"/>
      <c r="AA12" s="41"/>
    </row>
    <row r="13" spans="1:29" ht="5.95" customHeight="1" thickBot="1" x14ac:dyDescent="0.25">
      <c r="A13" s="73"/>
      <c r="B13" s="73"/>
      <c r="C13" s="73"/>
      <c r="D13" s="858"/>
      <c r="E13" s="73"/>
      <c r="F13" s="73"/>
      <c r="H13" s="298"/>
      <c r="I13" s="300"/>
      <c r="J13" s="300"/>
      <c r="K13" s="300"/>
      <c r="L13" s="300"/>
      <c r="M13" s="300"/>
      <c r="N13" s="44"/>
      <c r="O13" s="44"/>
      <c r="P13" s="44"/>
      <c r="Q13" s="44"/>
      <c r="R13" s="44"/>
    </row>
    <row r="14" spans="1:29" ht="17.350000000000001" customHeight="1" x14ac:dyDescent="0.2">
      <c r="A14" s="110" t="s">
        <v>25</v>
      </c>
      <c r="B14" s="212"/>
      <c r="C14" s="111" t="s">
        <v>18</v>
      </c>
      <c r="D14" s="859" t="s">
        <v>19</v>
      </c>
      <c r="E14" s="852" t="s">
        <v>20</v>
      </c>
      <c r="F14" s="112" t="s">
        <v>21</v>
      </c>
      <c r="H14" s="298"/>
      <c r="I14" s="300"/>
      <c r="J14" s="302"/>
      <c r="K14" s="302"/>
      <c r="L14" s="302"/>
      <c r="M14" s="302"/>
      <c r="N14" s="44"/>
      <c r="O14" s="44"/>
      <c r="P14" s="44"/>
      <c r="Q14" s="44"/>
      <c r="R14" s="44"/>
    </row>
    <row r="15" spans="1:29" s="49" customFormat="1" ht="12.9" customHeight="1" x14ac:dyDescent="0.2">
      <c r="A15" s="319" t="s">
        <v>669</v>
      </c>
      <c r="B15" s="213"/>
      <c r="C15" s="1484">
        <f>IF(ISTEXT(C$10),WR_Var1!$G$89,0)</f>
        <v>0</v>
      </c>
      <c r="D15" s="1485">
        <f>IF(ISTEXT(D$10),WR_Var2!$G$89,0)</f>
        <v>0</v>
      </c>
      <c r="E15" s="1484">
        <f>IF(ISTEXT(E$10),WR_Var3!$G$89,0)</f>
        <v>0</v>
      </c>
      <c r="F15" s="1486">
        <f>IF(ISTEXT(F$10),WR_Var4!$G$89,0)</f>
        <v>0</v>
      </c>
      <c r="G15" s="45"/>
      <c r="H15" s="299"/>
      <c r="I15" s="299"/>
      <c r="J15" s="299"/>
      <c r="K15" s="299"/>
      <c r="L15" s="304"/>
      <c r="M15" s="304"/>
      <c r="N15" s="46"/>
      <c r="O15" s="46"/>
      <c r="P15" s="46"/>
      <c r="Q15" s="46"/>
      <c r="R15" s="46"/>
      <c r="S15" s="45"/>
      <c r="T15" s="45"/>
      <c r="U15" s="45"/>
      <c r="V15" s="45"/>
      <c r="W15" s="45"/>
      <c r="X15" s="45"/>
      <c r="Y15" s="45"/>
      <c r="Z15" s="45"/>
      <c r="AA15" s="45"/>
    </row>
    <row r="16" spans="1:29" s="49" customFormat="1" ht="12.9" customHeight="1" x14ac:dyDescent="0.2">
      <c r="A16" s="72" t="s">
        <v>670</v>
      </c>
      <c r="B16" s="214"/>
      <c r="C16" s="1487">
        <f>IF(ISTEXT(C$10),WR_Var1!$G$108,0)</f>
        <v>0</v>
      </c>
      <c r="D16" s="1488">
        <f>IF(ISTEXT(D$10),WR_Var2!$G$108,0)</f>
        <v>0</v>
      </c>
      <c r="E16" s="1487">
        <f>IF(ISTEXT(E$10),WR_Var3!$G$108,0)</f>
        <v>0</v>
      </c>
      <c r="F16" s="1489">
        <f>IF(ISTEXT(F$10),WR_Var4!$G$108,0)</f>
        <v>0</v>
      </c>
      <c r="G16" s="45"/>
      <c r="H16" s="299"/>
      <c r="I16" s="303"/>
      <c r="J16" s="304"/>
      <c r="K16" s="304"/>
      <c r="L16" s="304"/>
      <c r="M16" s="304"/>
      <c r="N16" s="46"/>
      <c r="O16" s="46"/>
      <c r="P16" s="46"/>
      <c r="Q16" s="46"/>
      <c r="R16" s="46"/>
      <c r="S16" s="45"/>
      <c r="T16" s="45"/>
      <c r="U16" s="45"/>
      <c r="V16" s="45"/>
      <c r="W16" s="45"/>
      <c r="X16" s="45"/>
      <c r="Y16" s="45"/>
      <c r="Z16" s="45"/>
      <c r="AA16" s="45"/>
    </row>
    <row r="17" spans="1:27" s="70" customFormat="1" ht="12.9" customHeight="1" x14ac:dyDescent="0.2">
      <c r="A17" s="69" t="s">
        <v>671</v>
      </c>
      <c r="B17" s="215"/>
      <c r="C17" s="1490">
        <f>C15+C16</f>
        <v>0</v>
      </c>
      <c r="D17" s="1491">
        <f>D15+D16</f>
        <v>0</v>
      </c>
      <c r="E17" s="1490">
        <f>E15+E16</f>
        <v>0</v>
      </c>
      <c r="F17" s="1492">
        <f>F15+F16</f>
        <v>0</v>
      </c>
      <c r="G17" s="71"/>
      <c r="H17" s="299"/>
      <c r="I17" s="303"/>
      <c r="J17" s="305"/>
      <c r="K17" s="305"/>
      <c r="L17" s="305"/>
      <c r="M17" s="305"/>
      <c r="N17" s="46"/>
      <c r="O17" s="46"/>
      <c r="P17" s="46"/>
      <c r="Q17" s="46"/>
      <c r="R17" s="46"/>
      <c r="S17" s="45"/>
      <c r="T17" s="45"/>
      <c r="U17" s="45"/>
      <c r="V17" s="45"/>
      <c r="W17" s="45"/>
      <c r="X17" s="45"/>
      <c r="Y17" s="45"/>
      <c r="Z17" s="45"/>
      <c r="AA17" s="45"/>
    </row>
    <row r="18" spans="1:27" s="66" customFormat="1" ht="12.9" customHeight="1" x14ac:dyDescent="0.2">
      <c r="A18" s="69" t="s">
        <v>738</v>
      </c>
      <c r="B18" s="215"/>
      <c r="C18" s="1490">
        <f>IF(ISTEXT(C$10),WR_Var1!$G$88,0)</f>
        <v>0</v>
      </c>
      <c r="D18" s="1491">
        <f>IF(ISTEXT(D$10),WR_Var2!$G$88,0)</f>
        <v>0</v>
      </c>
      <c r="E18" s="1490">
        <f>IF(ISTEXT(E$10),WR_Var3!$G$88,0)</f>
        <v>0</v>
      </c>
      <c r="F18" s="1492">
        <f>IF(ISTEXT(F$10),WR_Var4!$G$88,0)</f>
        <v>0</v>
      </c>
      <c r="G18" s="67"/>
      <c r="H18" s="299"/>
      <c r="I18" s="303"/>
      <c r="J18" s="305"/>
      <c r="K18" s="305"/>
      <c r="L18" s="305"/>
      <c r="M18" s="305"/>
      <c r="N18" s="61"/>
      <c r="O18" s="61"/>
      <c r="P18" s="61"/>
      <c r="Q18" s="61"/>
      <c r="R18" s="61"/>
      <c r="S18" s="67"/>
      <c r="T18" s="67"/>
      <c r="U18" s="67"/>
      <c r="V18" s="67"/>
      <c r="W18" s="67"/>
      <c r="X18" s="67"/>
      <c r="Y18" s="67"/>
      <c r="Z18" s="67"/>
      <c r="AA18" s="67"/>
    </row>
    <row r="19" spans="1:27" s="66" customFormat="1" ht="12.9" customHeight="1" x14ac:dyDescent="0.2">
      <c r="A19" s="68" t="s">
        <v>754</v>
      </c>
      <c r="B19" s="216"/>
      <c r="C19" s="1493">
        <f>IF(ISTEXT(C$10),WR_Var1!$J$109,0)</f>
        <v>0</v>
      </c>
      <c r="D19" s="1494">
        <f>IF(ISTEXT(D$10),WR_Var2!$J$109,0)</f>
        <v>0</v>
      </c>
      <c r="E19" s="1493">
        <f>IF(ISTEXT(E$10),WR_Var3!$J$109,0)</f>
        <v>0</v>
      </c>
      <c r="F19" s="1495">
        <f>IF(ISTEXT(F$10),WR_Var4!$J$109,0)</f>
        <v>0</v>
      </c>
      <c r="G19" s="67"/>
      <c r="H19" s="299"/>
      <c r="I19" s="303"/>
      <c r="J19" s="305"/>
      <c r="K19" s="305"/>
      <c r="L19" s="305"/>
      <c r="M19" s="305"/>
      <c r="N19" s="61"/>
      <c r="O19" s="61"/>
      <c r="P19" s="61"/>
      <c r="Q19" s="61"/>
      <c r="R19" s="61"/>
      <c r="S19" s="67"/>
      <c r="T19" s="67"/>
      <c r="U19" s="67"/>
      <c r="V19" s="67"/>
      <c r="W19" s="67"/>
      <c r="X19" s="67"/>
      <c r="Y19" s="67"/>
      <c r="Z19" s="67"/>
      <c r="AA19" s="67"/>
    </row>
    <row r="20" spans="1:27" s="49" customFormat="1" ht="16" customHeight="1" thickBot="1" x14ac:dyDescent="0.25">
      <c r="A20" s="65" t="s">
        <v>672</v>
      </c>
      <c r="B20" s="217"/>
      <c r="C20" s="1496">
        <f>SUM(C17:C19)</f>
        <v>0</v>
      </c>
      <c r="D20" s="1497">
        <f>SUM(D17:D19)</f>
        <v>0</v>
      </c>
      <c r="E20" s="1496">
        <f>SUM(E17:E19)</f>
        <v>0</v>
      </c>
      <c r="F20" s="1498">
        <f>SUM(F17:F19)</f>
        <v>0</v>
      </c>
      <c r="G20" s="45"/>
      <c r="H20" s="299"/>
      <c r="I20" s="303"/>
      <c r="J20" s="305"/>
      <c r="K20" s="305"/>
      <c r="L20" s="305"/>
      <c r="M20" s="305"/>
      <c r="N20" s="46"/>
      <c r="O20" s="46"/>
      <c r="P20" s="46"/>
      <c r="Q20" s="46"/>
      <c r="R20" s="46"/>
      <c r="S20" s="45"/>
      <c r="T20" s="45"/>
      <c r="U20" s="45"/>
      <c r="V20" s="45"/>
      <c r="W20" s="45"/>
      <c r="X20" s="45"/>
      <c r="Y20" s="45"/>
      <c r="Z20" s="45"/>
      <c r="AA20" s="45"/>
    </row>
    <row r="21" spans="1:27" ht="27.7" customHeight="1" x14ac:dyDescent="0.25">
      <c r="A21" s="349" t="s">
        <v>26</v>
      </c>
      <c r="B21" s="47"/>
      <c r="C21" s="63"/>
      <c r="D21" s="63"/>
      <c r="E21" s="63"/>
      <c r="F21" s="62"/>
      <c r="H21" s="298"/>
      <c r="I21" s="300"/>
      <c r="J21" s="306"/>
      <c r="K21" s="300"/>
      <c r="L21" s="300"/>
      <c r="M21" s="300"/>
      <c r="N21" s="44"/>
      <c r="O21" s="44"/>
      <c r="P21" s="44"/>
      <c r="Q21" s="44"/>
      <c r="R21" s="44"/>
    </row>
    <row r="22" spans="1:27" s="49" customFormat="1" ht="17.350000000000001" customHeight="1" x14ac:dyDescent="0.2">
      <c r="A22" s="60" t="s">
        <v>27</v>
      </c>
      <c r="B22" s="60"/>
      <c r="C22" s="59" t="str">
        <f>IF((WR_Var1!$G$39&gt;0),WR_Var1!$E$83,"")</f>
        <v/>
      </c>
      <c r="D22" s="59" t="str">
        <f>IF((WR_Var2!$G$39&gt;0),WR_Var2!$E$83,"")</f>
        <v/>
      </c>
      <c r="E22" s="59" t="str">
        <f>IF((WR_Var3!$G$39&gt;0),WR_Var3!$E$83,"")</f>
        <v/>
      </c>
      <c r="F22" s="59" t="str">
        <f>IF((WR_Var4!$G$39&gt;0),WR_Var2!$E$83,"")</f>
        <v/>
      </c>
      <c r="G22" s="45"/>
      <c r="H22" s="299"/>
      <c r="I22" s="303"/>
      <c r="J22" s="307"/>
      <c r="K22" s="307"/>
      <c r="L22" s="307"/>
      <c r="M22" s="307"/>
      <c r="N22" s="46"/>
      <c r="O22" s="46"/>
      <c r="P22" s="46"/>
      <c r="Q22" s="46"/>
      <c r="R22" s="46"/>
      <c r="S22" s="45"/>
      <c r="T22" s="45"/>
      <c r="U22" s="45"/>
      <c r="V22" s="45"/>
      <c r="W22" s="45"/>
      <c r="X22" s="45"/>
      <c r="Y22" s="45"/>
      <c r="Z22" s="45"/>
      <c r="AA22" s="45"/>
    </row>
    <row r="23" spans="1:27" ht="3.9" customHeight="1" thickBot="1" x14ac:dyDescent="0.35">
      <c r="A23" s="58"/>
      <c r="B23" s="58"/>
      <c r="H23" s="298"/>
      <c r="I23" s="300"/>
      <c r="J23" s="300"/>
      <c r="K23" s="300"/>
      <c r="L23" s="300"/>
      <c r="M23" s="300"/>
      <c r="N23" s="44"/>
      <c r="O23" s="44"/>
      <c r="P23" s="44"/>
      <c r="Q23" s="44"/>
      <c r="R23" s="44"/>
    </row>
    <row r="24" spans="1:27" s="49" customFormat="1" ht="17.350000000000001" customHeight="1" x14ac:dyDescent="0.2">
      <c r="A24" s="110" t="s">
        <v>25</v>
      </c>
      <c r="B24" s="212"/>
      <c r="C24" s="864" t="s">
        <v>18</v>
      </c>
      <c r="D24" s="864" t="s">
        <v>19</v>
      </c>
      <c r="E24" s="852" t="s">
        <v>20</v>
      </c>
      <c r="F24" s="112" t="s">
        <v>21</v>
      </c>
      <c r="G24" s="45"/>
      <c r="H24" s="299"/>
      <c r="I24" s="303"/>
      <c r="J24" s="865"/>
      <c r="K24" s="865"/>
      <c r="L24" s="865"/>
      <c r="M24" s="865"/>
      <c r="N24" s="46"/>
      <c r="O24" s="46"/>
      <c r="P24" s="46"/>
      <c r="Q24" s="46"/>
      <c r="R24" s="46"/>
      <c r="S24" s="45"/>
      <c r="T24" s="45"/>
      <c r="U24" s="45"/>
      <c r="V24" s="45"/>
      <c r="W24" s="45"/>
      <c r="X24" s="45"/>
      <c r="Y24" s="45"/>
      <c r="Z24" s="45"/>
      <c r="AA24" s="45"/>
    </row>
    <row r="25" spans="1:27" s="54" customFormat="1" ht="12.9" customHeight="1" x14ac:dyDescent="0.2">
      <c r="A25" s="319" t="s">
        <v>669</v>
      </c>
      <c r="B25" s="213"/>
      <c r="C25" s="1485">
        <f>IF(ISTEXT(C$10),WR_Var1!$L$89,0)</f>
        <v>0</v>
      </c>
      <c r="D25" s="1485">
        <f>IF(ISTEXT(D$10),WR_Var2!$L$89,0)</f>
        <v>0</v>
      </c>
      <c r="E25" s="1485">
        <f>IF(ISTEXT(E$10),WR_Var3!$L$89,0)</f>
        <v>0</v>
      </c>
      <c r="F25" s="1499">
        <f>IF(ISTEXT(F$10),WR_Var4!$L$89,0)</f>
        <v>0</v>
      </c>
      <c r="G25" s="56"/>
      <c r="H25" s="308"/>
      <c r="I25" s="309"/>
      <c r="J25" s="304"/>
      <c r="K25" s="304"/>
      <c r="L25" s="304"/>
      <c r="M25" s="304"/>
      <c r="N25" s="48"/>
      <c r="O25" s="48"/>
      <c r="P25" s="48"/>
      <c r="Q25" s="48"/>
      <c r="R25" s="48"/>
      <c r="S25" s="55"/>
      <c r="T25" s="55"/>
      <c r="U25" s="55"/>
      <c r="V25" s="55"/>
      <c r="W25" s="55"/>
      <c r="X25" s="55"/>
      <c r="Y25" s="55"/>
      <c r="Z25" s="55"/>
      <c r="AA25" s="55"/>
    </row>
    <row r="26" spans="1:27" s="54" customFormat="1" ht="12.9" customHeight="1" x14ac:dyDescent="0.2">
      <c r="A26" s="57" t="s">
        <v>670</v>
      </c>
      <c r="B26" s="218"/>
      <c r="C26" s="1488">
        <f>IF(ISTEXT(C$10),WR_Var1!$L$108,0)</f>
        <v>0</v>
      </c>
      <c r="D26" s="1488">
        <f>IF(ISTEXT(D$10),WR_Var2!$L$108,0)</f>
        <v>0</v>
      </c>
      <c r="E26" s="1488">
        <f>IF(ISTEXT(E$10),WR_Var3!$L$108,0)</f>
        <v>0</v>
      </c>
      <c r="F26" s="1500">
        <f>IF(ISTEXT(F$10),WR_Var4!$L$108,0)</f>
        <v>0</v>
      </c>
      <c r="G26" s="56"/>
      <c r="H26" s="308"/>
      <c r="I26" s="309"/>
      <c r="J26" s="304"/>
      <c r="K26" s="304"/>
      <c r="L26" s="304"/>
      <c r="M26" s="304"/>
      <c r="N26" s="48"/>
      <c r="O26" s="48"/>
      <c r="P26" s="48"/>
      <c r="Q26" s="48"/>
      <c r="R26" s="48"/>
      <c r="S26" s="55"/>
      <c r="T26" s="55"/>
      <c r="U26" s="55"/>
      <c r="V26" s="55"/>
      <c r="W26" s="55"/>
      <c r="X26" s="55"/>
      <c r="Y26" s="55"/>
      <c r="Z26" s="55"/>
      <c r="AA26" s="55"/>
    </row>
    <row r="27" spans="1:27" s="54" customFormat="1" ht="12.9" customHeight="1" x14ac:dyDescent="0.2">
      <c r="A27" s="53" t="s">
        <v>671</v>
      </c>
      <c r="B27" s="219"/>
      <c r="C27" s="1491">
        <f>C25+C26</f>
        <v>0</v>
      </c>
      <c r="D27" s="1501">
        <f>D25+D26</f>
        <v>0</v>
      </c>
      <c r="E27" s="1501">
        <f>E25+E26</f>
        <v>0</v>
      </c>
      <c r="F27" s="1502">
        <f>F25+F26</f>
        <v>0</v>
      </c>
      <c r="G27" s="56"/>
      <c r="H27" s="308"/>
      <c r="I27" s="309"/>
      <c r="J27" s="305"/>
      <c r="K27" s="305"/>
      <c r="L27" s="305"/>
      <c r="M27" s="305"/>
      <c r="N27" s="48"/>
      <c r="O27" s="48"/>
      <c r="P27" s="48"/>
      <c r="Q27" s="48"/>
      <c r="R27" s="48"/>
      <c r="S27" s="55"/>
      <c r="T27" s="55"/>
      <c r="U27" s="55"/>
      <c r="V27" s="55"/>
      <c r="W27" s="55"/>
      <c r="X27" s="55"/>
      <c r="Y27" s="55"/>
      <c r="Z27" s="55"/>
      <c r="AA27" s="55"/>
    </row>
    <row r="28" spans="1:27" ht="12.9" customHeight="1" x14ac:dyDescent="0.2">
      <c r="A28" s="53" t="s">
        <v>738</v>
      </c>
      <c r="B28" s="219"/>
      <c r="C28" s="1491">
        <f>IF(ISTEXT(C$10),WR_Var1!$L$88,0)</f>
        <v>0</v>
      </c>
      <c r="D28" s="1501">
        <f>IF(ISTEXT(D$10),WR_Var2!$L$88,0)</f>
        <v>0</v>
      </c>
      <c r="E28" s="1501">
        <f>IF(ISTEXT(E$10),WR_Var3!$L$88,0)</f>
        <v>0</v>
      </c>
      <c r="F28" s="1502">
        <f>IF(ISTEXT(F$10),WR_Var4!$L$88,0)</f>
        <v>0</v>
      </c>
      <c r="H28" s="310"/>
      <c r="I28" s="311"/>
      <c r="J28" s="305"/>
      <c r="K28" s="305"/>
      <c r="L28" s="305"/>
      <c r="M28" s="305"/>
      <c r="N28" s="44"/>
      <c r="O28" s="44"/>
      <c r="P28" s="44"/>
      <c r="Q28" s="44"/>
      <c r="R28" s="44"/>
    </row>
    <row r="29" spans="1:27" ht="12.9" customHeight="1" x14ac:dyDescent="0.2">
      <c r="A29" s="68" t="s">
        <v>754</v>
      </c>
      <c r="B29" s="863"/>
      <c r="C29" s="1494">
        <f>IF(ISTEXT(C$10),WR_Var1!$L$109,0)</f>
        <v>0</v>
      </c>
      <c r="D29" s="1503">
        <f>IF(ISTEXT(D$10),WR_Var2!$L$109,0)</f>
        <v>0</v>
      </c>
      <c r="E29" s="1503">
        <f>IF(ISTEXT(E$10),WR_Var3!$L$109,0)</f>
        <v>0</v>
      </c>
      <c r="F29" s="1504">
        <f>IF(ISTEXT(F$10),WR_Var4!$L$109,0)</f>
        <v>0</v>
      </c>
      <c r="H29" s="310"/>
      <c r="I29" s="311"/>
      <c r="J29" s="305"/>
      <c r="K29" s="305"/>
      <c r="L29" s="305"/>
      <c r="M29" s="305"/>
      <c r="N29" s="44"/>
      <c r="O29" s="44"/>
      <c r="P29" s="44"/>
      <c r="Q29" s="44"/>
      <c r="R29" s="44"/>
    </row>
    <row r="30" spans="1:27" s="49" customFormat="1" ht="16" customHeight="1" thickBot="1" x14ac:dyDescent="0.25">
      <c r="A30" s="52" t="s">
        <v>672</v>
      </c>
      <c r="B30" s="220"/>
      <c r="C30" s="1497">
        <f>SUM(C27:C29)</f>
        <v>0</v>
      </c>
      <c r="D30" s="1497">
        <f>SUM(D27:D29)</f>
        <v>0</v>
      </c>
      <c r="E30" s="1497">
        <f>SUM(E27:E29)</f>
        <v>0</v>
      </c>
      <c r="F30" s="1505">
        <f>SUM(F27:F29)</f>
        <v>0</v>
      </c>
      <c r="G30" s="45"/>
      <c r="H30" s="299"/>
      <c r="I30" s="303"/>
      <c r="J30" s="305"/>
      <c r="K30" s="305"/>
      <c r="L30" s="305"/>
      <c r="M30" s="305"/>
      <c r="N30" s="46"/>
      <c r="O30" s="46"/>
      <c r="P30" s="46"/>
      <c r="Q30" s="46"/>
      <c r="R30" s="46"/>
      <c r="S30" s="45"/>
      <c r="T30" s="45"/>
      <c r="U30" s="45"/>
      <c r="V30" s="45"/>
      <c r="W30" s="45"/>
      <c r="X30" s="45"/>
      <c r="Y30" s="45"/>
      <c r="Z30" s="45"/>
      <c r="AA30" s="45"/>
    </row>
    <row r="31" spans="1:27" ht="27.7" customHeight="1" x14ac:dyDescent="0.25">
      <c r="A31" s="349" t="s">
        <v>1</v>
      </c>
      <c r="B31" s="47"/>
      <c r="C31" s="50"/>
      <c r="D31" s="860"/>
      <c r="E31" s="50"/>
      <c r="F31" s="50"/>
      <c r="H31" s="298"/>
      <c r="I31" s="300"/>
      <c r="J31" s="301"/>
      <c r="K31" s="300"/>
      <c r="L31" s="300"/>
      <c r="M31" s="300"/>
      <c r="N31" s="44"/>
      <c r="O31" s="44"/>
      <c r="P31" s="44"/>
      <c r="Q31" s="44"/>
      <c r="R31" s="44"/>
    </row>
    <row r="32" spans="1:27" ht="5.95" customHeight="1" thickBot="1" x14ac:dyDescent="0.3">
      <c r="A32" s="51"/>
      <c r="B32" s="51"/>
      <c r="C32" s="50"/>
      <c r="D32" s="860"/>
      <c r="E32" s="50"/>
      <c r="F32" s="50"/>
      <c r="H32" s="298"/>
      <c r="I32" s="300"/>
      <c r="J32" s="300"/>
      <c r="K32" s="300"/>
      <c r="L32" s="300"/>
      <c r="M32" s="300"/>
      <c r="N32" s="44"/>
      <c r="O32" s="44"/>
      <c r="P32" s="44"/>
      <c r="Q32" s="44"/>
      <c r="R32" s="44"/>
    </row>
    <row r="33" spans="1:27" ht="17.350000000000001" customHeight="1" x14ac:dyDescent="0.2">
      <c r="A33" s="110"/>
      <c r="B33" s="212"/>
      <c r="C33" s="111" t="s">
        <v>18</v>
      </c>
      <c r="D33" s="859" t="s">
        <v>19</v>
      </c>
      <c r="E33" s="227" t="s">
        <v>20</v>
      </c>
      <c r="F33" s="112" t="s">
        <v>21</v>
      </c>
      <c r="H33" s="298"/>
      <c r="I33" s="300"/>
      <c r="J33" s="302"/>
      <c r="K33" s="302"/>
      <c r="L33" s="302"/>
      <c r="M33" s="302"/>
      <c r="N33" s="44"/>
      <c r="O33" s="44"/>
      <c r="P33" s="44"/>
      <c r="Q33" s="44"/>
      <c r="R33" s="44"/>
    </row>
    <row r="34" spans="1:27" s="49" customFormat="1" ht="16" customHeight="1" thickBot="1" x14ac:dyDescent="0.25">
      <c r="A34" s="124" t="s">
        <v>672</v>
      </c>
      <c r="B34" s="221"/>
      <c r="C34" s="1506">
        <f>IF(ISTEXT(C$10),WR_Var1!$E$39,0)</f>
        <v>0</v>
      </c>
      <c r="D34" s="1507">
        <f>IF(ISTEXT(D$10),WR_Var2!$E$39,0)</f>
        <v>0</v>
      </c>
      <c r="E34" s="1506">
        <f>IF(ISTEXT(E$10),WR_Var3!$E$39,0)</f>
        <v>0</v>
      </c>
      <c r="F34" s="1508">
        <f>IF(ISTEXT(F$10),WR_Var4!$E$39,0)</f>
        <v>0</v>
      </c>
      <c r="G34" s="45"/>
      <c r="H34" s="299"/>
      <c r="I34" s="303"/>
      <c r="J34" s="312"/>
      <c r="K34" s="312"/>
      <c r="L34" s="312"/>
      <c r="M34" s="312"/>
      <c r="N34" s="46"/>
      <c r="O34" s="46"/>
      <c r="P34" s="46"/>
      <c r="Q34" s="46"/>
      <c r="R34" s="46"/>
      <c r="S34" s="45"/>
      <c r="T34" s="45"/>
      <c r="U34" s="45"/>
      <c r="V34" s="45"/>
      <c r="W34" s="45"/>
      <c r="X34" s="45"/>
      <c r="Y34" s="45"/>
      <c r="Z34" s="45"/>
      <c r="AA34" s="45"/>
    </row>
    <row r="35" spans="1:27" ht="27.7" customHeight="1" x14ac:dyDescent="0.25">
      <c r="A35" s="349" t="s">
        <v>102</v>
      </c>
      <c r="B35" s="47"/>
      <c r="C35" s="50"/>
      <c r="D35" s="860"/>
      <c r="E35" s="50"/>
      <c r="F35" s="50"/>
      <c r="H35" s="298"/>
      <c r="I35" s="300"/>
      <c r="J35" s="301"/>
      <c r="K35" s="300"/>
      <c r="L35" s="300"/>
      <c r="M35" s="300"/>
      <c r="N35" s="44"/>
      <c r="O35" s="44"/>
      <c r="P35" s="44"/>
      <c r="Q35" s="44"/>
      <c r="R35" s="44"/>
    </row>
    <row r="36" spans="1:27" ht="5.95" customHeight="1" thickBot="1" x14ac:dyDescent="0.3">
      <c r="A36" s="51"/>
      <c r="B36" s="51"/>
      <c r="C36" s="50"/>
      <c r="D36" s="860"/>
      <c r="E36" s="50"/>
      <c r="F36" s="50"/>
      <c r="H36" s="298"/>
      <c r="I36" s="300"/>
      <c r="J36" s="300"/>
      <c r="K36" s="300"/>
      <c r="L36" s="300"/>
      <c r="M36" s="300"/>
      <c r="N36" s="44"/>
      <c r="O36" s="44"/>
      <c r="P36" s="44"/>
      <c r="Q36" s="44"/>
      <c r="R36" s="44"/>
    </row>
    <row r="37" spans="1:27" ht="17.350000000000001" customHeight="1" x14ac:dyDescent="0.2">
      <c r="A37" s="110"/>
      <c r="B37" s="212"/>
      <c r="C37" s="111" t="s">
        <v>18</v>
      </c>
      <c r="D37" s="859" t="s">
        <v>19</v>
      </c>
      <c r="E37" s="227" t="s">
        <v>20</v>
      </c>
      <c r="F37" s="112" t="s">
        <v>21</v>
      </c>
      <c r="H37" s="298"/>
      <c r="I37" s="300"/>
      <c r="J37" s="302"/>
      <c r="K37" s="302"/>
      <c r="L37" s="302"/>
      <c r="M37" s="302"/>
      <c r="N37" s="44"/>
      <c r="O37" s="44"/>
      <c r="P37" s="44"/>
      <c r="Q37" s="44"/>
      <c r="R37" s="44"/>
    </row>
    <row r="38" spans="1:27" s="70" customFormat="1" ht="12.9" customHeight="1" x14ac:dyDescent="0.2">
      <c r="A38" s="211" t="s">
        <v>238</v>
      </c>
      <c r="B38" s="222" t="s">
        <v>673</v>
      </c>
      <c r="C38" s="1509">
        <f>IF(ISTEXT(C$10),WR_Var1!$E$44,0)</f>
        <v>0</v>
      </c>
      <c r="D38" s="1509">
        <f>IF(ISTEXT(D$10),WR_Var2!$E$44,0)</f>
        <v>0</v>
      </c>
      <c r="E38" s="1509">
        <f>IF(ISTEXT(E$10),WR_Var3!$E$44,0)</f>
        <v>0</v>
      </c>
      <c r="F38" s="1510">
        <f>IF(ISTEXT(F$10),WR_Var4!$E$44,0)</f>
        <v>0</v>
      </c>
      <c r="G38" s="71"/>
      <c r="H38" s="299"/>
      <c r="I38" s="303"/>
      <c r="J38" s="305"/>
      <c r="K38" s="305"/>
      <c r="L38" s="305"/>
      <c r="M38" s="305"/>
      <c r="N38" s="46"/>
      <c r="O38" s="46"/>
      <c r="P38" s="46"/>
      <c r="Q38" s="46"/>
      <c r="R38" s="46"/>
      <c r="S38" s="45"/>
      <c r="T38" s="45"/>
      <c r="U38" s="45"/>
      <c r="V38" s="45"/>
      <c r="W38" s="45"/>
      <c r="X38" s="45"/>
      <c r="Y38" s="45"/>
      <c r="Z38" s="45"/>
      <c r="AA38" s="45"/>
    </row>
    <row r="39" spans="1:27" s="70" customFormat="1" x14ac:dyDescent="0.2">
      <c r="A39" s="223"/>
      <c r="B39" s="224" t="s">
        <v>237</v>
      </c>
      <c r="C39" s="1511" t="str">
        <f>IF(ISTEXT(C$10),WR_Var1!$B$44,"")</f>
        <v/>
      </c>
      <c r="D39" s="1511" t="str">
        <f>IF(ISTEXT(D$10),WR_Var2!$B$44,"")</f>
        <v/>
      </c>
      <c r="E39" s="1511" t="str">
        <f>IF(ISTEXT(E$10),WR_Var3!$B$44,"")</f>
        <v/>
      </c>
      <c r="F39" s="1512" t="str">
        <f>IF(ISTEXT(F$10),WR_Var4!$B$44,"")</f>
        <v/>
      </c>
      <c r="G39" s="210"/>
      <c r="H39" s="299"/>
      <c r="I39" s="303"/>
      <c r="J39" s="305"/>
      <c r="K39" s="305"/>
      <c r="L39" s="305"/>
      <c r="M39" s="305"/>
      <c r="N39" s="46"/>
      <c r="O39" s="46"/>
      <c r="P39" s="46"/>
      <c r="Q39" s="46"/>
      <c r="R39" s="46"/>
      <c r="S39" s="45"/>
      <c r="T39" s="45"/>
      <c r="U39" s="45"/>
      <c r="V39" s="45"/>
      <c r="W39" s="45"/>
      <c r="X39" s="45"/>
      <c r="Y39" s="45"/>
      <c r="Z39" s="45"/>
      <c r="AA39" s="45"/>
    </row>
    <row r="40" spans="1:27" s="66" customFormat="1" ht="12.9" customHeight="1" x14ac:dyDescent="0.2">
      <c r="A40" s="211" t="s">
        <v>240</v>
      </c>
      <c r="B40" s="222" t="s">
        <v>673</v>
      </c>
      <c r="C40" s="1513">
        <f>IF(ISTEXT(C$10),WR_Var1!$E$45,0)</f>
        <v>0</v>
      </c>
      <c r="D40" s="1513">
        <f>IF(ISTEXT(D$10),WR_Var2!$E$45,0)</f>
        <v>0</v>
      </c>
      <c r="E40" s="1513">
        <f>IF(ISTEXT(E$10),WR_Var3!$E$45,0)</f>
        <v>0</v>
      </c>
      <c r="F40" s="1514">
        <f>IF(ISTEXT(F$10),WR_Var4!$E$45,0)</f>
        <v>0</v>
      </c>
      <c r="G40" s="67"/>
      <c r="H40" s="299"/>
      <c r="I40" s="303"/>
      <c r="J40" s="305"/>
      <c r="K40" s="305"/>
      <c r="L40" s="305"/>
      <c r="M40" s="305"/>
      <c r="N40" s="61"/>
      <c r="O40" s="61"/>
      <c r="P40" s="61"/>
      <c r="Q40" s="61"/>
      <c r="R40" s="61"/>
      <c r="S40" s="67"/>
      <c r="T40" s="67"/>
      <c r="U40" s="67"/>
      <c r="V40" s="67"/>
      <c r="W40" s="67"/>
      <c r="X40" s="67"/>
      <c r="Y40" s="67"/>
      <c r="Z40" s="67"/>
      <c r="AA40" s="67"/>
    </row>
    <row r="41" spans="1:27" s="70" customFormat="1" x14ac:dyDescent="0.2">
      <c r="A41" s="223"/>
      <c r="B41" s="224" t="s">
        <v>237</v>
      </c>
      <c r="C41" s="1511" t="str">
        <f>IF(ISTEXT(C$10),WR_Var1!$B$45,"")</f>
        <v/>
      </c>
      <c r="D41" s="1511" t="str">
        <f>IF(ISTEXT(D$10),WR_Var2!$B$45,"")</f>
        <v/>
      </c>
      <c r="E41" s="1511" t="str">
        <f>IF(ISTEXT(E$10),WR_Var3!$B$45,"")</f>
        <v/>
      </c>
      <c r="F41" s="1512" t="str">
        <f>IF(ISTEXT(F$10),WR_Var4!$B$45,"")</f>
        <v/>
      </c>
      <c r="G41" s="210"/>
      <c r="H41" s="299"/>
      <c r="I41" s="303"/>
      <c r="J41" s="305"/>
      <c r="K41" s="305"/>
      <c r="L41" s="305"/>
      <c r="M41" s="305"/>
      <c r="N41" s="46"/>
      <c r="O41" s="46"/>
      <c r="P41" s="46"/>
      <c r="Q41" s="46"/>
      <c r="R41" s="46"/>
      <c r="S41" s="45"/>
      <c r="T41" s="45"/>
      <c r="U41" s="45"/>
      <c r="V41" s="45"/>
      <c r="W41" s="45"/>
      <c r="X41" s="45"/>
      <c r="Y41" s="45"/>
      <c r="Z41" s="45"/>
      <c r="AA41" s="45"/>
    </row>
    <row r="42" spans="1:27" s="66" customFormat="1" ht="12.9" customHeight="1" x14ac:dyDescent="0.2">
      <c r="A42" s="211" t="s">
        <v>239</v>
      </c>
      <c r="B42" s="222" t="s">
        <v>673</v>
      </c>
      <c r="C42" s="1509">
        <f>IF(ISTEXT(C$10),WR_Var1!$E$46,0)</f>
        <v>0</v>
      </c>
      <c r="D42" s="1509">
        <f>IF(ISTEXT(D$10),WR_Var2!$E$46,0)</f>
        <v>0</v>
      </c>
      <c r="E42" s="1509">
        <f>IF(ISTEXT(E$10),WR_Var3!$E$46,0)</f>
        <v>0</v>
      </c>
      <c r="F42" s="1510">
        <f>IF(ISTEXT(F$10),WR_Var4!$E$46,0)</f>
        <v>0</v>
      </c>
      <c r="G42" s="67"/>
      <c r="H42" s="299"/>
      <c r="I42" s="303"/>
      <c r="J42" s="305"/>
      <c r="K42" s="305"/>
      <c r="L42" s="305"/>
      <c r="M42" s="305"/>
      <c r="N42" s="61"/>
      <c r="O42" s="61"/>
      <c r="P42" s="61"/>
      <c r="Q42" s="61"/>
      <c r="R42" s="61"/>
      <c r="S42" s="67"/>
      <c r="T42" s="67"/>
      <c r="U42" s="67"/>
      <c r="V42" s="67"/>
      <c r="W42" s="67"/>
      <c r="X42" s="67"/>
      <c r="Y42" s="67"/>
      <c r="Z42" s="67"/>
      <c r="AA42" s="67"/>
    </row>
    <row r="43" spans="1:27" s="70" customFormat="1" x14ac:dyDescent="0.2">
      <c r="A43" s="223"/>
      <c r="B43" s="225" t="s">
        <v>237</v>
      </c>
      <c r="C43" s="1515" t="str">
        <f>IF(ISTEXT(C$10),WR_Var1!$B$46,"")</f>
        <v/>
      </c>
      <c r="D43" s="1515" t="str">
        <f>IF(ISTEXT(D$10),WR_Var2!$B$46,"")</f>
        <v/>
      </c>
      <c r="E43" s="1515" t="str">
        <f>IF(ISTEXT(E$10),WR_Var3!$B$46,"")</f>
        <v/>
      </c>
      <c r="F43" s="1516" t="str">
        <f>IF(ISTEXT(F$10),WR_Var4!$B$46,"")</f>
        <v/>
      </c>
      <c r="G43" s="210"/>
      <c r="H43" s="299"/>
      <c r="I43" s="303"/>
      <c r="J43" s="305"/>
      <c r="K43" s="305"/>
      <c r="L43" s="305"/>
      <c r="M43" s="305"/>
      <c r="N43" s="46"/>
      <c r="O43" s="46"/>
      <c r="P43" s="46"/>
      <c r="Q43" s="46"/>
      <c r="R43" s="46"/>
      <c r="S43" s="45"/>
      <c r="T43" s="45"/>
      <c r="U43" s="45"/>
      <c r="V43" s="45"/>
      <c r="W43" s="45"/>
      <c r="X43" s="45"/>
      <c r="Y43" s="45"/>
      <c r="Z43" s="45"/>
      <c r="AA43" s="45"/>
    </row>
    <row r="44" spans="1:27" s="49" customFormat="1" ht="16" customHeight="1" thickBot="1" x14ac:dyDescent="0.25">
      <c r="A44" s="65" t="s">
        <v>672</v>
      </c>
      <c r="B44" s="217"/>
      <c r="C44" s="1496">
        <f>SUM(C38,C40,C42)</f>
        <v>0</v>
      </c>
      <c r="D44" s="1497">
        <f>SUM(D38,D40,D42)</f>
        <v>0</v>
      </c>
      <c r="E44" s="1496">
        <f>SUM(E38,E40,E42)</f>
        <v>0</v>
      </c>
      <c r="F44" s="1498">
        <f>SUM(F38,F40,F42)</f>
        <v>0</v>
      </c>
      <c r="G44" s="45"/>
      <c r="H44" s="299"/>
      <c r="I44" s="303"/>
      <c r="J44" s="305"/>
      <c r="K44" s="305"/>
      <c r="L44" s="305"/>
      <c r="M44" s="305"/>
      <c r="N44" s="46"/>
      <c r="O44" s="46"/>
      <c r="P44" s="46"/>
      <c r="Q44" s="46"/>
      <c r="R44" s="46"/>
      <c r="S44" s="45"/>
      <c r="T44" s="45"/>
      <c r="U44" s="45"/>
      <c r="V44" s="45"/>
      <c r="W44" s="45"/>
      <c r="X44" s="45"/>
      <c r="Y44" s="45"/>
      <c r="Z44" s="45"/>
      <c r="AA44" s="45"/>
    </row>
    <row r="45" spans="1:27" ht="27.7" customHeight="1" x14ac:dyDescent="0.25">
      <c r="A45" s="349" t="s">
        <v>478</v>
      </c>
      <c r="B45" s="47"/>
      <c r="C45" s="50"/>
      <c r="D45" s="1455" t="str">
        <f>Projektdaten!$G$31</f>
        <v>Förderbeiträge berücksichtigen</v>
      </c>
      <c r="E45" s="50"/>
      <c r="F45" s="50"/>
      <c r="H45" s="298"/>
      <c r="I45" s="300"/>
      <c r="J45" s="301"/>
      <c r="K45" s="300"/>
      <c r="L45" s="300"/>
      <c r="M45" s="300"/>
      <c r="N45" s="44"/>
      <c r="O45" s="44"/>
      <c r="P45" s="44"/>
      <c r="Q45" s="44"/>
      <c r="R45" s="44"/>
    </row>
    <row r="46" spans="1:27" ht="5.95" customHeight="1" thickBot="1" x14ac:dyDescent="0.3">
      <c r="A46" s="51"/>
      <c r="B46" s="51"/>
      <c r="C46" s="50"/>
      <c r="D46" s="860"/>
      <c r="E46" s="50"/>
      <c r="F46" s="50"/>
      <c r="H46" s="298"/>
      <c r="I46" s="300"/>
      <c r="J46" s="300"/>
      <c r="K46" s="300"/>
      <c r="L46" s="300"/>
      <c r="M46" s="300"/>
      <c r="N46" s="44"/>
      <c r="O46" s="44"/>
      <c r="P46" s="44"/>
      <c r="Q46" s="44"/>
      <c r="R46" s="44"/>
    </row>
    <row r="47" spans="1:27" ht="17.350000000000001" customHeight="1" x14ac:dyDescent="0.2">
      <c r="A47" s="110"/>
      <c r="B47" s="543"/>
      <c r="C47" s="111" t="s">
        <v>18</v>
      </c>
      <c r="D47" s="859" t="s">
        <v>19</v>
      </c>
      <c r="E47" s="852" t="s">
        <v>20</v>
      </c>
      <c r="F47" s="112" t="s">
        <v>21</v>
      </c>
      <c r="H47" s="298"/>
      <c r="I47" s="300"/>
      <c r="J47" s="302"/>
      <c r="K47" s="302"/>
      <c r="L47" s="302"/>
      <c r="M47" s="302"/>
      <c r="N47" s="44"/>
      <c r="O47" s="44"/>
      <c r="P47" s="44"/>
      <c r="Q47" s="44"/>
      <c r="R47" s="44"/>
    </row>
    <row r="48" spans="1:27" s="54" customFormat="1" ht="12.9" customHeight="1" x14ac:dyDescent="0.2">
      <c r="A48" s="53" t="s">
        <v>674</v>
      </c>
      <c r="B48" s="544"/>
      <c r="C48" s="540">
        <f>IF(ISTEXT(C$10),WR_Var1!$L$116,0)</f>
        <v>0</v>
      </c>
      <c r="D48" s="861">
        <f>IF(ISTEXT(D$10),WR_Var2!$L$116,0)</f>
        <v>0</v>
      </c>
      <c r="E48" s="861">
        <f>IF(ISTEXT(E$10),WR_Var3!$L$116,0)</f>
        <v>0</v>
      </c>
      <c r="F48" s="1062">
        <f>IF(ISTEXT(F$10),WR_Var4!$L$116,0)</f>
        <v>0</v>
      </c>
      <c r="G48" s="56"/>
      <c r="H48" s="308"/>
      <c r="I48" s="309"/>
      <c r="J48" s="305"/>
      <c r="K48" s="305"/>
      <c r="L48" s="305"/>
      <c r="M48" s="305"/>
      <c r="N48" s="48"/>
      <c r="O48" s="48"/>
      <c r="P48" s="48"/>
      <c r="Q48" s="48"/>
      <c r="R48" s="48"/>
      <c r="S48" s="55"/>
      <c r="T48" s="55"/>
      <c r="U48" s="55"/>
      <c r="V48" s="55"/>
      <c r="W48" s="55"/>
      <c r="X48" s="55"/>
      <c r="Y48" s="55"/>
      <c r="Z48" s="55"/>
      <c r="AA48" s="55"/>
    </row>
    <row r="49" spans="1:27" ht="12.9" customHeight="1" x14ac:dyDescent="0.2">
      <c r="A49" s="53" t="s">
        <v>675</v>
      </c>
      <c r="B49" s="544"/>
      <c r="C49" s="540">
        <f>IF(ISTEXT(C$10),WR_Var1!$L$117,0)</f>
        <v>0</v>
      </c>
      <c r="D49" s="861">
        <f>IF(ISTEXT(D$10),WR_Var2!$L$117,0)</f>
        <v>0</v>
      </c>
      <c r="E49" s="861">
        <f>IF(ISTEXT(E$10),WR_Var3!$L$117,0)</f>
        <v>0</v>
      </c>
      <c r="F49" s="1062">
        <f>IF(ISTEXT(F$10),WR_Var4!$L$117,0)</f>
        <v>0</v>
      </c>
      <c r="H49" s="310"/>
      <c r="I49" s="311"/>
      <c r="J49" s="305"/>
      <c r="K49" s="305"/>
      <c r="L49" s="305"/>
      <c r="M49" s="305"/>
      <c r="N49" s="44"/>
      <c r="O49" s="44"/>
      <c r="P49" s="44"/>
      <c r="Q49" s="44"/>
      <c r="R49" s="44"/>
    </row>
    <row r="50" spans="1:27" ht="12.9" customHeight="1" thickBot="1" x14ac:dyDescent="0.25">
      <c r="A50" s="541" t="s">
        <v>676</v>
      </c>
      <c r="B50" s="545"/>
      <c r="C50" s="542">
        <f>IF(ISTEXT(C$10),WR_Var1!$L$118,0)</f>
        <v>0</v>
      </c>
      <c r="D50" s="1063">
        <f>IF(ISTEXT(D$10),WR_Var2!$L$118,0)</f>
        <v>0</v>
      </c>
      <c r="E50" s="1063">
        <f>IF(ISTEXT(E$10),WR_Var3!$L$118,0)</f>
        <v>0</v>
      </c>
      <c r="F50" s="1064">
        <f>IF(ISTEXT(F$10),WR_Var4!$L$118,0)</f>
        <v>0</v>
      </c>
      <c r="H50" s="310"/>
      <c r="I50" s="311"/>
      <c r="J50" s="305"/>
      <c r="K50" s="305"/>
      <c r="L50" s="305"/>
      <c r="M50" s="305"/>
      <c r="N50" s="44"/>
      <c r="O50" s="44"/>
      <c r="P50" s="44"/>
      <c r="Q50" s="44"/>
      <c r="R50" s="44"/>
    </row>
    <row r="51" spans="1:27" ht="14.95" customHeight="1" x14ac:dyDescent="0.2">
      <c r="A51" s="43"/>
      <c r="B51" s="43"/>
      <c r="C51" s="43"/>
      <c r="D51" s="862"/>
      <c r="E51" s="43"/>
      <c r="F51" s="43"/>
      <c r="G51" s="40"/>
      <c r="H51" s="40"/>
      <c r="I51" s="40"/>
      <c r="J51" s="40"/>
      <c r="K51" s="40"/>
      <c r="L51" s="40"/>
      <c r="M51" s="40"/>
      <c r="N51" s="40"/>
      <c r="O51" s="40"/>
      <c r="P51" s="40"/>
      <c r="Q51" s="40"/>
      <c r="R51" s="40"/>
      <c r="S51" s="40"/>
      <c r="T51" s="40"/>
      <c r="U51" s="40"/>
      <c r="V51" s="40"/>
      <c r="W51" s="40"/>
      <c r="X51" s="40"/>
      <c r="Y51" s="40"/>
      <c r="Z51" s="40"/>
      <c r="AA51" s="40"/>
    </row>
    <row r="52" spans="1:27" ht="14.95" customHeight="1" x14ac:dyDescent="0.2">
      <c r="A52" s="43"/>
      <c r="B52" s="43"/>
      <c r="C52" s="43"/>
      <c r="D52" s="862"/>
      <c r="E52" s="43"/>
      <c r="F52" s="43"/>
      <c r="G52" s="40"/>
      <c r="H52" s="40"/>
      <c r="I52" s="40"/>
      <c r="J52" s="40"/>
      <c r="K52" s="40"/>
      <c r="L52" s="40"/>
      <c r="M52" s="40"/>
      <c r="N52" s="40"/>
      <c r="O52" s="40"/>
      <c r="P52" s="40"/>
      <c r="Q52" s="40"/>
      <c r="R52" s="40"/>
      <c r="S52" s="40"/>
      <c r="T52" s="40"/>
      <c r="U52" s="40"/>
      <c r="V52" s="40"/>
      <c r="W52" s="40"/>
      <c r="X52" s="40"/>
      <c r="Y52" s="40"/>
      <c r="Z52" s="40"/>
      <c r="AA52" s="40"/>
    </row>
    <row r="53" spans="1:27" ht="14.95" customHeight="1" x14ac:dyDescent="0.2">
      <c r="G53" s="40"/>
      <c r="H53" s="40"/>
      <c r="I53" s="40"/>
      <c r="J53" s="40"/>
      <c r="K53" s="40"/>
      <c r="L53" s="40"/>
      <c r="M53" s="40"/>
      <c r="N53" s="40"/>
      <c r="O53" s="40"/>
      <c r="P53" s="40"/>
      <c r="Q53" s="40"/>
      <c r="R53" s="40"/>
      <c r="S53" s="40"/>
      <c r="T53" s="40"/>
      <c r="U53" s="40"/>
      <c r="V53" s="40"/>
      <c r="W53" s="40"/>
      <c r="X53" s="40"/>
      <c r="Y53" s="40"/>
      <c r="Z53" s="40"/>
      <c r="AA53" s="40"/>
    </row>
    <row r="54" spans="1:27" ht="12.6" customHeight="1" x14ac:dyDescent="0.2">
      <c r="G54" s="40"/>
      <c r="H54" s="40"/>
      <c r="I54" s="40"/>
      <c r="J54" s="40"/>
      <c r="K54" s="40"/>
      <c r="L54" s="40"/>
      <c r="M54" s="40"/>
      <c r="N54" s="40"/>
      <c r="O54" s="40"/>
      <c r="P54" s="40"/>
      <c r="Q54" s="40"/>
      <c r="R54" s="40"/>
      <c r="S54" s="40"/>
      <c r="T54" s="40"/>
      <c r="U54" s="40"/>
      <c r="V54" s="40"/>
      <c r="W54" s="40"/>
      <c r="X54" s="40"/>
      <c r="Y54" s="40"/>
      <c r="Z54" s="40"/>
      <c r="AA54" s="40"/>
    </row>
    <row r="55" spans="1:27" ht="12.6" customHeight="1" x14ac:dyDescent="0.2">
      <c r="G55" s="40"/>
      <c r="H55" s="40"/>
      <c r="I55" s="40"/>
      <c r="J55" s="40"/>
      <c r="K55" s="40"/>
      <c r="L55" s="40"/>
      <c r="M55" s="40"/>
      <c r="N55" s="40"/>
      <c r="O55" s="40"/>
      <c r="P55" s="40"/>
      <c r="Q55" s="40"/>
      <c r="R55" s="40"/>
      <c r="S55" s="40"/>
      <c r="T55" s="40"/>
      <c r="U55" s="40"/>
      <c r="V55" s="40"/>
      <c r="W55" s="40"/>
      <c r="X55" s="40"/>
      <c r="Y55" s="40"/>
      <c r="Z55" s="40"/>
      <c r="AA55" s="40"/>
    </row>
    <row r="56" spans="1:27" ht="12.6" customHeight="1" x14ac:dyDescent="0.2">
      <c r="G56" s="40"/>
      <c r="H56" s="40"/>
      <c r="I56" s="40"/>
      <c r="J56" s="40"/>
      <c r="K56" s="40"/>
      <c r="L56" s="40"/>
      <c r="M56" s="40"/>
      <c r="N56" s="40"/>
      <c r="O56" s="40"/>
      <c r="P56" s="40"/>
      <c r="Q56" s="40"/>
      <c r="R56" s="40"/>
      <c r="S56" s="40"/>
      <c r="T56" s="40"/>
      <c r="U56" s="40"/>
      <c r="V56" s="40"/>
      <c r="W56" s="40"/>
      <c r="X56" s="40"/>
      <c r="Y56" s="40"/>
      <c r="Z56" s="40"/>
      <c r="AA56" s="40"/>
    </row>
    <row r="57" spans="1:27" ht="12.6" customHeight="1" x14ac:dyDescent="0.2">
      <c r="F57" s="40"/>
      <c r="G57" s="40"/>
      <c r="H57" s="40"/>
      <c r="I57" s="40"/>
      <c r="J57" s="40"/>
      <c r="K57" s="40"/>
      <c r="L57" s="40"/>
      <c r="M57" s="40"/>
      <c r="N57" s="40"/>
      <c r="O57" s="40"/>
      <c r="P57" s="40"/>
      <c r="Q57" s="40"/>
      <c r="R57" s="40"/>
      <c r="S57" s="40"/>
      <c r="T57" s="40"/>
      <c r="U57" s="40"/>
      <c r="V57" s="40"/>
      <c r="W57" s="40"/>
      <c r="X57" s="40"/>
      <c r="Y57" s="40"/>
      <c r="Z57" s="40"/>
      <c r="AA57" s="40"/>
    </row>
    <row r="58" spans="1:27" ht="12.6" customHeight="1" x14ac:dyDescent="0.2">
      <c r="F58" s="40"/>
      <c r="G58" s="40"/>
      <c r="H58" s="40"/>
      <c r="I58" s="40"/>
      <c r="J58" s="40"/>
      <c r="K58" s="40"/>
      <c r="L58" s="40"/>
      <c r="M58" s="40"/>
      <c r="N58" s="40"/>
      <c r="O58" s="40"/>
      <c r="P58" s="40"/>
      <c r="Q58" s="40"/>
      <c r="R58" s="40"/>
      <c r="S58" s="40"/>
      <c r="T58" s="40"/>
      <c r="U58" s="40"/>
      <c r="V58" s="40"/>
      <c r="W58" s="40"/>
      <c r="X58" s="40"/>
      <c r="Y58" s="40"/>
      <c r="Z58" s="40"/>
      <c r="AA58" s="40"/>
    </row>
    <row r="59" spans="1:27" ht="12.6" customHeight="1" x14ac:dyDescent="0.2">
      <c r="F59" s="40"/>
      <c r="G59" s="40"/>
      <c r="H59" s="40"/>
      <c r="I59" s="40"/>
      <c r="J59" s="40"/>
      <c r="K59" s="40"/>
      <c r="L59" s="40"/>
      <c r="M59" s="40"/>
      <c r="N59" s="40"/>
      <c r="O59" s="40"/>
      <c r="P59" s="40"/>
      <c r="Q59" s="40"/>
      <c r="R59" s="40"/>
      <c r="S59" s="40"/>
      <c r="T59" s="40"/>
      <c r="U59" s="40"/>
      <c r="V59" s="40"/>
      <c r="W59" s="40"/>
      <c r="X59" s="40"/>
      <c r="Y59" s="40"/>
      <c r="Z59" s="40"/>
      <c r="AA59" s="40"/>
    </row>
    <row r="60" spans="1:27" ht="12.6" customHeight="1" x14ac:dyDescent="0.2">
      <c r="F60" s="40"/>
      <c r="G60" s="40"/>
      <c r="H60" s="40"/>
      <c r="I60" s="40"/>
      <c r="J60" s="40"/>
      <c r="K60" s="40"/>
      <c r="L60" s="40"/>
      <c r="M60" s="40"/>
      <c r="N60" s="40"/>
      <c r="O60" s="40"/>
      <c r="P60" s="40"/>
      <c r="Q60" s="40"/>
      <c r="R60" s="40"/>
      <c r="S60" s="40"/>
      <c r="T60" s="40"/>
      <c r="U60" s="40"/>
      <c r="V60" s="40"/>
      <c r="W60" s="40"/>
      <c r="X60" s="40"/>
      <c r="Y60" s="40"/>
      <c r="Z60" s="40"/>
      <c r="AA60" s="40"/>
    </row>
    <row r="61" spans="1:27" ht="12.6" customHeight="1" x14ac:dyDescent="0.2">
      <c r="F61" s="40"/>
      <c r="G61" s="40"/>
      <c r="H61" s="40"/>
      <c r="I61" s="40"/>
      <c r="J61" s="40"/>
      <c r="K61" s="40"/>
      <c r="L61" s="40"/>
      <c r="M61" s="40"/>
      <c r="N61" s="40"/>
      <c r="O61" s="40"/>
      <c r="P61" s="40"/>
      <c r="Q61" s="40"/>
      <c r="R61" s="40"/>
      <c r="S61" s="40"/>
      <c r="T61" s="40"/>
      <c r="U61" s="40"/>
      <c r="V61" s="40"/>
      <c r="W61" s="40"/>
      <c r="X61" s="40"/>
      <c r="Y61" s="40"/>
      <c r="Z61" s="40"/>
      <c r="AA61" s="40"/>
    </row>
    <row r="62" spans="1:27" ht="12.6" customHeight="1" x14ac:dyDescent="0.2">
      <c r="F62" s="40"/>
      <c r="G62" s="40"/>
      <c r="H62" s="40"/>
      <c r="I62" s="40"/>
      <c r="J62" s="40"/>
      <c r="K62" s="40"/>
      <c r="L62" s="40"/>
      <c r="M62" s="40"/>
      <c r="N62" s="40"/>
      <c r="O62" s="40"/>
      <c r="P62" s="40"/>
      <c r="Q62" s="40"/>
      <c r="R62" s="40"/>
      <c r="S62" s="40"/>
      <c r="T62" s="40"/>
      <c r="U62" s="40"/>
      <c r="V62" s="40"/>
      <c r="W62" s="40"/>
      <c r="X62" s="40"/>
      <c r="Y62" s="40"/>
      <c r="Z62" s="40"/>
      <c r="AA62" s="40"/>
    </row>
    <row r="63" spans="1:27" ht="12.6" customHeight="1" x14ac:dyDescent="0.2">
      <c r="F63" s="40"/>
      <c r="G63" s="40"/>
      <c r="H63" s="40"/>
      <c r="I63" s="40"/>
      <c r="J63" s="40"/>
      <c r="K63" s="40"/>
      <c r="L63" s="40"/>
      <c r="M63" s="40"/>
      <c r="N63" s="40"/>
      <c r="O63" s="40"/>
      <c r="P63" s="40"/>
      <c r="Q63" s="40"/>
      <c r="R63" s="40"/>
      <c r="S63" s="40"/>
      <c r="T63" s="40"/>
      <c r="U63" s="40"/>
      <c r="V63" s="40"/>
      <c r="W63" s="40"/>
      <c r="X63" s="40"/>
      <c r="Y63" s="40"/>
      <c r="Z63" s="40"/>
      <c r="AA63" s="40"/>
    </row>
    <row r="64" spans="1:27" ht="12.6" customHeight="1" x14ac:dyDescent="0.2">
      <c r="F64" s="40"/>
      <c r="G64" s="40"/>
      <c r="H64" s="40"/>
      <c r="I64" s="40"/>
      <c r="J64" s="40"/>
      <c r="K64" s="40"/>
      <c r="L64" s="40"/>
      <c r="M64" s="40"/>
      <c r="N64" s="40"/>
      <c r="O64" s="40"/>
      <c r="P64" s="40"/>
      <c r="Q64" s="40"/>
      <c r="R64" s="40"/>
      <c r="S64" s="40"/>
      <c r="T64" s="40"/>
      <c r="U64" s="40"/>
      <c r="V64" s="40"/>
      <c r="W64" s="40"/>
      <c r="X64" s="40"/>
      <c r="Y64" s="40"/>
      <c r="Z64" s="40"/>
      <c r="AA64" s="40"/>
    </row>
    <row r="65" spans="6:27" ht="12.6" customHeight="1" x14ac:dyDescent="0.2">
      <c r="F65" s="40"/>
      <c r="G65" s="40"/>
      <c r="H65" s="40"/>
      <c r="I65" s="40"/>
      <c r="J65" s="40"/>
      <c r="K65" s="40"/>
      <c r="L65" s="40"/>
      <c r="M65" s="40"/>
      <c r="N65" s="40"/>
      <c r="O65" s="40"/>
      <c r="P65" s="40"/>
      <c r="Q65" s="40"/>
      <c r="R65" s="40"/>
      <c r="S65" s="40"/>
      <c r="T65" s="40"/>
      <c r="U65" s="40"/>
      <c r="V65" s="40"/>
      <c r="W65" s="40"/>
      <c r="X65" s="40"/>
      <c r="Y65" s="40"/>
      <c r="Z65" s="40"/>
      <c r="AA65" s="40"/>
    </row>
    <row r="66" spans="6:27" ht="12.6" customHeight="1" x14ac:dyDescent="0.2">
      <c r="F66" s="40"/>
      <c r="G66" s="40"/>
      <c r="H66" s="40"/>
      <c r="I66" s="40"/>
      <c r="J66" s="40"/>
      <c r="K66" s="40"/>
      <c r="L66" s="40"/>
      <c r="M66" s="40"/>
      <c r="N66" s="40"/>
      <c r="O66" s="40"/>
      <c r="P66" s="40"/>
      <c r="Q66" s="40"/>
      <c r="R66" s="40"/>
      <c r="S66" s="40"/>
      <c r="T66" s="40"/>
      <c r="U66" s="40"/>
      <c r="V66" s="40"/>
      <c r="W66" s="40"/>
      <c r="X66" s="40"/>
      <c r="Y66" s="40"/>
      <c r="Z66" s="40"/>
      <c r="AA66" s="40"/>
    </row>
    <row r="67" spans="6:27" ht="12.6" customHeight="1" x14ac:dyDescent="0.2">
      <c r="F67" s="40"/>
      <c r="G67" s="40"/>
      <c r="H67" s="40"/>
      <c r="I67" s="40"/>
      <c r="J67" s="40"/>
      <c r="K67" s="40"/>
      <c r="L67" s="40"/>
      <c r="M67" s="40"/>
      <c r="N67" s="40"/>
      <c r="O67" s="40"/>
      <c r="P67" s="40"/>
      <c r="Q67" s="40"/>
      <c r="R67" s="40"/>
      <c r="S67" s="40"/>
      <c r="T67" s="40"/>
      <c r="U67" s="40"/>
      <c r="V67" s="40"/>
      <c r="W67" s="40"/>
      <c r="X67" s="40"/>
      <c r="Y67" s="40"/>
      <c r="Z67" s="40"/>
      <c r="AA67" s="40"/>
    </row>
    <row r="68" spans="6:27" ht="12.6" customHeight="1" x14ac:dyDescent="0.2">
      <c r="F68" s="40"/>
      <c r="G68" s="40"/>
      <c r="H68" s="40"/>
      <c r="I68" s="40"/>
      <c r="J68" s="40"/>
      <c r="K68" s="40"/>
      <c r="L68" s="40"/>
      <c r="M68" s="40"/>
      <c r="N68" s="40"/>
      <c r="O68" s="40"/>
      <c r="P68" s="40"/>
      <c r="Q68" s="40"/>
      <c r="R68" s="40"/>
      <c r="S68" s="40"/>
      <c r="T68" s="40"/>
      <c r="U68" s="40"/>
      <c r="V68" s="40"/>
      <c r="W68" s="40"/>
      <c r="X68" s="40"/>
      <c r="Y68" s="40"/>
      <c r="Z68" s="40"/>
      <c r="AA68" s="40"/>
    </row>
    <row r="69" spans="6:27" ht="12.6" customHeight="1" x14ac:dyDescent="0.2">
      <c r="F69" s="40"/>
      <c r="G69" s="40"/>
      <c r="H69" s="40"/>
      <c r="I69" s="40"/>
      <c r="J69" s="40"/>
      <c r="K69" s="40"/>
      <c r="L69" s="40"/>
      <c r="M69" s="40"/>
      <c r="N69" s="40"/>
      <c r="O69" s="40"/>
      <c r="P69" s="40"/>
      <c r="Q69" s="40"/>
      <c r="R69" s="40"/>
      <c r="S69" s="40"/>
      <c r="T69" s="40"/>
      <c r="U69" s="40"/>
      <c r="V69" s="40"/>
      <c r="W69" s="40"/>
      <c r="X69" s="40"/>
      <c r="Y69" s="40"/>
      <c r="Z69" s="40"/>
      <c r="AA69" s="40"/>
    </row>
    <row r="70" spans="6:27" ht="12.9" customHeight="1" x14ac:dyDescent="0.2">
      <c r="F70" s="40"/>
    </row>
    <row r="71" spans="6:27" ht="12.9" customHeight="1" x14ac:dyDescent="0.2">
      <c r="F71" s="40"/>
    </row>
    <row r="72" spans="6:27" ht="12.9" customHeight="1" x14ac:dyDescent="0.2">
      <c r="F72" s="40"/>
    </row>
    <row r="73" spans="6:27" ht="12.9" customHeight="1" x14ac:dyDescent="0.2">
      <c r="F73" s="40"/>
    </row>
    <row r="74" spans="6:27" ht="12.9" customHeight="1" x14ac:dyDescent="0.2">
      <c r="F74" s="40"/>
    </row>
    <row r="75" spans="6:27" ht="12.9" customHeight="1" x14ac:dyDescent="0.2">
      <c r="F75" s="40"/>
    </row>
  </sheetData>
  <sheetProtection algorithmName="SHA-512" hashValue="kLArkk9u/Wqffcviu3zK2fEIylecST2w3XK5xLMFzoAMz7VxPjSTRJAQis7UABfo1nGV9IgBf4l/cWK2uZU1Bw==" saltValue="4t0mGxS0wZyqLZtbC2hbRw==" spinCount="100000" sheet="1" objects="1" scenarios="1" selectLockedCells="1"/>
  <mergeCells count="1">
    <mergeCell ref="A1:C1"/>
  </mergeCells>
  <hyperlinks>
    <hyperlink ref="E2" location="Neu_in_Version" display="i"/>
  </hyperlinks>
  <printOptions horizontalCentered="1"/>
  <pageMargins left="0.81" right="0.81" top="0.39370078740157483" bottom="0.9055118110236221" header="0.39370078740157483" footer="0.39370078740157483"/>
  <pageSetup paperSize="9" scale="94" firstPageNumber="3" orientation="portrait" r:id="rId1"/>
  <headerFooter scaleWithDoc="0">
    <oddFooter>&amp;L&amp;8Das Amt für Hochbauten ist eine Dienstabteilung des
Hochbaudepartements der Stadt Zürich&amp;CSeite &amp;P/&amp;N&amp;6
                                                         &amp;D/&amp;F&amp;R&amp;G</oddFooter>
  </headerFooter>
  <drawing r:id="rId2"/>
  <legacyDrawing r:id="rId3"/>
  <legacyDrawingHF r:id="rId4"/>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pageSetUpPr fitToPage="1"/>
  </sheetPr>
  <dimension ref="A1:AG237"/>
  <sheetViews>
    <sheetView showGridLines="0" showZeros="0" zoomScale="116" zoomScaleNormal="116" zoomScaleSheetLayoutView="100" workbookViewId="0">
      <pane ySplit="7" topLeftCell="A8" activePane="bottomLeft" state="frozen"/>
      <selection activeCell="E6" sqref="E6:G6"/>
      <selection pane="bottomLeft" activeCell="A31" sqref="A31:B31"/>
    </sheetView>
  </sheetViews>
  <sheetFormatPr baseColWidth="10" defaultColWidth="9.25" defaultRowHeight="12.9" x14ac:dyDescent="0.2"/>
  <cols>
    <col min="1" max="1" width="17.75" customWidth="1"/>
    <col min="2" max="2" width="9" style="1366" customWidth="1"/>
    <col min="3" max="3" width="0.875" customWidth="1"/>
    <col min="4" max="4" width="1.75" customWidth="1"/>
    <col min="5" max="5" width="15.75" customWidth="1"/>
    <col min="6" max="6" width="7.125" customWidth="1"/>
    <col min="7" max="7" width="0.75" customWidth="1"/>
    <col min="8" max="9" width="0.875" customWidth="1"/>
    <col min="10" max="10" width="1.75" customWidth="1"/>
    <col min="11" max="11" width="15.75" customWidth="1"/>
    <col min="12" max="12" width="7.125" customWidth="1"/>
    <col min="13" max="13" width="0.75" customWidth="1"/>
    <col min="14" max="15" width="0.875" customWidth="1"/>
    <col min="16" max="16" width="1.75" customWidth="1"/>
    <col min="17" max="17" width="15.75" customWidth="1"/>
    <col min="18" max="18" width="7.125" customWidth="1"/>
    <col min="19" max="19" width="0.75" customWidth="1"/>
    <col min="20" max="21" width="0.875" customWidth="1"/>
    <col min="22" max="22" width="1.75" customWidth="1"/>
    <col min="23" max="23" width="15.75" customWidth="1"/>
    <col min="24" max="24" width="7.125" customWidth="1"/>
    <col min="25" max="25" width="0.75" customWidth="1"/>
    <col min="26" max="26" width="5.25" customWidth="1"/>
    <col min="27" max="27" width="10" customWidth="1"/>
    <col min="28" max="28" width="8.875" customWidth="1"/>
    <col min="29" max="29" width="6.625" customWidth="1"/>
  </cols>
  <sheetData>
    <row r="1" spans="1:28" ht="56.25" customHeight="1" x14ac:dyDescent="0.2">
      <c r="E1" s="150"/>
      <c r="F1" s="151"/>
      <c r="G1" s="151"/>
      <c r="H1" s="151"/>
      <c r="I1" s="151"/>
      <c r="J1" s="151"/>
      <c r="K1" s="151"/>
      <c r="L1" s="151"/>
      <c r="M1" s="151"/>
      <c r="N1" s="151"/>
      <c r="O1" s="151"/>
      <c r="P1" s="151"/>
      <c r="Q1" s="151"/>
      <c r="R1" s="151"/>
      <c r="S1" s="151"/>
      <c r="T1" s="151"/>
      <c r="U1" s="151"/>
      <c r="V1" s="151"/>
    </row>
    <row r="2" spans="1:28" ht="12.75" customHeight="1" x14ac:dyDescent="0.25">
      <c r="A2" s="152" t="str">
        <f>CONCATENATE("Variantenvergleich Energiesysteme - Version ",Versionsinfo!$B$4)</f>
        <v>Variantenvergleich Energiesysteme - Version 2.2</v>
      </c>
      <c r="B2" s="152"/>
      <c r="E2" s="1535"/>
      <c r="F2" s="1536" t="s">
        <v>684</v>
      </c>
      <c r="G2" s="150"/>
      <c r="H2" s="150"/>
      <c r="I2" s="151"/>
      <c r="J2" s="151"/>
      <c r="K2" s="151"/>
      <c r="L2" s="151"/>
      <c r="M2" s="154"/>
      <c r="N2" s="155"/>
      <c r="O2" s="151"/>
      <c r="P2" s="151"/>
      <c r="Q2" s="151"/>
      <c r="R2" s="151"/>
      <c r="S2" s="151"/>
      <c r="T2" s="151"/>
      <c r="U2" s="151"/>
      <c r="V2" s="151"/>
    </row>
    <row r="3" spans="1:28" ht="12.75" customHeight="1" x14ac:dyDescent="0.2">
      <c r="A3" s="153" t="s">
        <v>178</v>
      </c>
      <c r="B3" s="153"/>
    </row>
    <row r="4" spans="1:28" ht="18" customHeight="1" x14ac:dyDescent="0.2">
      <c r="A4" s="127"/>
      <c r="B4" s="127"/>
    </row>
    <row r="5" spans="1:28" ht="19.55" customHeight="1" x14ac:dyDescent="0.2">
      <c r="A5" s="21" t="s">
        <v>0</v>
      </c>
      <c r="B5" s="21"/>
      <c r="F5" s="2910" t="s">
        <v>41</v>
      </c>
      <c r="G5" s="2910"/>
      <c r="H5" s="2910"/>
      <c r="I5" s="2910"/>
      <c r="J5" s="2910" t="str">
        <f>CONCATENATE(Projektdaten!I15,", ",Projektdaten!D15)</f>
        <v xml:space="preserve">, </v>
      </c>
      <c r="K5" s="2910"/>
      <c r="L5" s="2910"/>
      <c r="M5" s="2910"/>
      <c r="N5" s="2910"/>
      <c r="O5" s="2910"/>
      <c r="P5" s="2910"/>
      <c r="Q5" s="2910"/>
      <c r="R5" s="24"/>
      <c r="S5" s="24"/>
      <c r="T5" s="24"/>
      <c r="U5" s="24"/>
      <c r="V5" s="24"/>
      <c r="W5" s="3"/>
      <c r="X5" s="3"/>
      <c r="Y5" s="3"/>
    </row>
    <row r="6" spans="1:28" s="1" customFormat="1" ht="19.55" customHeight="1" x14ac:dyDescent="0.2">
      <c r="A6" s="2907">
        <f>Projektdaten!C8</f>
        <v>0</v>
      </c>
      <c r="B6" s="2907"/>
      <c r="C6" s="2907"/>
      <c r="D6" s="2907"/>
      <c r="E6" s="2907"/>
      <c r="F6" s="2906">
        <f>Projektdaten!I8</f>
        <v>0</v>
      </c>
      <c r="G6" s="2906"/>
      <c r="H6" s="2906"/>
      <c r="I6" s="2906"/>
      <c r="J6" s="2906"/>
      <c r="K6" s="2906"/>
      <c r="L6" s="2906"/>
      <c r="M6" s="2906"/>
      <c r="N6" s="2906"/>
      <c r="O6" s="2906"/>
      <c r="P6" s="2906"/>
      <c r="Q6" s="168" t="s">
        <v>116</v>
      </c>
      <c r="R6" s="169">
        <f>Projektdaten!F13</f>
        <v>1</v>
      </c>
      <c r="S6" s="170"/>
      <c r="T6" s="170"/>
      <c r="U6" s="170"/>
      <c r="V6" s="170"/>
      <c r="W6" s="2905">
        <f ca="1">Projektdaten!I13</f>
        <v>42459</v>
      </c>
      <c r="X6" s="2905"/>
      <c r="Y6" s="2905"/>
    </row>
    <row r="7" spans="1:28" ht="5.95" customHeight="1" x14ac:dyDescent="0.2">
      <c r="A7" s="4"/>
      <c r="B7" s="4"/>
      <c r="C7" s="4"/>
      <c r="D7" s="4"/>
      <c r="E7" s="4"/>
      <c r="F7" s="4"/>
      <c r="G7" s="4"/>
      <c r="H7" s="4"/>
      <c r="I7" s="4"/>
      <c r="J7" s="4"/>
      <c r="K7" s="4"/>
      <c r="L7" s="4"/>
      <c r="M7" s="4"/>
      <c r="N7" s="4"/>
      <c r="O7" s="4"/>
      <c r="P7" s="4"/>
      <c r="Q7" s="4"/>
      <c r="R7" s="4"/>
      <c r="S7" s="4"/>
      <c r="T7" s="4"/>
      <c r="U7" s="4"/>
      <c r="V7" s="4"/>
      <c r="W7" s="4"/>
      <c r="X7" s="4"/>
      <c r="Y7" s="4"/>
    </row>
    <row r="8" spans="1:28" ht="18" customHeight="1" x14ac:dyDescent="0.2">
      <c r="A8" s="22" t="s">
        <v>11</v>
      </c>
      <c r="B8" s="22"/>
      <c r="C8" s="2896">
        <v>1</v>
      </c>
      <c r="D8" s="2896"/>
      <c r="E8" s="2897">
        <f>EV_Var1!$E$6</f>
        <v>0</v>
      </c>
      <c r="F8" s="2897"/>
      <c r="G8" s="11"/>
      <c r="H8" s="4"/>
      <c r="I8" s="2896">
        <v>2</v>
      </c>
      <c r="J8" s="2896"/>
      <c r="K8" s="2897">
        <f>EV_Var2!$E$6</f>
        <v>0</v>
      </c>
      <c r="L8" s="2897"/>
      <c r="M8" s="11"/>
      <c r="N8" s="4"/>
      <c r="O8" s="2896">
        <v>3</v>
      </c>
      <c r="P8" s="2896"/>
      <c r="Q8" s="2897">
        <f>EV_Var3!$E$6</f>
        <v>0</v>
      </c>
      <c r="R8" s="2897"/>
      <c r="S8" s="11"/>
      <c r="T8" s="4"/>
      <c r="U8" s="2896">
        <v>4</v>
      </c>
      <c r="V8" s="2896"/>
      <c r="W8" s="2897">
        <f>EV_Var4!$E$6</f>
        <v>0</v>
      </c>
      <c r="X8" s="2897"/>
      <c r="Y8" s="11"/>
    </row>
    <row r="9" spans="1:28" ht="27.7" customHeight="1" x14ac:dyDescent="0.2">
      <c r="A9" s="4"/>
      <c r="B9" s="4"/>
      <c r="C9" s="5"/>
      <c r="D9" s="5"/>
      <c r="E9" s="2895">
        <f>EV_Var1!$J$6</f>
        <v>0</v>
      </c>
      <c r="F9" s="2895"/>
      <c r="G9" s="12"/>
      <c r="H9" s="4"/>
      <c r="I9" s="5"/>
      <c r="J9" s="5"/>
      <c r="K9" s="2895">
        <f>EV_Var2!$J$6</f>
        <v>0</v>
      </c>
      <c r="L9" s="2895"/>
      <c r="M9" s="12"/>
      <c r="N9" s="4"/>
      <c r="O9" s="5"/>
      <c r="P9" s="5"/>
      <c r="Q9" s="2895">
        <f>EV_Var3!$J$6</f>
        <v>0</v>
      </c>
      <c r="R9" s="2895"/>
      <c r="S9" s="12"/>
      <c r="T9" s="4"/>
      <c r="U9" s="5"/>
      <c r="V9" s="5"/>
      <c r="W9" s="2895">
        <f>EV_Var4!$J$6</f>
        <v>0</v>
      </c>
      <c r="X9" s="2895"/>
      <c r="Y9" s="12"/>
    </row>
    <row r="10" spans="1:28" ht="5.95" customHeight="1" x14ac:dyDescent="0.2">
      <c r="A10" s="4"/>
      <c r="B10" s="4"/>
      <c r="C10" s="5"/>
      <c r="D10" s="5"/>
      <c r="E10" s="5"/>
      <c r="F10" s="5"/>
      <c r="G10" s="5"/>
      <c r="H10" s="4"/>
      <c r="I10" s="5"/>
      <c r="J10" s="5"/>
      <c r="K10" s="5"/>
      <c r="L10" s="5"/>
      <c r="M10" s="5"/>
      <c r="N10" s="4"/>
      <c r="O10" s="5"/>
      <c r="P10" s="5"/>
      <c r="Q10" s="5"/>
      <c r="R10" s="5"/>
      <c r="S10" s="5"/>
      <c r="T10" s="4"/>
      <c r="U10" s="5"/>
      <c r="V10" s="5"/>
      <c r="W10" s="5"/>
      <c r="X10" s="5"/>
      <c r="Y10" s="5"/>
    </row>
    <row r="11" spans="1:28" s="2" customFormat="1" ht="14.95" customHeight="1" x14ac:dyDescent="0.2">
      <c r="A11" s="17" t="s">
        <v>1</v>
      </c>
      <c r="B11" s="17"/>
      <c r="C11" s="2898" t="str">
        <f>IF(Berechnungen!$D$11=0,"",ROUND(Berechnungen!$D$11,-3))</f>
        <v/>
      </c>
      <c r="D11" s="2898"/>
      <c r="E11" s="2898"/>
      <c r="F11" s="20" t="s">
        <v>3</v>
      </c>
      <c r="G11" s="19"/>
      <c r="H11" s="13"/>
      <c r="I11" s="2898" t="str">
        <f>IF(Berechnungen!$E$11=0,"",ROUND(Berechnungen!$E$11,-3))</f>
        <v/>
      </c>
      <c r="J11" s="2898"/>
      <c r="K11" s="2898"/>
      <c r="L11" s="20" t="s">
        <v>3</v>
      </c>
      <c r="M11" s="19"/>
      <c r="N11" s="13"/>
      <c r="O11" s="2898" t="str">
        <f>IF(Berechnungen!$F$11=0,"",ROUND(Berechnungen!$F$11,-3))</f>
        <v/>
      </c>
      <c r="P11" s="2898"/>
      <c r="Q11" s="2898"/>
      <c r="R11" s="20" t="s">
        <v>3</v>
      </c>
      <c r="S11" s="19"/>
      <c r="T11" s="13"/>
      <c r="U11" s="2898" t="str">
        <f>IF(Berechnungen!$G$11=0,"",ROUND(Berechnungen!$G$11,-3))</f>
        <v/>
      </c>
      <c r="V11" s="2898"/>
      <c r="W11" s="2898"/>
      <c r="X11" s="20" t="s">
        <v>3</v>
      </c>
      <c r="Y11" s="19"/>
      <c r="AB11" s="14"/>
    </row>
    <row r="12" spans="1:28" ht="4.75" customHeight="1" x14ac:dyDescent="0.3">
      <c r="A12" s="4"/>
      <c r="B12" s="4"/>
      <c r="C12" s="5"/>
      <c r="D12" s="6"/>
      <c r="E12" s="7"/>
      <c r="F12" s="8"/>
      <c r="G12" s="5"/>
      <c r="H12" s="4"/>
      <c r="I12" s="5"/>
      <c r="J12" s="6"/>
      <c r="K12" s="7"/>
      <c r="L12" s="8"/>
      <c r="M12" s="5"/>
      <c r="N12" s="4"/>
      <c r="O12" s="5"/>
      <c r="P12" s="6"/>
      <c r="Q12" s="7"/>
      <c r="R12" s="8"/>
      <c r="S12" s="5"/>
      <c r="T12" s="4"/>
      <c r="U12" s="5"/>
      <c r="V12" s="6"/>
      <c r="W12" s="7"/>
      <c r="X12" s="8"/>
      <c r="Y12" s="5"/>
    </row>
    <row r="13" spans="1:28" ht="14.95" customHeight="1" x14ac:dyDescent="0.2">
      <c r="A13" s="17" t="s">
        <v>723</v>
      </c>
      <c r="B13" s="17"/>
      <c r="C13" s="2898" t="str">
        <f>IF(Berechnungen!$D$14=0,"",ROUND(Berechnungen!$D$14,-2))</f>
        <v/>
      </c>
      <c r="D13" s="2898"/>
      <c r="E13" s="2898"/>
      <c r="F13" s="20" t="s">
        <v>4</v>
      </c>
      <c r="G13" s="19"/>
      <c r="H13" s="18"/>
      <c r="I13" s="2898" t="str">
        <f>IF(Berechnungen!$E$14=0,"",ROUND(Berechnungen!$E$14,-2))</f>
        <v/>
      </c>
      <c r="J13" s="2898"/>
      <c r="K13" s="2898"/>
      <c r="L13" s="20" t="s">
        <v>4</v>
      </c>
      <c r="M13" s="19"/>
      <c r="N13" s="18"/>
      <c r="O13" s="2898" t="str">
        <f>IF(Berechnungen!$F$14=0,"",ROUND(Berechnungen!$F$14,-2))</f>
        <v/>
      </c>
      <c r="P13" s="2898"/>
      <c r="Q13" s="2898"/>
      <c r="R13" s="20" t="s">
        <v>4</v>
      </c>
      <c r="S13" s="19"/>
      <c r="T13" s="18"/>
      <c r="U13" s="2898" t="str">
        <f>IF(Berechnungen!$G$14=0,"",ROUND(Berechnungen!$G$14,-2))</f>
        <v/>
      </c>
      <c r="V13" s="2898"/>
      <c r="W13" s="2898"/>
      <c r="X13" s="20" t="s">
        <v>4</v>
      </c>
      <c r="Y13" s="19"/>
      <c r="AB13" s="14"/>
    </row>
    <row r="14" spans="1:28" ht="4.75" customHeight="1" x14ac:dyDescent="0.3">
      <c r="A14" s="4"/>
      <c r="B14" s="4"/>
      <c r="C14" s="5"/>
      <c r="D14" s="6"/>
      <c r="E14" s="7"/>
      <c r="F14" s="8"/>
      <c r="G14" s="5"/>
      <c r="H14" s="4"/>
      <c r="I14" s="5"/>
      <c r="J14" s="6"/>
      <c r="K14" s="7"/>
      <c r="L14" s="8"/>
      <c r="M14" s="5"/>
      <c r="N14" s="4"/>
      <c r="O14" s="5"/>
      <c r="P14" s="6"/>
      <c r="Q14" s="7"/>
      <c r="R14" s="8"/>
      <c r="S14" s="5"/>
      <c r="T14" s="4"/>
      <c r="U14" s="5"/>
      <c r="V14" s="6"/>
      <c r="W14" s="7"/>
      <c r="X14" s="8"/>
      <c r="Y14" s="5"/>
    </row>
    <row r="15" spans="1:28" ht="14.95" customHeight="1" x14ac:dyDescent="0.2">
      <c r="A15" s="17" t="s">
        <v>170</v>
      </c>
      <c r="B15" s="17"/>
      <c r="C15" s="2898" t="str">
        <f>IF(Berechnungen!$D$90=0,"",ROUND(Berechnungen!$D$90,-2))</f>
        <v/>
      </c>
      <c r="D15" s="2898"/>
      <c r="E15" s="2898"/>
      <c r="F15" s="20" t="s">
        <v>5</v>
      </c>
      <c r="G15" s="19"/>
      <c r="H15" s="18"/>
      <c r="I15" s="2898" t="str">
        <f>IF(Berechnungen!$E$90=0,"",ROUND(Berechnungen!$E$90,-2))</f>
        <v/>
      </c>
      <c r="J15" s="2898"/>
      <c r="K15" s="2898"/>
      <c r="L15" s="20" t="s">
        <v>5</v>
      </c>
      <c r="M15" s="19"/>
      <c r="N15" s="18"/>
      <c r="O15" s="2898" t="str">
        <f>IF(Berechnungen!$F$90=0,"",ROUND(Berechnungen!$F$90,-2))</f>
        <v/>
      </c>
      <c r="P15" s="2898"/>
      <c r="Q15" s="2898"/>
      <c r="R15" s="20" t="s">
        <v>5</v>
      </c>
      <c r="S15" s="19"/>
      <c r="T15" s="18"/>
      <c r="U15" s="2898" t="str">
        <f>IF(Berechnungen!$G$90=0,"",ROUND(Berechnungen!$G$90,-2))</f>
        <v/>
      </c>
      <c r="V15" s="2898"/>
      <c r="W15" s="2898"/>
      <c r="X15" s="20" t="s">
        <v>5</v>
      </c>
      <c r="Y15" s="19"/>
      <c r="AB15" s="14"/>
    </row>
    <row r="16" spans="1:28" s="811" customFormat="1" ht="4.75" customHeight="1" x14ac:dyDescent="0.3">
      <c r="A16" s="4"/>
      <c r="B16" s="4"/>
      <c r="C16" s="5"/>
      <c r="D16" s="6"/>
      <c r="E16" s="7"/>
      <c r="F16" s="8"/>
      <c r="G16" s="5"/>
      <c r="H16" s="4"/>
      <c r="I16" s="5"/>
      <c r="J16" s="6"/>
      <c r="K16" s="7"/>
      <c r="L16" s="8"/>
      <c r="M16" s="5"/>
      <c r="N16" s="4"/>
      <c r="O16" s="5"/>
      <c r="P16" s="6"/>
      <c r="Q16" s="7"/>
      <c r="R16" s="8"/>
      <c r="S16" s="5"/>
      <c r="T16" s="4"/>
      <c r="U16" s="5"/>
      <c r="V16" s="6"/>
      <c r="W16" s="7"/>
      <c r="X16" s="8"/>
      <c r="Y16" s="5"/>
    </row>
    <row r="17" spans="1:33" s="811" customFormat="1" ht="14.95" customHeight="1" x14ac:dyDescent="0.2">
      <c r="A17" s="17" t="s">
        <v>554</v>
      </c>
      <c r="B17" s="17"/>
      <c r="C17" s="2898" t="str">
        <f>IF(Berechnungen!$D$92=0,"",ROUND(Berechnungen!$D$92,-2))</f>
        <v/>
      </c>
      <c r="D17" s="2898"/>
      <c r="E17" s="2898"/>
      <c r="F17" s="20" t="s">
        <v>5</v>
      </c>
      <c r="G17" s="19"/>
      <c r="H17" s="18"/>
      <c r="I17" s="2898" t="str">
        <f>IF(Berechnungen!$E$92=0,"",ROUND(Berechnungen!$E$92,-2))</f>
        <v/>
      </c>
      <c r="J17" s="2898"/>
      <c r="K17" s="2898"/>
      <c r="L17" s="20" t="s">
        <v>5</v>
      </c>
      <c r="M17" s="19"/>
      <c r="N17" s="18"/>
      <c r="O17" s="2898" t="str">
        <f>IF(Berechnungen!$F$92=0,"",ROUND(Berechnungen!$F$92,-2))</f>
        <v/>
      </c>
      <c r="P17" s="2898"/>
      <c r="Q17" s="2898"/>
      <c r="R17" s="20" t="s">
        <v>5</v>
      </c>
      <c r="S17" s="19"/>
      <c r="T17" s="18"/>
      <c r="U17" s="2898" t="str">
        <f>IF(Berechnungen!$G$92=0,"",ROUND(Berechnungen!$G$92,-2))</f>
        <v/>
      </c>
      <c r="V17" s="2898"/>
      <c r="W17" s="2898"/>
      <c r="X17" s="20" t="s">
        <v>5</v>
      </c>
      <c r="Y17" s="19"/>
      <c r="AB17" s="14"/>
    </row>
    <row r="18" spans="1:33" ht="4.75" customHeight="1" x14ac:dyDescent="0.3">
      <c r="A18" s="4"/>
      <c r="B18" s="4"/>
      <c r="C18" s="5"/>
      <c r="D18" s="6"/>
      <c r="E18" s="7"/>
      <c r="F18" s="8"/>
      <c r="G18" s="5"/>
      <c r="H18" s="4"/>
      <c r="I18" s="5"/>
      <c r="J18" s="6"/>
      <c r="K18" s="7"/>
      <c r="L18" s="8"/>
      <c r="M18" s="5"/>
      <c r="N18" s="4"/>
      <c r="O18" s="5"/>
      <c r="P18" s="6"/>
      <c r="Q18" s="7"/>
      <c r="R18" s="8"/>
      <c r="S18" s="5"/>
      <c r="T18" s="4"/>
      <c r="U18" s="5"/>
      <c r="V18" s="6"/>
      <c r="W18" s="7"/>
      <c r="X18" s="8"/>
      <c r="Y18" s="5"/>
    </row>
    <row r="19" spans="1:33" ht="14.95" customHeight="1" x14ac:dyDescent="0.2">
      <c r="A19" s="17" t="s">
        <v>6</v>
      </c>
      <c r="B19" s="17"/>
      <c r="C19" s="2898" t="str">
        <f>IF(Berechnungen!$D$96=0,"",ROUND(Berechnungen!$D$96,-1))</f>
        <v/>
      </c>
      <c r="D19" s="2898"/>
      <c r="E19" s="2898"/>
      <c r="F19" s="20" t="s">
        <v>104</v>
      </c>
      <c r="G19" s="19"/>
      <c r="H19" s="18"/>
      <c r="I19" s="2898" t="str">
        <f>IF(Berechnungen!$E$96=0,"",ROUND(Berechnungen!$E$96,-1))</f>
        <v/>
      </c>
      <c r="J19" s="2898"/>
      <c r="K19" s="2898"/>
      <c r="L19" s="20" t="s">
        <v>104</v>
      </c>
      <c r="M19" s="19"/>
      <c r="N19" s="18"/>
      <c r="O19" s="2898" t="str">
        <f>IF(Berechnungen!$F$96=0,"",ROUND(Berechnungen!$F$96,-1))</f>
        <v/>
      </c>
      <c r="P19" s="2898"/>
      <c r="Q19" s="2898"/>
      <c r="R19" s="20" t="s">
        <v>104</v>
      </c>
      <c r="S19" s="19"/>
      <c r="T19" s="18"/>
      <c r="U19" s="2898" t="str">
        <f>IF(Berechnungen!$G$96=0,"",ROUND(Berechnungen!$G$96,-1))</f>
        <v/>
      </c>
      <c r="V19" s="2898"/>
      <c r="W19" s="2898"/>
      <c r="X19" s="20" t="s">
        <v>104</v>
      </c>
      <c r="Y19" s="19"/>
      <c r="AG19" s="1261"/>
    </row>
    <row r="20" spans="1:33" ht="4.75" customHeight="1" x14ac:dyDescent="0.2">
      <c r="A20" s="4"/>
      <c r="B20" s="4"/>
      <c r="C20" s="5"/>
      <c r="D20" s="6"/>
      <c r="E20" s="10"/>
      <c r="F20" s="5"/>
      <c r="G20" s="5"/>
      <c r="H20" s="4"/>
      <c r="I20" s="5"/>
      <c r="J20" s="6"/>
      <c r="K20" s="10"/>
      <c r="L20" s="5"/>
      <c r="M20" s="5"/>
      <c r="N20" s="4"/>
      <c r="O20" s="5"/>
      <c r="P20" s="6"/>
      <c r="Q20" s="10"/>
      <c r="R20" s="5"/>
      <c r="S20" s="5"/>
      <c r="T20" s="4"/>
      <c r="U20" s="5"/>
      <c r="V20" s="6"/>
      <c r="W20" s="10"/>
      <c r="X20" s="5"/>
      <c r="Y20" s="5"/>
    </row>
    <row r="21" spans="1:33" ht="14.95" customHeight="1" x14ac:dyDescent="0.2">
      <c r="A21" s="1084" t="s">
        <v>713</v>
      </c>
      <c r="B21" s="1084"/>
      <c r="C21" s="2898" t="str">
        <f>IF(Berechnungen!$D$100=0,"",ROUND(Berechnungen!$D$100,-4))</f>
        <v/>
      </c>
      <c r="D21" s="2898"/>
      <c r="E21" s="2898"/>
      <c r="F21" s="20" t="s">
        <v>171</v>
      </c>
      <c r="G21" s="19"/>
      <c r="H21" s="18"/>
      <c r="I21" s="2898" t="str">
        <f>IF(Berechnungen!$E$100=0,"",ROUND(Berechnungen!$E$100,-4))</f>
        <v/>
      </c>
      <c r="J21" s="2898"/>
      <c r="K21" s="2898"/>
      <c r="L21" s="20" t="s">
        <v>171</v>
      </c>
      <c r="M21" s="19"/>
      <c r="N21" s="18"/>
      <c r="O21" s="2898" t="str">
        <f>IF(Berechnungen!$F$100=0,"",ROUND(Berechnungen!$F$100,-4))</f>
        <v/>
      </c>
      <c r="P21" s="2898"/>
      <c r="Q21" s="2898"/>
      <c r="R21" s="20" t="s">
        <v>171</v>
      </c>
      <c r="S21" s="19"/>
      <c r="T21" s="18"/>
      <c r="U21" s="2898" t="str">
        <f>IF(Berechnungen!$G$100=0,"",ROUND(Berechnungen!$G$100,-4))</f>
        <v/>
      </c>
      <c r="V21" s="2898"/>
      <c r="W21" s="2898"/>
      <c r="X21" s="20" t="s">
        <v>171</v>
      </c>
      <c r="Y21" s="19"/>
    </row>
    <row r="22" spans="1:33" ht="4.75" customHeight="1" x14ac:dyDescent="0.2">
      <c r="A22" s="884"/>
      <c r="B22" s="884"/>
      <c r="C22" s="5"/>
      <c r="D22" s="6"/>
      <c r="E22" s="10"/>
      <c r="F22" s="5"/>
      <c r="G22" s="5"/>
      <c r="H22" s="4"/>
      <c r="I22" s="5"/>
      <c r="J22" s="6"/>
      <c r="K22" s="10"/>
      <c r="L22" s="5"/>
      <c r="M22" s="5"/>
      <c r="N22" s="4"/>
      <c r="O22" s="5"/>
      <c r="P22" s="6"/>
      <c r="Q22" s="10"/>
      <c r="R22" s="5"/>
      <c r="S22" s="5"/>
      <c r="T22" s="4"/>
      <c r="U22" s="5"/>
      <c r="V22" s="6"/>
      <c r="W22" s="10"/>
      <c r="X22" s="5"/>
      <c r="Y22" s="5"/>
    </row>
    <row r="23" spans="1:33" ht="14.95" customHeight="1" x14ac:dyDescent="0.2">
      <c r="A23" s="1084" t="s">
        <v>108</v>
      </c>
      <c r="B23" s="1084"/>
      <c r="C23" s="2898" t="str">
        <f>IF(OR(Berechnungen!$D$39=0,$AB$23=0),"",ROUND(Berechnungen!$D$39,-2))</f>
        <v/>
      </c>
      <c r="D23" s="2898"/>
      <c r="E23" s="2898"/>
      <c r="F23" s="20" t="s">
        <v>5</v>
      </c>
      <c r="G23" s="19"/>
      <c r="H23" s="18"/>
      <c r="I23" s="2898" t="str">
        <f>IF(OR(Berechnungen!$E$39=0,$AB$23=0),"",ROUND(Berechnungen!$E$39,-2))</f>
        <v/>
      </c>
      <c r="J23" s="2898"/>
      <c r="K23" s="2898"/>
      <c r="L23" s="20" t="s">
        <v>5</v>
      </c>
      <c r="M23" s="19"/>
      <c r="N23" s="18"/>
      <c r="O23" s="2898" t="str">
        <f>IF(OR(Berechnungen!$F$39=0,$AB$23=0),"",ROUND(Berechnungen!$F$39,-2))</f>
        <v/>
      </c>
      <c r="P23" s="2898"/>
      <c r="Q23" s="2898"/>
      <c r="R23" s="20" t="s">
        <v>5</v>
      </c>
      <c r="S23" s="19"/>
      <c r="T23" s="18"/>
      <c r="U23" s="2898" t="str">
        <f>IF(OR(Berechnungen!$G$39=0,$AB$23=0),"",ROUND(Berechnungen!$G$39,-2))</f>
        <v/>
      </c>
      <c r="V23" s="2898"/>
      <c r="W23" s="2898"/>
      <c r="X23" s="20" t="s">
        <v>5</v>
      </c>
      <c r="Y23" s="19"/>
      <c r="Z23" s="142"/>
      <c r="AA23" s="197" t="s">
        <v>173</v>
      </c>
      <c r="AB23" s="198">
        <f>Berechnungen!D48</f>
        <v>0</v>
      </c>
      <c r="AC23" s="187" t="s">
        <v>5</v>
      </c>
    </row>
    <row r="24" spans="1:33" ht="4.75" customHeight="1" x14ac:dyDescent="0.2">
      <c r="A24" s="884"/>
      <c r="B24" s="884"/>
      <c r="C24" s="5"/>
      <c r="D24" s="6"/>
      <c r="E24" s="9"/>
      <c r="F24" s="5"/>
      <c r="G24" s="5"/>
      <c r="H24" s="4"/>
      <c r="I24" s="5"/>
      <c r="J24" s="6"/>
      <c r="K24" s="9"/>
      <c r="L24" s="5"/>
      <c r="M24" s="5"/>
      <c r="N24" s="4"/>
      <c r="O24" s="5"/>
      <c r="P24" s="6"/>
      <c r="Q24" s="9"/>
      <c r="R24" s="5"/>
      <c r="S24" s="5"/>
      <c r="T24" s="4"/>
      <c r="U24" s="5"/>
      <c r="V24" s="6"/>
      <c r="W24" s="9"/>
      <c r="X24" s="5"/>
      <c r="Y24" s="5"/>
    </row>
    <row r="25" spans="1:33" ht="14.95" customHeight="1" x14ac:dyDescent="0.2">
      <c r="A25" s="1084" t="s">
        <v>467</v>
      </c>
      <c r="B25" s="1084"/>
      <c r="C25" s="2904">
        <f>Berechnungen!$D$22</f>
        <v>0</v>
      </c>
      <c r="D25" s="2904"/>
      <c r="E25" s="2904"/>
      <c r="F25" s="20" t="s">
        <v>476</v>
      </c>
      <c r="G25" s="19"/>
      <c r="H25" s="18"/>
      <c r="I25" s="2904">
        <f>Berechnungen!$E$22</f>
        <v>0</v>
      </c>
      <c r="J25" s="2904"/>
      <c r="K25" s="2904"/>
      <c r="L25" s="20" t="s">
        <v>476</v>
      </c>
      <c r="M25" s="19"/>
      <c r="N25" s="18"/>
      <c r="O25" s="2904">
        <f>Berechnungen!$F$22</f>
        <v>0</v>
      </c>
      <c r="P25" s="2904"/>
      <c r="Q25" s="2904"/>
      <c r="R25" s="20" t="s">
        <v>476</v>
      </c>
      <c r="S25" s="19"/>
      <c r="T25" s="18"/>
      <c r="U25" s="2904">
        <f>Berechnungen!$G$22</f>
        <v>0</v>
      </c>
      <c r="V25" s="2904"/>
      <c r="W25" s="2904"/>
      <c r="X25" s="20" t="s">
        <v>476</v>
      </c>
      <c r="Y25" s="19"/>
    </row>
    <row r="26" spans="1:33" ht="4.75" customHeight="1" x14ac:dyDescent="0.2">
      <c r="A26" s="884"/>
      <c r="B26" s="884"/>
      <c r="C26" s="5"/>
      <c r="D26" s="6"/>
      <c r="E26" s="10"/>
      <c r="F26" s="5"/>
      <c r="G26" s="5"/>
      <c r="H26" s="4"/>
      <c r="I26" s="5"/>
      <c r="J26" s="6"/>
      <c r="K26" s="10"/>
      <c r="L26" s="5"/>
      <c r="M26" s="5"/>
      <c r="N26" s="4"/>
      <c r="O26" s="5"/>
      <c r="P26" s="6"/>
      <c r="Q26" s="10"/>
      <c r="R26" s="5"/>
      <c r="S26" s="5"/>
      <c r="T26" s="4"/>
      <c r="U26" s="5"/>
      <c r="V26" s="6"/>
      <c r="W26" s="10"/>
      <c r="X26" s="5"/>
      <c r="Y26" s="5"/>
    </row>
    <row r="27" spans="1:33" ht="14.95" customHeight="1" x14ac:dyDescent="0.2">
      <c r="A27" s="1084" t="s">
        <v>468</v>
      </c>
      <c r="B27" s="1084"/>
      <c r="C27" s="2904">
        <f>Berechnungen!$D$23</f>
        <v>0</v>
      </c>
      <c r="D27" s="2904"/>
      <c r="E27" s="2904"/>
      <c r="F27" s="20" t="s">
        <v>476</v>
      </c>
      <c r="G27" s="19"/>
      <c r="H27" s="18"/>
      <c r="I27" s="2904">
        <f>Berechnungen!$E$23</f>
        <v>0</v>
      </c>
      <c r="J27" s="2904"/>
      <c r="K27" s="2904"/>
      <c r="L27" s="20" t="s">
        <v>476</v>
      </c>
      <c r="M27" s="19"/>
      <c r="N27" s="18"/>
      <c r="O27" s="2904">
        <f>Berechnungen!$F$23</f>
        <v>0</v>
      </c>
      <c r="P27" s="2904"/>
      <c r="Q27" s="2904"/>
      <c r="R27" s="20" t="s">
        <v>476</v>
      </c>
      <c r="S27" s="19"/>
      <c r="T27" s="18"/>
      <c r="U27" s="2904">
        <f>Berechnungen!$G$23</f>
        <v>0</v>
      </c>
      <c r="V27" s="2904"/>
      <c r="W27" s="2904"/>
      <c r="X27" s="20" t="s">
        <v>476</v>
      </c>
      <c r="Y27" s="19"/>
    </row>
    <row r="28" spans="1:33" ht="4.75" customHeight="1" x14ac:dyDescent="0.2">
      <c r="A28" s="884"/>
      <c r="B28" s="884"/>
      <c r="C28" s="5"/>
      <c r="D28" s="6"/>
      <c r="E28" s="10"/>
      <c r="F28" s="5"/>
      <c r="G28" s="5"/>
      <c r="H28" s="4"/>
      <c r="I28" s="5"/>
      <c r="J28" s="6"/>
      <c r="K28" s="10"/>
      <c r="L28" s="5"/>
      <c r="M28" s="5"/>
      <c r="N28" s="4"/>
      <c r="O28" s="5"/>
      <c r="P28" s="6"/>
      <c r="Q28" s="10"/>
      <c r="R28" s="5"/>
      <c r="S28" s="5"/>
      <c r="T28" s="4"/>
      <c r="U28" s="5"/>
      <c r="V28" s="6"/>
      <c r="W28" s="10"/>
      <c r="X28" s="5"/>
      <c r="Y28" s="5"/>
    </row>
    <row r="29" spans="1:33" ht="14.95" customHeight="1" x14ac:dyDescent="0.2">
      <c r="A29" s="1084" t="s">
        <v>477</v>
      </c>
      <c r="B29" s="1084"/>
      <c r="C29" s="2904">
        <f>Berechnungen!$D$24</f>
        <v>0</v>
      </c>
      <c r="D29" s="2904"/>
      <c r="E29" s="2904"/>
      <c r="F29" s="20" t="s">
        <v>476</v>
      </c>
      <c r="G29" s="19"/>
      <c r="H29" s="18"/>
      <c r="I29" s="2904">
        <f>Berechnungen!$E$24</f>
        <v>0</v>
      </c>
      <c r="J29" s="2904"/>
      <c r="K29" s="2904"/>
      <c r="L29" s="20" t="s">
        <v>476</v>
      </c>
      <c r="M29" s="19"/>
      <c r="N29" s="18"/>
      <c r="O29" s="2904">
        <f>Berechnungen!$F$24</f>
        <v>0</v>
      </c>
      <c r="P29" s="2904"/>
      <c r="Q29" s="2904"/>
      <c r="R29" s="20" t="s">
        <v>476</v>
      </c>
      <c r="S29" s="19"/>
      <c r="T29" s="18"/>
      <c r="U29" s="2904">
        <f>Berechnungen!$G$24</f>
        <v>0</v>
      </c>
      <c r="V29" s="2904"/>
      <c r="W29" s="2904"/>
      <c r="X29" s="20" t="s">
        <v>476</v>
      </c>
      <c r="Y29" s="19"/>
    </row>
    <row r="30" spans="1:33" ht="4.75" customHeight="1" x14ac:dyDescent="0.2">
      <c r="A30" s="884"/>
      <c r="B30" s="884"/>
      <c r="C30" s="5"/>
      <c r="D30" s="6"/>
      <c r="E30" s="10"/>
      <c r="F30" s="5"/>
      <c r="G30" s="5"/>
      <c r="H30" s="4"/>
      <c r="I30" s="5"/>
      <c r="J30" s="6"/>
      <c r="K30" s="10"/>
      <c r="L30" s="5"/>
      <c r="M30" s="5"/>
      <c r="N30" s="4"/>
      <c r="O30" s="5"/>
      <c r="P30" s="6"/>
      <c r="Q30" s="10"/>
      <c r="R30" s="5"/>
      <c r="S30" s="5"/>
      <c r="T30" s="4"/>
      <c r="U30" s="5"/>
      <c r="V30" s="6"/>
      <c r="W30" s="10"/>
      <c r="X30" s="5"/>
      <c r="Y30" s="5"/>
    </row>
    <row r="31" spans="1:33" ht="14.95" customHeight="1" x14ac:dyDescent="0.2">
      <c r="A31" s="2893"/>
      <c r="B31" s="2893"/>
      <c r="C31" s="2900"/>
      <c r="D31" s="2900"/>
      <c r="E31" s="2899"/>
      <c r="F31" s="2899"/>
      <c r="G31" s="19"/>
      <c r="H31" s="18"/>
      <c r="I31" s="2900"/>
      <c r="J31" s="2900"/>
      <c r="K31" s="2899"/>
      <c r="L31" s="2899"/>
      <c r="M31" s="19"/>
      <c r="N31" s="18"/>
      <c r="O31" s="2900"/>
      <c r="P31" s="2900"/>
      <c r="Q31" s="2899"/>
      <c r="R31" s="2899"/>
      <c r="S31" s="19"/>
      <c r="T31" s="18"/>
      <c r="U31" s="2900"/>
      <c r="V31" s="2900"/>
      <c r="W31" s="2899"/>
      <c r="X31" s="2899"/>
      <c r="Y31" s="19"/>
      <c r="AA31" s="2909" t="s">
        <v>225</v>
      </c>
      <c r="AB31" s="2909"/>
      <c r="AC31" s="2909"/>
      <c r="AD31" s="2909"/>
    </row>
    <row r="32" spans="1:33" ht="4.75" customHeight="1" x14ac:dyDescent="0.2">
      <c r="A32" s="4"/>
      <c r="B32" s="4"/>
      <c r="C32" s="5"/>
      <c r="D32" s="6"/>
      <c r="E32" s="10"/>
      <c r="F32" s="5"/>
      <c r="G32" s="5"/>
      <c r="H32" s="4"/>
      <c r="I32" s="5"/>
      <c r="J32" s="6"/>
      <c r="K32" s="10"/>
      <c r="L32" s="5"/>
      <c r="M32" s="5"/>
      <c r="N32" s="4"/>
      <c r="O32" s="5"/>
      <c r="P32" s="6"/>
      <c r="Q32" s="10"/>
      <c r="R32" s="5"/>
      <c r="S32" s="5"/>
      <c r="T32" s="4"/>
      <c r="U32" s="5"/>
      <c r="V32" s="6"/>
      <c r="W32" s="10"/>
      <c r="X32" s="5"/>
      <c r="Y32" s="5"/>
      <c r="AA32" s="2909"/>
      <c r="AB32" s="2909"/>
      <c r="AC32" s="2909"/>
      <c r="AD32" s="2909"/>
    </row>
    <row r="33" spans="1:30" ht="14.95" customHeight="1" x14ac:dyDescent="0.2">
      <c r="A33" s="2893"/>
      <c r="B33" s="2893"/>
      <c r="C33" s="2900"/>
      <c r="D33" s="2900"/>
      <c r="E33" s="2899"/>
      <c r="F33" s="2899"/>
      <c r="G33" s="19"/>
      <c r="H33" s="18"/>
      <c r="I33" s="2900"/>
      <c r="J33" s="2900"/>
      <c r="K33" s="2899"/>
      <c r="L33" s="2899"/>
      <c r="M33" s="19"/>
      <c r="N33" s="18"/>
      <c r="O33" s="2900"/>
      <c r="P33" s="2900"/>
      <c r="Q33" s="2899"/>
      <c r="R33" s="2899"/>
      <c r="S33" s="19"/>
      <c r="T33" s="18"/>
      <c r="U33" s="2900"/>
      <c r="V33" s="2900"/>
      <c r="W33" s="2899"/>
      <c r="X33" s="2899"/>
      <c r="Y33" s="19"/>
      <c r="AA33" s="2909"/>
      <c r="AB33" s="2909"/>
      <c r="AC33" s="2909"/>
      <c r="AD33" s="2909"/>
    </row>
    <row r="34" spans="1:30" s="522" customFormat="1" ht="4.75" customHeight="1" x14ac:dyDescent="0.2">
      <c r="A34" s="4"/>
      <c r="B34" s="4"/>
      <c r="C34" s="5"/>
      <c r="D34" s="6"/>
      <c r="E34" s="10"/>
      <c r="F34" s="5"/>
      <c r="G34" s="5"/>
      <c r="H34" s="4"/>
      <c r="I34" s="5"/>
      <c r="J34" s="6"/>
      <c r="K34" s="10"/>
      <c r="L34" s="5"/>
      <c r="M34" s="5"/>
      <c r="N34" s="4"/>
      <c r="O34" s="5"/>
      <c r="P34" s="6"/>
      <c r="Q34" s="10"/>
      <c r="R34" s="5"/>
      <c r="S34" s="5"/>
      <c r="T34" s="4"/>
      <c r="U34" s="5"/>
      <c r="V34" s="6"/>
      <c r="W34" s="10"/>
      <c r="X34" s="5"/>
      <c r="Y34" s="5"/>
      <c r="AA34" s="2909"/>
      <c r="AB34" s="2909"/>
      <c r="AC34" s="2909"/>
      <c r="AD34" s="2909"/>
    </row>
    <row r="35" spans="1:30" s="522" customFormat="1" ht="14.95" customHeight="1" x14ac:dyDescent="0.2">
      <c r="A35" s="2893"/>
      <c r="B35" s="2893"/>
      <c r="C35" s="2900"/>
      <c r="D35" s="2900"/>
      <c r="E35" s="2899"/>
      <c r="F35" s="2899"/>
      <c r="G35" s="19"/>
      <c r="H35" s="18"/>
      <c r="I35" s="2900"/>
      <c r="J35" s="2900"/>
      <c r="K35" s="2899"/>
      <c r="L35" s="2899"/>
      <c r="M35" s="19"/>
      <c r="N35" s="18"/>
      <c r="O35" s="2900"/>
      <c r="P35" s="2900"/>
      <c r="Q35" s="2899"/>
      <c r="R35" s="2899"/>
      <c r="S35" s="19"/>
      <c r="T35" s="18"/>
      <c r="U35" s="2900"/>
      <c r="V35" s="2900"/>
      <c r="W35" s="2899"/>
      <c r="X35" s="2899"/>
      <c r="Y35" s="19"/>
      <c r="AA35" s="2909"/>
      <c r="AB35" s="2909"/>
      <c r="AC35" s="2909"/>
      <c r="AD35" s="2909"/>
    </row>
    <row r="36" spans="1:30" ht="4.75" customHeight="1" x14ac:dyDescent="0.2">
      <c r="A36" s="4"/>
      <c r="B36" s="4"/>
      <c r="C36" s="5"/>
      <c r="D36" s="6"/>
      <c r="E36" s="10"/>
      <c r="F36" s="5"/>
      <c r="G36" s="5"/>
      <c r="H36" s="4"/>
      <c r="I36" s="5"/>
      <c r="J36" s="6"/>
      <c r="K36" s="10"/>
      <c r="L36" s="5"/>
      <c r="M36" s="5"/>
      <c r="N36" s="4"/>
      <c r="O36" s="5"/>
      <c r="P36" s="6"/>
      <c r="Q36" s="10"/>
      <c r="R36" s="5"/>
      <c r="S36" s="5"/>
      <c r="T36" s="4"/>
      <c r="U36" s="5"/>
      <c r="V36" s="6"/>
      <c r="W36" s="10"/>
      <c r="X36" s="5"/>
      <c r="Y36" s="5"/>
    </row>
    <row r="37" spans="1:30" ht="30.1" customHeight="1" x14ac:dyDescent="0.2">
      <c r="A37" s="23" t="s">
        <v>10</v>
      </c>
      <c r="B37" s="23"/>
      <c r="C37" s="2900"/>
      <c r="D37" s="2900"/>
      <c r="E37" s="2902"/>
      <c r="F37" s="2902"/>
      <c r="G37" s="19"/>
      <c r="H37" s="18"/>
      <c r="I37" s="2900"/>
      <c r="J37" s="2900"/>
      <c r="K37" s="2902"/>
      <c r="L37" s="2902"/>
      <c r="M37" s="19"/>
      <c r="N37" s="18"/>
      <c r="O37" s="2900"/>
      <c r="P37" s="2900"/>
      <c r="Q37" s="2902"/>
      <c r="R37" s="2902"/>
      <c r="S37" s="19"/>
      <c r="T37" s="18"/>
      <c r="U37" s="2901"/>
      <c r="V37" s="2901"/>
      <c r="W37" s="2902"/>
      <c r="X37" s="2902"/>
      <c r="Y37" s="19"/>
      <c r="AA37" s="2909" t="s">
        <v>226</v>
      </c>
      <c r="AB37" s="2909"/>
      <c r="AC37" s="2909"/>
      <c r="AD37" s="2909"/>
    </row>
    <row r="38" spans="1:30" ht="7.5" customHeight="1" x14ac:dyDescent="0.2">
      <c r="A38" s="137"/>
      <c r="B38" s="137"/>
      <c r="C38" s="138"/>
      <c r="D38" s="138"/>
      <c r="E38" s="139"/>
      <c r="F38" s="139"/>
      <c r="G38" s="122"/>
      <c r="H38" s="15"/>
      <c r="I38" s="140"/>
      <c r="J38" s="140"/>
      <c r="K38" s="139"/>
      <c r="L38" s="139"/>
      <c r="M38" s="122"/>
      <c r="N38" s="15"/>
      <c r="O38" s="138"/>
      <c r="P38" s="138"/>
      <c r="Q38" s="139"/>
      <c r="R38" s="139"/>
      <c r="S38" s="122"/>
      <c r="T38" s="15"/>
      <c r="U38" s="141"/>
      <c r="V38" s="141"/>
      <c r="W38" s="139"/>
      <c r="X38" s="139"/>
      <c r="Y38" s="122"/>
      <c r="AA38" s="199"/>
      <c r="AB38" s="199"/>
      <c r="AC38" s="199"/>
      <c r="AD38" s="199"/>
    </row>
    <row r="39" spans="1:30" ht="13.6" customHeight="1" x14ac:dyDescent="0.2">
      <c r="A39" s="143"/>
      <c r="B39" s="143"/>
      <c r="C39" s="2908">
        <v>1</v>
      </c>
      <c r="D39" s="2903"/>
      <c r="E39" s="232" t="s">
        <v>9</v>
      </c>
      <c r="F39" s="233"/>
      <c r="G39" s="234"/>
      <c r="H39" s="235"/>
      <c r="I39" s="2903">
        <v>2</v>
      </c>
      <c r="J39" s="2903"/>
      <c r="K39" s="232" t="s">
        <v>7</v>
      </c>
      <c r="L39" s="233"/>
      <c r="M39" s="234"/>
      <c r="N39" s="235"/>
      <c r="O39" s="2903">
        <v>3</v>
      </c>
      <c r="P39" s="2903"/>
      <c r="Q39" s="232" t="s">
        <v>8</v>
      </c>
      <c r="R39" s="233"/>
      <c r="S39" s="1252"/>
      <c r="T39" s="1254"/>
      <c r="U39" s="141"/>
      <c r="V39" s="141"/>
      <c r="W39" s="139"/>
      <c r="X39" s="139"/>
      <c r="Y39" s="122"/>
      <c r="AA39" s="199"/>
      <c r="AB39" s="199"/>
      <c r="AC39" s="199"/>
      <c r="AD39" s="199"/>
    </row>
    <row r="40" spans="1:30" s="208" customFormat="1" ht="13.6" customHeight="1" x14ac:dyDescent="0.2">
      <c r="A40" s="143"/>
      <c r="B40" s="143"/>
      <c r="C40" s="236"/>
      <c r="D40" s="237"/>
      <c r="E40" s="241" t="s">
        <v>241</v>
      </c>
      <c r="F40" s="238"/>
      <c r="G40" s="239"/>
      <c r="H40" s="240"/>
      <c r="I40" s="237"/>
      <c r="J40" s="237"/>
      <c r="K40" s="241" t="s">
        <v>242</v>
      </c>
      <c r="L40" s="238"/>
      <c r="M40" s="239"/>
      <c r="N40" s="240"/>
      <c r="O40" s="237"/>
      <c r="P40" s="237"/>
      <c r="Q40" s="241" t="s">
        <v>289</v>
      </c>
      <c r="R40" s="238"/>
      <c r="S40" s="1253"/>
      <c r="T40" s="1255"/>
      <c r="U40" s="141"/>
      <c r="V40" s="141"/>
      <c r="W40" s="139"/>
      <c r="X40" s="139"/>
      <c r="Y40" s="122"/>
      <c r="AA40" s="199"/>
      <c r="AB40" s="199"/>
      <c r="AC40" s="199"/>
      <c r="AD40" s="199"/>
    </row>
    <row r="41" spans="1:30" s="1251" customFormat="1" ht="3.1" customHeight="1" x14ac:dyDescent="0.2">
      <c r="A41" s="137"/>
      <c r="B41" s="137"/>
      <c r="C41" s="138"/>
      <c r="D41" s="138"/>
      <c r="E41" s="139"/>
      <c r="F41" s="139"/>
      <c r="G41" s="122"/>
      <c r="H41" s="15"/>
      <c r="I41" s="140"/>
      <c r="J41" s="140"/>
      <c r="K41" s="139"/>
      <c r="L41" s="139"/>
      <c r="M41" s="122"/>
      <c r="N41" s="15"/>
      <c r="O41" s="138"/>
      <c r="P41" s="138"/>
      <c r="Q41" s="139"/>
      <c r="R41" s="139"/>
      <c r="S41" s="122"/>
      <c r="T41" s="15"/>
      <c r="U41" s="141"/>
      <c r="V41" s="141"/>
      <c r="W41" s="139"/>
      <c r="X41" s="139"/>
      <c r="Y41" s="122"/>
      <c r="AA41" s="199"/>
      <c r="AB41" s="199"/>
      <c r="AC41" s="199"/>
      <c r="AD41" s="199"/>
    </row>
    <row r="42" spans="1:30" ht="18" customHeight="1" x14ac:dyDescent="0.2">
      <c r="A42" s="22" t="s">
        <v>1</v>
      </c>
      <c r="B42" s="22"/>
      <c r="C42" s="2896">
        <v>1</v>
      </c>
      <c r="D42" s="2896"/>
      <c r="E42" s="2897">
        <f>E$8</f>
        <v>0</v>
      </c>
      <c r="F42" s="2897"/>
      <c r="G42" s="11"/>
      <c r="H42" s="4"/>
      <c r="I42" s="2896">
        <v>2</v>
      </c>
      <c r="J42" s="2896"/>
      <c r="K42" s="2897">
        <f>K$8</f>
        <v>0</v>
      </c>
      <c r="L42" s="2897"/>
      <c r="M42" s="11"/>
      <c r="N42" s="4"/>
      <c r="O42" s="2896">
        <v>3</v>
      </c>
      <c r="P42" s="2896"/>
      <c r="Q42" s="2897">
        <f>Q$8</f>
        <v>0</v>
      </c>
      <c r="R42" s="2897"/>
      <c r="S42" s="11"/>
      <c r="T42" s="4"/>
      <c r="U42" s="2896">
        <v>4</v>
      </c>
      <c r="V42" s="2896"/>
      <c r="W42" s="2897">
        <f>W$8</f>
        <v>0</v>
      </c>
      <c r="X42" s="2897"/>
      <c r="Y42" s="11"/>
      <c r="AA42" s="199"/>
      <c r="AB42" s="199"/>
      <c r="AC42" s="199"/>
      <c r="AD42" s="199"/>
    </row>
    <row r="43" spans="1:30" ht="27.7" customHeight="1" x14ac:dyDescent="0.2">
      <c r="B43" s="1375" t="s">
        <v>3</v>
      </c>
      <c r="C43" s="5"/>
      <c r="D43" s="5"/>
      <c r="E43" s="2895">
        <f>E$9</f>
        <v>0</v>
      </c>
      <c r="F43" s="2895"/>
      <c r="G43" s="12"/>
      <c r="H43" s="4"/>
      <c r="I43" s="5"/>
      <c r="J43" s="5"/>
      <c r="K43" s="2895">
        <f>K$9</f>
        <v>0</v>
      </c>
      <c r="L43" s="2895"/>
      <c r="M43" s="12"/>
      <c r="N43" s="4"/>
      <c r="O43" s="5"/>
      <c r="P43" s="5"/>
      <c r="Q43" s="2895">
        <f>Q$9</f>
        <v>0</v>
      </c>
      <c r="R43" s="2895"/>
      <c r="S43" s="12"/>
      <c r="T43" s="4"/>
      <c r="U43" s="5"/>
      <c r="V43" s="5"/>
      <c r="W43" s="2895">
        <f>W$9</f>
        <v>0</v>
      </c>
      <c r="X43" s="2895"/>
      <c r="Y43" s="12"/>
      <c r="AA43" s="199"/>
      <c r="AB43" s="199"/>
      <c r="AC43" s="199"/>
      <c r="AD43" s="199"/>
    </row>
    <row r="44" spans="1:30" ht="5.95" customHeight="1" x14ac:dyDescent="0.2">
      <c r="A44" s="4"/>
      <c r="B44" s="4"/>
      <c r="C44" s="5"/>
      <c r="D44" s="5"/>
      <c r="E44" s="5"/>
      <c r="F44" s="5"/>
      <c r="G44" s="5"/>
      <c r="H44" s="4"/>
      <c r="I44" s="5"/>
      <c r="J44" s="5"/>
      <c r="K44" s="5"/>
      <c r="L44" s="5"/>
      <c r="M44" s="5"/>
      <c r="N44" s="4"/>
      <c r="O44" s="5"/>
      <c r="P44" s="5"/>
      <c r="Q44" s="5"/>
      <c r="R44" s="5"/>
      <c r="S44" s="5"/>
      <c r="T44" s="4"/>
      <c r="U44" s="5"/>
      <c r="V44" s="5"/>
      <c r="W44" s="5"/>
      <c r="X44" s="5"/>
      <c r="Y44" s="5"/>
    </row>
    <row r="45" spans="1:30" x14ac:dyDescent="0.2">
      <c r="A45" s="4"/>
      <c r="B45" s="4"/>
      <c r="C45" s="2894"/>
      <c r="D45" s="2894"/>
      <c r="E45" s="2894"/>
      <c r="F45" s="2894"/>
      <c r="G45" s="2894"/>
      <c r="H45" s="15"/>
      <c r="I45" s="2894"/>
      <c r="J45" s="2894"/>
      <c r="K45" s="2894"/>
      <c r="L45" s="2894"/>
      <c r="M45" s="2894"/>
      <c r="N45" s="15"/>
      <c r="O45" s="2894"/>
      <c r="P45" s="2894"/>
      <c r="Q45" s="2894"/>
      <c r="R45" s="2894"/>
      <c r="S45" s="2894"/>
      <c r="T45" s="15"/>
      <c r="U45" s="2894"/>
      <c r="V45" s="2894"/>
      <c r="W45" s="2894"/>
      <c r="X45" s="2894"/>
      <c r="Y45" s="2894"/>
    </row>
    <row r="46" spans="1:30" x14ac:dyDescent="0.2">
      <c r="C46" s="2894"/>
      <c r="D46" s="2894"/>
      <c r="E46" s="2894"/>
      <c r="F46" s="2894"/>
      <c r="G46" s="2894"/>
      <c r="I46" s="2894"/>
      <c r="J46" s="2894"/>
      <c r="K46" s="2894"/>
      <c r="L46" s="2894"/>
      <c r="M46" s="2894"/>
      <c r="O46" s="2894"/>
      <c r="P46" s="2894"/>
      <c r="Q46" s="2894"/>
      <c r="R46" s="2894"/>
      <c r="S46" s="2894"/>
      <c r="U46" s="2894"/>
      <c r="V46" s="2894"/>
      <c r="W46" s="2894"/>
      <c r="X46" s="2894"/>
      <c r="Y46" s="2894"/>
    </row>
    <row r="47" spans="1:30" x14ac:dyDescent="0.2">
      <c r="C47" s="2894"/>
      <c r="D47" s="2894"/>
      <c r="E47" s="2894"/>
      <c r="F47" s="2894"/>
      <c r="G47" s="2894"/>
      <c r="I47" s="2894"/>
      <c r="J47" s="2894"/>
      <c r="K47" s="2894"/>
      <c r="L47" s="2894"/>
      <c r="M47" s="2894"/>
      <c r="O47" s="2894"/>
      <c r="P47" s="2894"/>
      <c r="Q47" s="2894"/>
      <c r="R47" s="2894"/>
      <c r="S47" s="2894"/>
      <c r="U47" s="2894"/>
      <c r="V47" s="2894"/>
      <c r="W47" s="2894"/>
      <c r="X47" s="2894"/>
      <c r="Y47" s="2894"/>
    </row>
    <row r="48" spans="1:30" x14ac:dyDescent="0.2">
      <c r="C48" s="2894"/>
      <c r="D48" s="2894"/>
      <c r="E48" s="2894"/>
      <c r="F48" s="2894"/>
      <c r="G48" s="2894"/>
      <c r="I48" s="2894"/>
      <c r="J48" s="2894"/>
      <c r="K48" s="2894"/>
      <c r="L48" s="2894"/>
      <c r="M48" s="2894"/>
      <c r="O48" s="2894"/>
      <c r="P48" s="2894"/>
      <c r="Q48" s="2894"/>
      <c r="R48" s="2894"/>
      <c r="S48" s="2894"/>
      <c r="U48" s="2894"/>
      <c r="V48" s="2894"/>
      <c r="W48" s="2894"/>
      <c r="X48" s="2894"/>
      <c r="Y48" s="2894"/>
    </row>
    <row r="49" spans="3:25" x14ac:dyDescent="0.2">
      <c r="C49" s="2894"/>
      <c r="D49" s="2894"/>
      <c r="E49" s="2894"/>
      <c r="F49" s="2894"/>
      <c r="G49" s="2894"/>
      <c r="I49" s="2894"/>
      <c r="J49" s="2894"/>
      <c r="K49" s="2894"/>
      <c r="L49" s="2894"/>
      <c r="M49" s="2894"/>
      <c r="O49" s="2894"/>
      <c r="P49" s="2894"/>
      <c r="Q49" s="2894"/>
      <c r="R49" s="2894"/>
      <c r="S49" s="2894"/>
      <c r="U49" s="2894"/>
      <c r="V49" s="2894"/>
      <c r="W49" s="2894"/>
      <c r="X49" s="2894"/>
      <c r="Y49" s="2894"/>
    </row>
    <row r="50" spans="3:25" x14ac:dyDescent="0.2">
      <c r="C50" s="2894"/>
      <c r="D50" s="2894"/>
      <c r="E50" s="2894"/>
      <c r="F50" s="2894"/>
      <c r="G50" s="2894"/>
      <c r="I50" s="2894"/>
      <c r="J50" s="2894"/>
      <c r="K50" s="2894"/>
      <c r="L50" s="2894"/>
      <c r="M50" s="2894"/>
      <c r="O50" s="2894"/>
      <c r="P50" s="2894"/>
      <c r="Q50" s="2894"/>
      <c r="R50" s="2894"/>
      <c r="S50" s="2894"/>
      <c r="U50" s="2894"/>
      <c r="V50" s="2894"/>
      <c r="W50" s="2894"/>
      <c r="X50" s="2894"/>
      <c r="Y50" s="2894"/>
    </row>
    <row r="51" spans="3:25" x14ac:dyDescent="0.2">
      <c r="C51" s="2894"/>
      <c r="D51" s="2894"/>
      <c r="E51" s="2894"/>
      <c r="F51" s="2894"/>
      <c r="G51" s="2894"/>
      <c r="I51" s="2894"/>
      <c r="J51" s="2894"/>
      <c r="K51" s="2894"/>
      <c r="L51" s="2894"/>
      <c r="M51" s="2894"/>
      <c r="O51" s="2894"/>
      <c r="P51" s="2894"/>
      <c r="Q51" s="2894"/>
      <c r="R51" s="2894"/>
      <c r="S51" s="2894"/>
      <c r="U51" s="2894"/>
      <c r="V51" s="2894"/>
      <c r="W51" s="2894"/>
      <c r="X51" s="2894"/>
      <c r="Y51" s="2894"/>
    </row>
    <row r="52" spans="3:25" x14ac:dyDescent="0.2">
      <c r="C52" s="2894"/>
      <c r="D52" s="2894"/>
      <c r="E52" s="2894"/>
      <c r="F52" s="2894"/>
      <c r="G52" s="2894"/>
      <c r="I52" s="2894"/>
      <c r="J52" s="2894"/>
      <c r="K52" s="2894"/>
      <c r="L52" s="2894"/>
      <c r="M52" s="2894"/>
      <c r="O52" s="2894"/>
      <c r="P52" s="2894"/>
      <c r="Q52" s="2894"/>
      <c r="R52" s="2894"/>
      <c r="S52" s="2894"/>
      <c r="U52" s="2894"/>
      <c r="V52" s="2894"/>
      <c r="W52" s="2894"/>
      <c r="X52" s="2894"/>
      <c r="Y52" s="2894"/>
    </row>
    <row r="53" spans="3:25" x14ac:dyDescent="0.2">
      <c r="C53" s="2894"/>
      <c r="D53" s="2894"/>
      <c r="E53" s="2894"/>
      <c r="F53" s="2894"/>
      <c r="G53" s="2894"/>
      <c r="I53" s="2894"/>
      <c r="J53" s="2894"/>
      <c r="K53" s="2894"/>
      <c r="L53" s="2894"/>
      <c r="M53" s="2894"/>
      <c r="O53" s="2894"/>
      <c r="P53" s="2894"/>
      <c r="Q53" s="2894"/>
      <c r="R53" s="2894"/>
      <c r="S53" s="2894"/>
      <c r="U53" s="2894"/>
      <c r="V53" s="2894"/>
      <c r="W53" s="2894"/>
      <c r="X53" s="2894"/>
      <c r="Y53" s="2894"/>
    </row>
    <row r="54" spans="3:25" x14ac:dyDescent="0.2">
      <c r="C54" s="2894"/>
      <c r="D54" s="2894"/>
      <c r="E54" s="2894"/>
      <c r="F54" s="2894"/>
      <c r="G54" s="2894"/>
      <c r="I54" s="2894"/>
      <c r="J54" s="2894"/>
      <c r="K54" s="2894"/>
      <c r="L54" s="2894"/>
      <c r="M54" s="2894"/>
      <c r="O54" s="2894"/>
      <c r="P54" s="2894"/>
      <c r="Q54" s="2894"/>
      <c r="R54" s="2894"/>
      <c r="S54" s="2894"/>
      <c r="U54" s="2894"/>
      <c r="V54" s="2894"/>
      <c r="W54" s="2894"/>
      <c r="X54" s="2894"/>
      <c r="Y54" s="2894"/>
    </row>
    <row r="55" spans="3:25" x14ac:dyDescent="0.2">
      <c r="C55" s="2894"/>
      <c r="D55" s="2894"/>
      <c r="E55" s="2894"/>
      <c r="F55" s="2894"/>
      <c r="G55" s="2894"/>
      <c r="I55" s="2894"/>
      <c r="J55" s="2894"/>
      <c r="K55" s="2894"/>
      <c r="L55" s="2894"/>
      <c r="M55" s="2894"/>
      <c r="O55" s="2894"/>
      <c r="P55" s="2894"/>
      <c r="Q55" s="2894"/>
      <c r="R55" s="2894"/>
      <c r="S55" s="2894"/>
      <c r="U55" s="2894"/>
      <c r="V55" s="2894"/>
      <c r="W55" s="2894"/>
      <c r="X55" s="2894"/>
      <c r="Y55" s="2894"/>
    </row>
    <row r="56" spans="3:25" x14ac:dyDescent="0.2">
      <c r="C56" s="2894"/>
      <c r="D56" s="2894"/>
      <c r="E56" s="2894"/>
      <c r="F56" s="2894"/>
      <c r="G56" s="2894"/>
      <c r="I56" s="2894"/>
      <c r="J56" s="2894"/>
      <c r="K56" s="2894"/>
      <c r="L56" s="2894"/>
      <c r="M56" s="2894"/>
      <c r="O56" s="2894"/>
      <c r="P56" s="2894"/>
      <c r="Q56" s="2894"/>
      <c r="R56" s="2894"/>
      <c r="S56" s="2894"/>
      <c r="U56" s="2894"/>
      <c r="V56" s="2894"/>
      <c r="W56" s="2894"/>
      <c r="X56" s="2894"/>
      <c r="Y56" s="2894"/>
    </row>
    <row r="57" spans="3:25" x14ac:dyDescent="0.2">
      <c r="C57" s="2894"/>
      <c r="D57" s="2894"/>
      <c r="E57" s="2894"/>
      <c r="F57" s="2894"/>
      <c r="G57" s="2894"/>
      <c r="I57" s="2894"/>
      <c r="J57" s="2894"/>
      <c r="K57" s="2894"/>
      <c r="L57" s="2894"/>
      <c r="M57" s="2894"/>
      <c r="O57" s="2894"/>
      <c r="P57" s="2894"/>
      <c r="Q57" s="2894"/>
      <c r="R57" s="2894"/>
      <c r="S57" s="2894"/>
      <c r="U57" s="2894"/>
      <c r="V57" s="2894"/>
      <c r="W57" s="2894"/>
      <c r="X57" s="2894"/>
      <c r="Y57" s="2894"/>
    </row>
    <row r="58" spans="3:25" x14ac:dyDescent="0.2">
      <c r="C58" s="2894"/>
      <c r="D58" s="2894"/>
      <c r="E58" s="2894"/>
      <c r="F58" s="2894"/>
      <c r="G58" s="2894"/>
      <c r="I58" s="2894"/>
      <c r="J58" s="2894"/>
      <c r="K58" s="2894"/>
      <c r="L58" s="2894"/>
      <c r="M58" s="2894"/>
      <c r="O58" s="2894"/>
      <c r="P58" s="2894"/>
      <c r="Q58" s="2894"/>
      <c r="R58" s="2894"/>
      <c r="S58" s="2894"/>
      <c r="U58" s="2894"/>
      <c r="V58" s="2894"/>
      <c r="W58" s="2894"/>
      <c r="X58" s="2894"/>
      <c r="Y58" s="2894"/>
    </row>
    <row r="59" spans="3:25" x14ac:dyDescent="0.2">
      <c r="C59" s="2894"/>
      <c r="D59" s="2894"/>
      <c r="E59" s="2894"/>
      <c r="F59" s="2894"/>
      <c r="G59" s="2894"/>
      <c r="I59" s="2894"/>
      <c r="J59" s="2894"/>
      <c r="K59" s="2894"/>
      <c r="L59" s="2894"/>
      <c r="M59" s="2894"/>
      <c r="O59" s="2894"/>
      <c r="P59" s="2894"/>
      <c r="Q59" s="2894"/>
      <c r="R59" s="2894"/>
      <c r="S59" s="2894"/>
      <c r="U59" s="2894"/>
      <c r="V59" s="2894"/>
      <c r="W59" s="2894"/>
      <c r="X59" s="2894"/>
      <c r="Y59" s="2894"/>
    </row>
    <row r="60" spans="3:25" x14ac:dyDescent="0.2">
      <c r="C60" s="2894"/>
      <c r="D60" s="2894"/>
      <c r="E60" s="2894"/>
      <c r="F60" s="2894"/>
      <c r="G60" s="2894"/>
      <c r="I60" s="2894"/>
      <c r="J60" s="2894"/>
      <c r="K60" s="2894"/>
      <c r="L60" s="2894"/>
      <c r="M60" s="2894"/>
      <c r="O60" s="2894"/>
      <c r="P60" s="2894"/>
      <c r="Q60" s="2894"/>
      <c r="R60" s="2894"/>
      <c r="S60" s="2894"/>
      <c r="U60" s="2894"/>
      <c r="V60" s="2894"/>
      <c r="W60" s="2894"/>
      <c r="X60" s="2894"/>
      <c r="Y60" s="2894"/>
    </row>
    <row r="61" spans="3:25" x14ac:dyDescent="0.2">
      <c r="C61" s="2894"/>
      <c r="D61" s="2894"/>
      <c r="E61" s="2894"/>
      <c r="F61" s="2894"/>
      <c r="G61" s="2894"/>
      <c r="I61" s="2894"/>
      <c r="J61" s="2894"/>
      <c r="K61" s="2894"/>
      <c r="L61" s="2894"/>
      <c r="M61" s="2894"/>
      <c r="O61" s="2894"/>
      <c r="P61" s="2894"/>
      <c r="Q61" s="2894"/>
      <c r="R61" s="2894"/>
      <c r="S61" s="2894"/>
      <c r="U61" s="2894"/>
      <c r="V61" s="2894"/>
      <c r="W61" s="2894"/>
      <c r="X61" s="2894"/>
      <c r="Y61" s="2894"/>
    </row>
    <row r="62" spans="3:25" x14ac:dyDescent="0.2">
      <c r="C62" s="2894"/>
      <c r="D62" s="2894"/>
      <c r="E62" s="2894"/>
      <c r="F62" s="2894"/>
      <c r="G62" s="2894"/>
      <c r="I62" s="2894"/>
      <c r="J62" s="2894"/>
      <c r="K62" s="2894"/>
      <c r="L62" s="2894"/>
      <c r="M62" s="2894"/>
      <c r="O62" s="2894"/>
      <c r="P62" s="2894"/>
      <c r="Q62" s="2894"/>
      <c r="R62" s="2894"/>
      <c r="S62" s="2894"/>
      <c r="U62" s="2894"/>
      <c r="V62" s="2894"/>
      <c r="W62" s="2894"/>
      <c r="X62" s="2894"/>
      <c r="Y62" s="2894"/>
    </row>
    <row r="63" spans="3:25" x14ac:dyDescent="0.2">
      <c r="C63" s="2894"/>
      <c r="D63" s="2894"/>
      <c r="E63" s="2894"/>
      <c r="F63" s="2894"/>
      <c r="G63" s="2894"/>
      <c r="I63" s="2894"/>
      <c r="J63" s="2894"/>
      <c r="K63" s="2894"/>
      <c r="L63" s="2894"/>
      <c r="M63" s="2894"/>
      <c r="O63" s="2894"/>
      <c r="P63" s="2894"/>
      <c r="Q63" s="2894"/>
      <c r="R63" s="2894"/>
      <c r="S63" s="2894"/>
      <c r="U63" s="2894"/>
      <c r="V63" s="2894"/>
      <c r="W63" s="2894"/>
      <c r="X63" s="2894"/>
      <c r="Y63" s="2894"/>
    </row>
    <row r="64" spans="3:25" x14ac:dyDescent="0.2">
      <c r="C64" s="2894"/>
      <c r="D64" s="2894"/>
      <c r="E64" s="2894"/>
      <c r="F64" s="2894"/>
      <c r="G64" s="2894"/>
      <c r="I64" s="2894"/>
      <c r="J64" s="2894"/>
      <c r="K64" s="2894"/>
      <c r="L64" s="2894"/>
      <c r="M64" s="2894"/>
      <c r="O64" s="2894"/>
      <c r="P64" s="2894"/>
      <c r="Q64" s="2894"/>
      <c r="R64" s="2894"/>
      <c r="S64" s="2894"/>
      <c r="U64" s="2894"/>
      <c r="V64" s="2894"/>
      <c r="W64" s="2894"/>
      <c r="X64" s="2894"/>
      <c r="Y64" s="2894"/>
    </row>
    <row r="65" spans="1:25" x14ac:dyDescent="0.2">
      <c r="C65" s="2894"/>
      <c r="D65" s="2894"/>
      <c r="E65" s="2894"/>
      <c r="F65" s="2894"/>
      <c r="G65" s="2894"/>
      <c r="I65" s="2894"/>
      <c r="J65" s="2894"/>
      <c r="K65" s="2894"/>
      <c r="L65" s="2894"/>
      <c r="M65" s="2894"/>
      <c r="O65" s="2894"/>
      <c r="P65" s="2894"/>
      <c r="Q65" s="2894"/>
      <c r="R65" s="2894"/>
      <c r="S65" s="2894"/>
      <c r="U65" s="2894"/>
      <c r="V65" s="2894"/>
      <c r="W65" s="2894"/>
      <c r="X65" s="2894"/>
      <c r="Y65" s="2894"/>
    </row>
    <row r="66" spans="1:25" x14ac:dyDescent="0.2">
      <c r="C66" s="2894"/>
      <c r="D66" s="2894"/>
      <c r="E66" s="2894"/>
      <c r="F66" s="2894"/>
      <c r="G66" s="2894"/>
      <c r="I66" s="2894"/>
      <c r="J66" s="2894"/>
      <c r="K66" s="2894"/>
      <c r="L66" s="2894"/>
      <c r="M66" s="2894"/>
      <c r="O66" s="2894"/>
      <c r="P66" s="2894"/>
      <c r="Q66" s="2894"/>
      <c r="R66" s="2894"/>
      <c r="S66" s="2894"/>
      <c r="U66" s="2894"/>
      <c r="V66" s="2894"/>
      <c r="W66" s="2894"/>
      <c r="X66" s="2894"/>
      <c r="Y66" s="2894"/>
    </row>
    <row r="67" spans="1:25" x14ac:dyDescent="0.2">
      <c r="C67" s="2894"/>
      <c r="D67" s="2894"/>
      <c r="E67" s="2894"/>
      <c r="F67" s="2894"/>
      <c r="G67" s="2894"/>
      <c r="I67" s="2894"/>
      <c r="J67" s="2894"/>
      <c r="K67" s="2894"/>
      <c r="L67" s="2894"/>
      <c r="M67" s="2894"/>
      <c r="O67" s="2894"/>
      <c r="P67" s="2894"/>
      <c r="Q67" s="2894"/>
      <c r="R67" s="2894"/>
      <c r="S67" s="2894"/>
      <c r="U67" s="2894"/>
      <c r="V67" s="2894"/>
      <c r="W67" s="2894"/>
      <c r="X67" s="2894"/>
      <c r="Y67" s="2894"/>
    </row>
    <row r="68" spans="1:25" x14ac:dyDescent="0.2">
      <c r="C68" s="2894"/>
      <c r="D68" s="2894"/>
      <c r="E68" s="2894"/>
      <c r="F68" s="2894"/>
      <c r="G68" s="2894"/>
      <c r="I68" s="2894"/>
      <c r="J68" s="2894"/>
      <c r="K68" s="2894"/>
      <c r="L68" s="2894"/>
      <c r="M68" s="2894"/>
      <c r="O68" s="2894"/>
      <c r="P68" s="2894"/>
      <c r="Q68" s="2894"/>
      <c r="R68" s="2894"/>
      <c r="S68" s="2894"/>
      <c r="U68" s="2894"/>
      <c r="V68" s="2894"/>
      <c r="W68" s="2894"/>
      <c r="X68" s="2894"/>
      <c r="Y68" s="2894"/>
    </row>
    <row r="69" spans="1:25" x14ac:dyDescent="0.2">
      <c r="C69" s="2894"/>
      <c r="D69" s="2894"/>
      <c r="E69" s="2894"/>
      <c r="F69" s="2894"/>
      <c r="G69" s="2894"/>
      <c r="I69" s="2894"/>
      <c r="J69" s="2894"/>
      <c r="K69" s="2894"/>
      <c r="L69" s="2894"/>
      <c r="M69" s="2894"/>
      <c r="O69" s="2894"/>
      <c r="P69" s="2894"/>
      <c r="Q69" s="2894"/>
      <c r="R69" s="2894"/>
      <c r="S69" s="2894"/>
      <c r="U69" s="2894"/>
      <c r="V69" s="2894"/>
      <c r="W69" s="2894"/>
      <c r="X69" s="2894"/>
      <c r="Y69" s="2894"/>
    </row>
    <row r="70" spans="1:25" ht="18" customHeight="1" x14ac:dyDescent="0.2">
      <c r="A70" s="22" t="s">
        <v>723</v>
      </c>
      <c r="B70" s="22"/>
      <c r="C70" s="2896">
        <v>1</v>
      </c>
      <c r="D70" s="2896"/>
      <c r="E70" s="2897">
        <f>E$8</f>
        <v>0</v>
      </c>
      <c r="F70" s="2897"/>
      <c r="G70" s="16"/>
      <c r="H70" s="4"/>
      <c r="I70" s="2896">
        <v>2</v>
      </c>
      <c r="J70" s="2896"/>
      <c r="K70" s="2897">
        <f>K$8</f>
        <v>0</v>
      </c>
      <c r="L70" s="2897"/>
      <c r="M70" s="16"/>
      <c r="N70" s="4"/>
      <c r="O70" s="2896">
        <v>3</v>
      </c>
      <c r="P70" s="2896"/>
      <c r="Q70" s="2897">
        <f>Q$8</f>
        <v>0</v>
      </c>
      <c r="R70" s="2897"/>
      <c r="S70" s="16"/>
      <c r="T70" s="4"/>
      <c r="U70" s="2896">
        <v>4</v>
      </c>
      <c r="V70" s="2896"/>
      <c r="W70" s="2897">
        <f>W$8</f>
        <v>0</v>
      </c>
      <c r="X70" s="2897"/>
      <c r="Y70" s="16"/>
    </row>
    <row r="71" spans="1:25" ht="27.7" customHeight="1" x14ac:dyDescent="0.2">
      <c r="A71" s="1374" t="str">
        <f>Projektdaten!G31</f>
        <v>Förderbeiträge berücksichtigen</v>
      </c>
      <c r="B71" s="1375" t="s">
        <v>4</v>
      </c>
      <c r="C71" s="5"/>
      <c r="D71" s="5"/>
      <c r="E71" s="2895">
        <f>E$9</f>
        <v>0</v>
      </c>
      <c r="F71" s="2895"/>
      <c r="G71" s="12"/>
      <c r="H71" s="4"/>
      <c r="I71" s="5"/>
      <c r="J71" s="5"/>
      <c r="K71" s="2895">
        <f>K$9</f>
        <v>0</v>
      </c>
      <c r="L71" s="2895"/>
      <c r="M71" s="12"/>
      <c r="N71" s="4"/>
      <c r="O71" s="5"/>
      <c r="P71" s="5"/>
      <c r="Q71" s="2895">
        <f>Q$9</f>
        <v>0</v>
      </c>
      <c r="R71" s="2895"/>
      <c r="S71" s="12"/>
      <c r="T71" s="4"/>
      <c r="U71" s="5"/>
      <c r="V71" s="5"/>
      <c r="W71" s="2895">
        <f>W$9</f>
        <v>0</v>
      </c>
      <c r="X71" s="2895"/>
      <c r="Y71" s="12"/>
    </row>
    <row r="72" spans="1:25" ht="5.95" customHeight="1" x14ac:dyDescent="0.2">
      <c r="A72" s="4"/>
      <c r="B72" s="4"/>
      <c r="C72" s="5"/>
      <c r="D72" s="5"/>
      <c r="E72" s="5"/>
      <c r="F72" s="5"/>
      <c r="G72" s="5"/>
      <c r="H72" s="4"/>
      <c r="I72" s="5"/>
      <c r="J72" s="5"/>
      <c r="K72" s="5"/>
      <c r="L72" s="5"/>
      <c r="M72" s="5"/>
      <c r="N72" s="4"/>
      <c r="O72" s="5"/>
      <c r="P72" s="5"/>
      <c r="Q72" s="5"/>
      <c r="R72" s="5"/>
      <c r="S72" s="5"/>
      <c r="T72" s="4"/>
      <c r="U72" s="5"/>
      <c r="V72" s="5"/>
      <c r="W72" s="5"/>
      <c r="X72" s="5"/>
      <c r="Y72" s="5"/>
    </row>
    <row r="73" spans="1:25" ht="12.75" customHeight="1" x14ac:dyDescent="0.2">
      <c r="A73" s="1373"/>
      <c r="B73" s="1373"/>
      <c r="C73" s="2894"/>
      <c r="D73" s="2894"/>
      <c r="E73" s="2894"/>
      <c r="F73" s="2894"/>
      <c r="G73" s="2894"/>
      <c r="H73" s="15"/>
      <c r="I73" s="2894"/>
      <c r="J73" s="2894"/>
      <c r="K73" s="2894"/>
      <c r="L73" s="2894"/>
      <c r="M73" s="2894"/>
      <c r="N73" s="15"/>
      <c r="O73" s="2894"/>
      <c r="P73" s="2894"/>
      <c r="Q73" s="2894"/>
      <c r="R73" s="2894"/>
      <c r="S73" s="2894"/>
      <c r="T73" s="15"/>
      <c r="U73" s="2894"/>
      <c r="V73" s="2894"/>
      <c r="W73" s="2894"/>
      <c r="X73" s="2894"/>
      <c r="Y73" s="2894"/>
    </row>
    <row r="74" spans="1:25" x14ac:dyDescent="0.2">
      <c r="A74" s="1373"/>
      <c r="B74" s="1373"/>
      <c r="C74" s="2894"/>
      <c r="D74" s="2894"/>
      <c r="E74" s="2894"/>
      <c r="F74" s="2894"/>
      <c r="G74" s="2894"/>
      <c r="I74" s="2894"/>
      <c r="J74" s="2894"/>
      <c r="K74" s="2894"/>
      <c r="L74" s="2894"/>
      <c r="M74" s="2894"/>
      <c r="O74" s="2894"/>
      <c r="P74" s="2894"/>
      <c r="Q74" s="2894"/>
      <c r="R74" s="2894"/>
      <c r="S74" s="2894"/>
      <c r="U74" s="2894"/>
      <c r="V74" s="2894"/>
      <c r="W74" s="2894"/>
      <c r="X74" s="2894"/>
      <c r="Y74" s="2894"/>
    </row>
    <row r="75" spans="1:25" x14ac:dyDescent="0.2">
      <c r="A75" s="1373"/>
      <c r="B75" s="1373"/>
      <c r="C75" s="2894"/>
      <c r="D75" s="2894"/>
      <c r="E75" s="2894"/>
      <c r="F75" s="2894"/>
      <c r="G75" s="2894"/>
      <c r="I75" s="2894"/>
      <c r="J75" s="2894"/>
      <c r="K75" s="2894"/>
      <c r="L75" s="2894"/>
      <c r="M75" s="2894"/>
      <c r="O75" s="2894"/>
      <c r="P75" s="2894"/>
      <c r="Q75" s="2894"/>
      <c r="R75" s="2894"/>
      <c r="S75" s="2894"/>
      <c r="U75" s="2894"/>
      <c r="V75" s="2894"/>
      <c r="W75" s="2894"/>
      <c r="X75" s="2894"/>
      <c r="Y75" s="2894"/>
    </row>
    <row r="76" spans="1:25" x14ac:dyDescent="0.2">
      <c r="C76" s="2894"/>
      <c r="D76" s="2894"/>
      <c r="E76" s="2894"/>
      <c r="F76" s="2894"/>
      <c r="G76" s="2894"/>
      <c r="I76" s="2894"/>
      <c r="J76" s="2894"/>
      <c r="K76" s="2894"/>
      <c r="L76" s="2894"/>
      <c r="M76" s="2894"/>
      <c r="O76" s="2894"/>
      <c r="P76" s="2894"/>
      <c r="Q76" s="2894"/>
      <c r="R76" s="2894"/>
      <c r="S76" s="2894"/>
      <c r="U76" s="2894"/>
      <c r="V76" s="2894"/>
      <c r="W76" s="2894"/>
      <c r="X76" s="2894"/>
      <c r="Y76" s="2894"/>
    </row>
    <row r="77" spans="1:25" x14ac:dyDescent="0.2">
      <c r="C77" s="2894"/>
      <c r="D77" s="2894"/>
      <c r="E77" s="2894"/>
      <c r="F77" s="2894"/>
      <c r="G77" s="2894"/>
      <c r="I77" s="2894"/>
      <c r="J77" s="2894"/>
      <c r="K77" s="2894"/>
      <c r="L77" s="2894"/>
      <c r="M77" s="2894"/>
      <c r="O77" s="2894"/>
      <c r="P77" s="2894"/>
      <c r="Q77" s="2894"/>
      <c r="R77" s="2894"/>
      <c r="S77" s="2894"/>
      <c r="U77" s="2894"/>
      <c r="V77" s="2894"/>
      <c r="W77" s="2894"/>
      <c r="X77" s="2894"/>
      <c r="Y77" s="2894"/>
    </row>
    <row r="78" spans="1:25" x14ac:dyDescent="0.2">
      <c r="C78" s="2894"/>
      <c r="D78" s="2894"/>
      <c r="E78" s="2894"/>
      <c r="F78" s="2894"/>
      <c r="G78" s="2894"/>
      <c r="I78" s="2894"/>
      <c r="J78" s="2894"/>
      <c r="K78" s="2894"/>
      <c r="L78" s="2894"/>
      <c r="M78" s="2894"/>
      <c r="O78" s="2894"/>
      <c r="P78" s="2894"/>
      <c r="Q78" s="2894"/>
      <c r="R78" s="2894"/>
      <c r="S78" s="2894"/>
      <c r="U78" s="2894"/>
      <c r="V78" s="2894"/>
      <c r="W78" s="2894"/>
      <c r="X78" s="2894"/>
      <c r="Y78" s="2894"/>
    </row>
    <row r="79" spans="1:25" x14ac:dyDescent="0.2">
      <c r="C79" s="2894"/>
      <c r="D79" s="2894"/>
      <c r="E79" s="2894"/>
      <c r="F79" s="2894"/>
      <c r="G79" s="2894"/>
      <c r="I79" s="2894"/>
      <c r="J79" s="2894"/>
      <c r="K79" s="2894"/>
      <c r="L79" s="2894"/>
      <c r="M79" s="2894"/>
      <c r="O79" s="2894"/>
      <c r="P79" s="2894"/>
      <c r="Q79" s="2894"/>
      <c r="R79" s="2894"/>
      <c r="S79" s="2894"/>
      <c r="U79" s="2894"/>
      <c r="V79" s="2894"/>
      <c r="W79" s="2894"/>
      <c r="X79" s="2894"/>
      <c r="Y79" s="2894"/>
    </row>
    <row r="80" spans="1:25" x14ac:dyDescent="0.2">
      <c r="C80" s="2894"/>
      <c r="D80" s="2894"/>
      <c r="E80" s="2894"/>
      <c r="F80" s="2894"/>
      <c r="G80" s="2894"/>
      <c r="I80" s="2894"/>
      <c r="J80" s="2894"/>
      <c r="K80" s="2894"/>
      <c r="L80" s="2894"/>
      <c r="M80" s="2894"/>
      <c r="O80" s="2894"/>
      <c r="P80" s="2894"/>
      <c r="Q80" s="2894"/>
      <c r="R80" s="2894"/>
      <c r="S80" s="2894"/>
      <c r="U80" s="2894"/>
      <c r="V80" s="2894"/>
      <c r="W80" s="2894"/>
      <c r="X80" s="2894"/>
      <c r="Y80" s="2894"/>
    </row>
    <row r="81" spans="3:25" x14ac:dyDescent="0.2">
      <c r="C81" s="2894"/>
      <c r="D81" s="2894"/>
      <c r="E81" s="2894"/>
      <c r="F81" s="2894"/>
      <c r="G81" s="2894"/>
      <c r="I81" s="2894"/>
      <c r="J81" s="2894"/>
      <c r="K81" s="2894"/>
      <c r="L81" s="2894"/>
      <c r="M81" s="2894"/>
      <c r="O81" s="2894"/>
      <c r="P81" s="2894"/>
      <c r="Q81" s="2894"/>
      <c r="R81" s="2894"/>
      <c r="S81" s="2894"/>
      <c r="U81" s="2894"/>
      <c r="V81" s="2894"/>
      <c r="W81" s="2894"/>
      <c r="X81" s="2894"/>
      <c r="Y81" s="2894"/>
    </row>
    <row r="82" spans="3:25" x14ac:dyDescent="0.2">
      <c r="C82" s="2894"/>
      <c r="D82" s="2894"/>
      <c r="E82" s="2894"/>
      <c r="F82" s="2894"/>
      <c r="G82" s="2894"/>
      <c r="I82" s="2894"/>
      <c r="J82" s="2894"/>
      <c r="K82" s="2894"/>
      <c r="L82" s="2894"/>
      <c r="M82" s="2894"/>
      <c r="O82" s="2894"/>
      <c r="P82" s="2894"/>
      <c r="Q82" s="2894"/>
      <c r="R82" s="2894"/>
      <c r="S82" s="2894"/>
      <c r="U82" s="2894"/>
      <c r="V82" s="2894"/>
      <c r="W82" s="2894"/>
      <c r="X82" s="2894"/>
      <c r="Y82" s="2894"/>
    </row>
    <row r="83" spans="3:25" x14ac:dyDescent="0.2">
      <c r="C83" s="2894"/>
      <c r="D83" s="2894"/>
      <c r="E83" s="2894"/>
      <c r="F83" s="2894"/>
      <c r="G83" s="2894"/>
      <c r="I83" s="2894"/>
      <c r="J83" s="2894"/>
      <c r="K83" s="2894"/>
      <c r="L83" s="2894"/>
      <c r="M83" s="2894"/>
      <c r="O83" s="2894"/>
      <c r="P83" s="2894"/>
      <c r="Q83" s="2894"/>
      <c r="R83" s="2894"/>
      <c r="S83" s="2894"/>
      <c r="U83" s="2894"/>
      <c r="V83" s="2894"/>
      <c r="W83" s="2894"/>
      <c r="X83" s="2894"/>
      <c r="Y83" s="2894"/>
    </row>
    <row r="84" spans="3:25" x14ac:dyDescent="0.2">
      <c r="C84" s="2894"/>
      <c r="D84" s="2894"/>
      <c r="E84" s="2894"/>
      <c r="F84" s="2894"/>
      <c r="G84" s="2894"/>
      <c r="I84" s="2894"/>
      <c r="J84" s="2894"/>
      <c r="K84" s="2894"/>
      <c r="L84" s="2894"/>
      <c r="M84" s="2894"/>
      <c r="O84" s="2894"/>
      <c r="P84" s="2894"/>
      <c r="Q84" s="2894"/>
      <c r="R84" s="2894"/>
      <c r="S84" s="2894"/>
      <c r="U84" s="2894"/>
      <c r="V84" s="2894"/>
      <c r="W84" s="2894"/>
      <c r="X84" s="2894"/>
      <c r="Y84" s="2894"/>
    </row>
    <row r="85" spans="3:25" x14ac:dyDescent="0.2">
      <c r="C85" s="2894"/>
      <c r="D85" s="2894"/>
      <c r="E85" s="2894"/>
      <c r="F85" s="2894"/>
      <c r="G85" s="2894"/>
      <c r="I85" s="2894"/>
      <c r="J85" s="2894"/>
      <c r="K85" s="2894"/>
      <c r="L85" s="2894"/>
      <c r="M85" s="2894"/>
      <c r="O85" s="2894"/>
      <c r="P85" s="2894"/>
      <c r="Q85" s="2894"/>
      <c r="R85" s="2894"/>
      <c r="S85" s="2894"/>
      <c r="U85" s="2894"/>
      <c r="V85" s="2894"/>
      <c r="W85" s="2894"/>
      <c r="X85" s="2894"/>
      <c r="Y85" s="2894"/>
    </row>
    <row r="86" spans="3:25" x14ac:dyDescent="0.2">
      <c r="C86" s="2894"/>
      <c r="D86" s="2894"/>
      <c r="E86" s="2894"/>
      <c r="F86" s="2894"/>
      <c r="G86" s="2894"/>
      <c r="I86" s="2894"/>
      <c r="J86" s="2894"/>
      <c r="K86" s="2894"/>
      <c r="L86" s="2894"/>
      <c r="M86" s="2894"/>
      <c r="O86" s="2894"/>
      <c r="P86" s="2894"/>
      <c r="Q86" s="2894"/>
      <c r="R86" s="2894"/>
      <c r="S86" s="2894"/>
      <c r="U86" s="2894"/>
      <c r="V86" s="2894"/>
      <c r="W86" s="2894"/>
      <c r="X86" s="2894"/>
      <c r="Y86" s="2894"/>
    </row>
    <row r="87" spans="3:25" x14ac:dyDescent="0.2">
      <c r="C87" s="2894"/>
      <c r="D87" s="2894"/>
      <c r="E87" s="2894"/>
      <c r="F87" s="2894"/>
      <c r="G87" s="2894"/>
      <c r="I87" s="2894"/>
      <c r="J87" s="2894"/>
      <c r="K87" s="2894"/>
      <c r="L87" s="2894"/>
      <c r="M87" s="2894"/>
      <c r="O87" s="2894"/>
      <c r="P87" s="2894"/>
      <c r="Q87" s="2894"/>
      <c r="R87" s="2894"/>
      <c r="S87" s="2894"/>
      <c r="U87" s="2894"/>
      <c r="V87" s="2894"/>
      <c r="W87" s="2894"/>
      <c r="X87" s="2894"/>
      <c r="Y87" s="2894"/>
    </row>
    <row r="88" spans="3:25" x14ac:dyDescent="0.2">
      <c r="C88" s="2894"/>
      <c r="D88" s="2894"/>
      <c r="E88" s="2894"/>
      <c r="F88" s="2894"/>
      <c r="G88" s="2894"/>
      <c r="I88" s="2894"/>
      <c r="J88" s="2894"/>
      <c r="K88" s="2894"/>
      <c r="L88" s="2894"/>
      <c r="M88" s="2894"/>
      <c r="O88" s="2894"/>
      <c r="P88" s="2894"/>
      <c r="Q88" s="2894"/>
      <c r="R88" s="2894"/>
      <c r="S88" s="2894"/>
      <c r="U88" s="2894"/>
      <c r="V88" s="2894"/>
      <c r="W88" s="2894"/>
      <c r="X88" s="2894"/>
      <c r="Y88" s="2894"/>
    </row>
    <row r="89" spans="3:25" x14ac:dyDescent="0.2">
      <c r="C89" s="2894"/>
      <c r="D89" s="2894"/>
      <c r="E89" s="2894"/>
      <c r="F89" s="2894"/>
      <c r="G89" s="2894"/>
      <c r="I89" s="2894"/>
      <c r="J89" s="2894"/>
      <c r="K89" s="2894"/>
      <c r="L89" s="2894"/>
      <c r="M89" s="2894"/>
      <c r="O89" s="2894"/>
      <c r="P89" s="2894"/>
      <c r="Q89" s="2894"/>
      <c r="R89" s="2894"/>
      <c r="S89" s="2894"/>
      <c r="U89" s="2894"/>
      <c r="V89" s="2894"/>
      <c r="W89" s="2894"/>
      <c r="X89" s="2894"/>
      <c r="Y89" s="2894"/>
    </row>
    <row r="90" spans="3:25" x14ac:dyDescent="0.2">
      <c r="C90" s="2894"/>
      <c r="D90" s="2894"/>
      <c r="E90" s="2894"/>
      <c r="F90" s="2894"/>
      <c r="G90" s="2894"/>
      <c r="I90" s="2894"/>
      <c r="J90" s="2894"/>
      <c r="K90" s="2894"/>
      <c r="L90" s="2894"/>
      <c r="M90" s="2894"/>
      <c r="O90" s="2894"/>
      <c r="P90" s="2894"/>
      <c r="Q90" s="2894"/>
      <c r="R90" s="2894"/>
      <c r="S90" s="2894"/>
      <c r="U90" s="2894"/>
      <c r="V90" s="2894"/>
      <c r="W90" s="2894"/>
      <c r="X90" s="2894"/>
      <c r="Y90" s="2894"/>
    </row>
    <row r="91" spans="3:25" x14ac:dyDescent="0.2">
      <c r="C91" s="2894"/>
      <c r="D91" s="2894"/>
      <c r="E91" s="2894"/>
      <c r="F91" s="2894"/>
      <c r="G91" s="2894"/>
      <c r="I91" s="2894"/>
      <c r="J91" s="2894"/>
      <c r="K91" s="2894"/>
      <c r="L91" s="2894"/>
      <c r="M91" s="2894"/>
      <c r="O91" s="2894"/>
      <c r="P91" s="2894"/>
      <c r="Q91" s="2894"/>
      <c r="R91" s="2894"/>
      <c r="S91" s="2894"/>
      <c r="U91" s="2894"/>
      <c r="V91" s="2894"/>
      <c r="W91" s="2894"/>
      <c r="X91" s="2894"/>
      <c r="Y91" s="2894"/>
    </row>
    <row r="92" spans="3:25" x14ac:dyDescent="0.2">
      <c r="C92" s="2894"/>
      <c r="D92" s="2894"/>
      <c r="E92" s="2894"/>
      <c r="F92" s="2894"/>
      <c r="G92" s="2894"/>
      <c r="I92" s="2894"/>
      <c r="J92" s="2894"/>
      <c r="K92" s="2894"/>
      <c r="L92" s="2894"/>
      <c r="M92" s="2894"/>
      <c r="O92" s="2894"/>
      <c r="P92" s="2894"/>
      <c r="Q92" s="2894"/>
      <c r="R92" s="2894"/>
      <c r="S92" s="2894"/>
      <c r="U92" s="2894"/>
      <c r="V92" s="2894"/>
      <c r="W92" s="2894"/>
      <c r="X92" s="2894"/>
      <c r="Y92" s="2894"/>
    </row>
    <row r="93" spans="3:25" x14ac:dyDescent="0.2">
      <c r="C93" s="2894"/>
      <c r="D93" s="2894"/>
      <c r="E93" s="2894"/>
      <c r="F93" s="2894"/>
      <c r="G93" s="2894"/>
      <c r="I93" s="2894"/>
      <c r="J93" s="2894"/>
      <c r="K93" s="2894"/>
      <c r="L93" s="2894"/>
      <c r="M93" s="2894"/>
      <c r="O93" s="2894"/>
      <c r="P93" s="2894"/>
      <c r="Q93" s="2894"/>
      <c r="R93" s="2894"/>
      <c r="S93" s="2894"/>
      <c r="U93" s="2894"/>
      <c r="V93" s="2894"/>
      <c r="W93" s="2894"/>
      <c r="X93" s="2894"/>
      <c r="Y93" s="2894"/>
    </row>
    <row r="94" spans="3:25" x14ac:dyDescent="0.2">
      <c r="C94" s="2894"/>
      <c r="D94" s="2894"/>
      <c r="E94" s="2894"/>
      <c r="F94" s="2894"/>
      <c r="G94" s="2894"/>
      <c r="I94" s="2894"/>
      <c r="J94" s="2894"/>
      <c r="K94" s="2894"/>
      <c r="L94" s="2894"/>
      <c r="M94" s="2894"/>
      <c r="O94" s="2894"/>
      <c r="P94" s="2894"/>
      <c r="Q94" s="2894"/>
      <c r="R94" s="2894"/>
      <c r="S94" s="2894"/>
      <c r="U94" s="2894"/>
      <c r="V94" s="2894"/>
      <c r="W94" s="2894"/>
      <c r="X94" s="2894"/>
      <c r="Y94" s="2894"/>
    </row>
    <row r="95" spans="3:25" x14ac:dyDescent="0.2">
      <c r="C95" s="2894"/>
      <c r="D95" s="2894"/>
      <c r="E95" s="2894"/>
      <c r="F95" s="2894"/>
      <c r="G95" s="2894"/>
      <c r="I95" s="2894"/>
      <c r="J95" s="2894"/>
      <c r="K95" s="2894"/>
      <c r="L95" s="2894"/>
      <c r="M95" s="2894"/>
      <c r="O95" s="2894"/>
      <c r="P95" s="2894"/>
      <c r="Q95" s="2894"/>
      <c r="R95" s="2894"/>
      <c r="S95" s="2894"/>
      <c r="U95" s="2894"/>
      <c r="V95" s="2894"/>
      <c r="W95" s="2894"/>
      <c r="X95" s="2894"/>
      <c r="Y95" s="2894"/>
    </row>
    <row r="96" spans="3:25" x14ac:dyDescent="0.2">
      <c r="C96" s="2894"/>
      <c r="D96" s="2894"/>
      <c r="E96" s="2894"/>
      <c r="F96" s="2894"/>
      <c r="G96" s="2894"/>
      <c r="I96" s="2894"/>
      <c r="J96" s="2894"/>
      <c r="K96" s="2894"/>
      <c r="L96" s="2894"/>
      <c r="M96" s="2894"/>
      <c r="O96" s="2894"/>
      <c r="P96" s="2894"/>
      <c r="Q96" s="2894"/>
      <c r="R96" s="2894"/>
      <c r="S96" s="2894"/>
      <c r="U96" s="2894"/>
      <c r="V96" s="2894"/>
      <c r="W96" s="2894"/>
      <c r="X96" s="2894"/>
      <c r="Y96" s="2894"/>
    </row>
    <row r="97" spans="1:25" x14ac:dyDescent="0.2">
      <c r="C97" s="2894"/>
      <c r="D97" s="2894"/>
      <c r="E97" s="2894"/>
      <c r="F97" s="2894"/>
      <c r="G97" s="2894"/>
      <c r="I97" s="2894"/>
      <c r="J97" s="2894"/>
      <c r="K97" s="2894"/>
      <c r="L97" s="2894"/>
      <c r="M97" s="2894"/>
      <c r="O97" s="2894"/>
      <c r="P97" s="2894"/>
      <c r="Q97" s="2894"/>
      <c r="R97" s="2894"/>
      <c r="S97" s="2894"/>
      <c r="U97" s="2894"/>
      <c r="V97" s="2894"/>
      <c r="W97" s="2894"/>
      <c r="X97" s="2894"/>
      <c r="Y97" s="2894"/>
    </row>
    <row r="98" spans="1:25" ht="18" customHeight="1" x14ac:dyDescent="0.2">
      <c r="A98" s="22" t="s">
        <v>2</v>
      </c>
      <c r="B98" s="22"/>
      <c r="C98" s="2896">
        <v>1</v>
      </c>
      <c r="D98" s="2896"/>
      <c r="E98" s="2897">
        <f>E$8</f>
        <v>0</v>
      </c>
      <c r="F98" s="2897"/>
      <c r="G98" s="113"/>
      <c r="H98" s="4"/>
      <c r="I98" s="2896">
        <v>2</v>
      </c>
      <c r="J98" s="2896"/>
      <c r="K98" s="2897">
        <f>K$8</f>
        <v>0</v>
      </c>
      <c r="L98" s="2897"/>
      <c r="M98" s="113"/>
      <c r="N98" s="4"/>
      <c r="O98" s="2896">
        <v>3</v>
      </c>
      <c r="P98" s="2896"/>
      <c r="Q98" s="2897">
        <f>Q$8</f>
        <v>0</v>
      </c>
      <c r="R98" s="2897"/>
      <c r="S98" s="113"/>
      <c r="T98" s="4"/>
      <c r="U98" s="2896">
        <v>4</v>
      </c>
      <c r="V98" s="2896"/>
      <c r="W98" s="2897">
        <f>W$8</f>
        <v>0</v>
      </c>
      <c r="X98" s="2897"/>
      <c r="Y98" s="113"/>
    </row>
    <row r="99" spans="1:25" ht="27.7" customHeight="1" x14ac:dyDescent="0.2">
      <c r="B99" s="1375" t="s">
        <v>5</v>
      </c>
      <c r="C99" s="5"/>
      <c r="D99" s="5"/>
      <c r="E99" s="2895">
        <f>E$9</f>
        <v>0</v>
      </c>
      <c r="F99" s="2895"/>
      <c r="G99" s="12"/>
      <c r="H99" s="4"/>
      <c r="I99" s="5"/>
      <c r="J99" s="5"/>
      <c r="K99" s="2895">
        <f>K$9</f>
        <v>0</v>
      </c>
      <c r="L99" s="2895"/>
      <c r="M99" s="12"/>
      <c r="N99" s="4"/>
      <c r="O99" s="5"/>
      <c r="P99" s="5"/>
      <c r="Q99" s="2895">
        <f>Q$9</f>
        <v>0</v>
      </c>
      <c r="R99" s="2895"/>
      <c r="S99" s="12"/>
      <c r="T99" s="4"/>
      <c r="U99" s="5"/>
      <c r="V99" s="5"/>
      <c r="W99" s="2895">
        <f>W$9</f>
        <v>0</v>
      </c>
      <c r="X99" s="2895"/>
      <c r="Y99" s="12"/>
    </row>
    <row r="100" spans="1:25" ht="5.95" customHeight="1" x14ac:dyDescent="0.2">
      <c r="A100" s="4"/>
      <c r="B100" s="4"/>
      <c r="C100" s="5"/>
      <c r="D100" s="5"/>
      <c r="E100" s="5"/>
      <c r="F100" s="5"/>
      <c r="G100" s="5"/>
      <c r="H100" s="4"/>
      <c r="I100" s="5"/>
      <c r="J100" s="5"/>
      <c r="K100" s="5"/>
      <c r="L100" s="5"/>
      <c r="M100" s="5"/>
      <c r="N100" s="4"/>
      <c r="O100" s="5"/>
      <c r="P100" s="5"/>
      <c r="Q100" s="5"/>
      <c r="R100" s="5"/>
      <c r="S100" s="5"/>
      <c r="T100" s="4"/>
      <c r="U100" s="5"/>
      <c r="V100" s="5"/>
      <c r="W100" s="5"/>
      <c r="X100" s="5"/>
      <c r="Y100" s="5"/>
    </row>
    <row r="101" spans="1:25" x14ac:dyDescent="0.2">
      <c r="A101" s="4"/>
      <c r="B101" s="4"/>
      <c r="C101" s="2894"/>
      <c r="D101" s="2894"/>
      <c r="E101" s="2894"/>
      <c r="F101" s="2894"/>
      <c r="G101" s="2894"/>
      <c r="H101" s="15"/>
      <c r="I101" s="2894"/>
      <c r="J101" s="2894"/>
      <c r="K101" s="2894"/>
      <c r="L101" s="2894"/>
      <c r="M101" s="2894"/>
      <c r="N101" s="15"/>
      <c r="O101" s="2894"/>
      <c r="P101" s="2894"/>
      <c r="Q101" s="2894"/>
      <c r="R101" s="2894"/>
      <c r="S101" s="2894"/>
      <c r="T101" s="15"/>
      <c r="U101" s="2894"/>
      <c r="V101" s="2894"/>
      <c r="W101" s="2894"/>
      <c r="X101" s="2894"/>
      <c r="Y101" s="2894"/>
    </row>
    <row r="102" spans="1:25" x14ac:dyDescent="0.2">
      <c r="C102" s="2894"/>
      <c r="D102" s="2894"/>
      <c r="E102" s="2894"/>
      <c r="F102" s="2894"/>
      <c r="G102" s="2894"/>
      <c r="I102" s="2894"/>
      <c r="J102" s="2894"/>
      <c r="K102" s="2894"/>
      <c r="L102" s="2894"/>
      <c r="M102" s="2894"/>
      <c r="O102" s="2894"/>
      <c r="P102" s="2894"/>
      <c r="Q102" s="2894"/>
      <c r="R102" s="2894"/>
      <c r="S102" s="2894"/>
      <c r="U102" s="2894"/>
      <c r="V102" s="2894"/>
      <c r="W102" s="2894"/>
      <c r="X102" s="2894"/>
      <c r="Y102" s="2894"/>
    </row>
    <row r="103" spans="1:25" x14ac:dyDescent="0.2">
      <c r="C103" s="2894"/>
      <c r="D103" s="2894"/>
      <c r="E103" s="2894"/>
      <c r="F103" s="2894"/>
      <c r="G103" s="2894"/>
      <c r="I103" s="2894"/>
      <c r="J103" s="2894"/>
      <c r="K103" s="2894"/>
      <c r="L103" s="2894"/>
      <c r="M103" s="2894"/>
      <c r="O103" s="2894"/>
      <c r="P103" s="2894"/>
      <c r="Q103" s="2894"/>
      <c r="R103" s="2894"/>
      <c r="S103" s="2894"/>
      <c r="U103" s="2894"/>
      <c r="V103" s="2894"/>
      <c r="W103" s="2894"/>
      <c r="X103" s="2894"/>
      <c r="Y103" s="2894"/>
    </row>
    <row r="104" spans="1:25" x14ac:dyDescent="0.2">
      <c r="C104" s="2894"/>
      <c r="D104" s="2894"/>
      <c r="E104" s="2894"/>
      <c r="F104" s="2894"/>
      <c r="G104" s="2894"/>
      <c r="I104" s="2894"/>
      <c r="J104" s="2894"/>
      <c r="K104" s="2894"/>
      <c r="L104" s="2894"/>
      <c r="M104" s="2894"/>
      <c r="O104" s="2894"/>
      <c r="P104" s="2894"/>
      <c r="Q104" s="2894"/>
      <c r="R104" s="2894"/>
      <c r="S104" s="2894"/>
      <c r="U104" s="2894"/>
      <c r="V104" s="2894"/>
      <c r="W104" s="2894"/>
      <c r="X104" s="2894"/>
      <c r="Y104" s="2894"/>
    </row>
    <row r="105" spans="1:25" x14ac:dyDescent="0.2">
      <c r="C105" s="2894"/>
      <c r="D105" s="2894"/>
      <c r="E105" s="2894"/>
      <c r="F105" s="2894"/>
      <c r="G105" s="2894"/>
      <c r="I105" s="2894"/>
      <c r="J105" s="2894"/>
      <c r="K105" s="2894"/>
      <c r="L105" s="2894"/>
      <c r="M105" s="2894"/>
      <c r="O105" s="2894"/>
      <c r="P105" s="2894"/>
      <c r="Q105" s="2894"/>
      <c r="R105" s="2894"/>
      <c r="S105" s="2894"/>
      <c r="U105" s="2894"/>
      <c r="V105" s="2894"/>
      <c r="W105" s="2894"/>
      <c r="X105" s="2894"/>
      <c r="Y105" s="2894"/>
    </row>
    <row r="106" spans="1:25" x14ac:dyDescent="0.2">
      <c r="C106" s="2894"/>
      <c r="D106" s="2894"/>
      <c r="E106" s="2894"/>
      <c r="F106" s="2894"/>
      <c r="G106" s="2894"/>
      <c r="I106" s="2894"/>
      <c r="J106" s="2894"/>
      <c r="K106" s="2894"/>
      <c r="L106" s="2894"/>
      <c r="M106" s="2894"/>
      <c r="O106" s="2894"/>
      <c r="P106" s="2894"/>
      <c r="Q106" s="2894"/>
      <c r="R106" s="2894"/>
      <c r="S106" s="2894"/>
      <c r="U106" s="2894"/>
      <c r="V106" s="2894"/>
      <c r="W106" s="2894"/>
      <c r="X106" s="2894"/>
      <c r="Y106" s="2894"/>
    </row>
    <row r="107" spans="1:25" x14ac:dyDescent="0.2">
      <c r="C107" s="2894"/>
      <c r="D107" s="2894"/>
      <c r="E107" s="2894"/>
      <c r="F107" s="2894"/>
      <c r="G107" s="2894"/>
      <c r="I107" s="2894"/>
      <c r="J107" s="2894"/>
      <c r="K107" s="2894"/>
      <c r="L107" s="2894"/>
      <c r="M107" s="2894"/>
      <c r="O107" s="2894"/>
      <c r="P107" s="2894"/>
      <c r="Q107" s="2894"/>
      <c r="R107" s="2894"/>
      <c r="S107" s="2894"/>
      <c r="U107" s="2894"/>
      <c r="V107" s="2894"/>
      <c r="W107" s="2894"/>
      <c r="X107" s="2894"/>
      <c r="Y107" s="2894"/>
    </row>
    <row r="108" spans="1:25" x14ac:dyDescent="0.2">
      <c r="C108" s="2894"/>
      <c r="D108" s="2894"/>
      <c r="E108" s="2894"/>
      <c r="F108" s="2894"/>
      <c r="G108" s="2894"/>
      <c r="I108" s="2894"/>
      <c r="J108" s="2894"/>
      <c r="K108" s="2894"/>
      <c r="L108" s="2894"/>
      <c r="M108" s="2894"/>
      <c r="O108" s="2894"/>
      <c r="P108" s="2894"/>
      <c r="Q108" s="2894"/>
      <c r="R108" s="2894"/>
      <c r="S108" s="2894"/>
      <c r="U108" s="2894"/>
      <c r="V108" s="2894"/>
      <c r="W108" s="2894"/>
      <c r="X108" s="2894"/>
      <c r="Y108" s="2894"/>
    </row>
    <row r="109" spans="1:25" x14ac:dyDescent="0.2">
      <c r="C109" s="2894"/>
      <c r="D109" s="2894"/>
      <c r="E109" s="2894"/>
      <c r="F109" s="2894"/>
      <c r="G109" s="2894"/>
      <c r="I109" s="2894"/>
      <c r="J109" s="2894"/>
      <c r="K109" s="2894"/>
      <c r="L109" s="2894"/>
      <c r="M109" s="2894"/>
      <c r="O109" s="2894"/>
      <c r="P109" s="2894"/>
      <c r="Q109" s="2894"/>
      <c r="R109" s="2894"/>
      <c r="S109" s="2894"/>
      <c r="U109" s="2894"/>
      <c r="V109" s="2894"/>
      <c r="W109" s="2894"/>
      <c r="X109" s="2894"/>
      <c r="Y109" s="2894"/>
    </row>
    <row r="110" spans="1:25" x14ac:dyDescent="0.2">
      <c r="C110" s="2894"/>
      <c r="D110" s="2894"/>
      <c r="E110" s="2894"/>
      <c r="F110" s="2894"/>
      <c r="G110" s="2894"/>
      <c r="I110" s="2894"/>
      <c r="J110" s="2894"/>
      <c r="K110" s="2894"/>
      <c r="L110" s="2894"/>
      <c r="M110" s="2894"/>
      <c r="O110" s="2894"/>
      <c r="P110" s="2894"/>
      <c r="Q110" s="2894"/>
      <c r="R110" s="2894"/>
      <c r="S110" s="2894"/>
      <c r="U110" s="2894"/>
      <c r="V110" s="2894"/>
      <c r="W110" s="2894"/>
      <c r="X110" s="2894"/>
      <c r="Y110" s="2894"/>
    </row>
    <row r="111" spans="1:25" x14ac:dyDescent="0.2">
      <c r="C111" s="2894"/>
      <c r="D111" s="2894"/>
      <c r="E111" s="2894"/>
      <c r="F111" s="2894"/>
      <c r="G111" s="2894"/>
      <c r="I111" s="2894"/>
      <c r="J111" s="2894"/>
      <c r="K111" s="2894"/>
      <c r="L111" s="2894"/>
      <c r="M111" s="2894"/>
      <c r="O111" s="2894"/>
      <c r="P111" s="2894"/>
      <c r="Q111" s="2894"/>
      <c r="R111" s="2894"/>
      <c r="S111" s="2894"/>
      <c r="U111" s="2894"/>
      <c r="V111" s="2894"/>
      <c r="W111" s="2894"/>
      <c r="X111" s="2894"/>
      <c r="Y111" s="2894"/>
    </row>
    <row r="112" spans="1:25" x14ac:dyDescent="0.2">
      <c r="C112" s="2894"/>
      <c r="D112" s="2894"/>
      <c r="E112" s="2894"/>
      <c r="F112" s="2894"/>
      <c r="G112" s="2894"/>
      <c r="I112" s="2894"/>
      <c r="J112" s="2894"/>
      <c r="K112" s="2894"/>
      <c r="L112" s="2894"/>
      <c r="M112" s="2894"/>
      <c r="O112" s="2894"/>
      <c r="P112" s="2894"/>
      <c r="Q112" s="2894"/>
      <c r="R112" s="2894"/>
      <c r="S112" s="2894"/>
      <c r="U112" s="2894"/>
      <c r="V112" s="2894"/>
      <c r="W112" s="2894"/>
      <c r="X112" s="2894"/>
      <c r="Y112" s="2894"/>
    </row>
    <row r="113" spans="1:25" x14ac:dyDescent="0.2">
      <c r="C113" s="2894"/>
      <c r="D113" s="2894"/>
      <c r="E113" s="2894"/>
      <c r="F113" s="2894"/>
      <c r="G113" s="2894"/>
      <c r="I113" s="2894"/>
      <c r="J113" s="2894"/>
      <c r="K113" s="2894"/>
      <c r="L113" s="2894"/>
      <c r="M113" s="2894"/>
      <c r="O113" s="2894"/>
      <c r="P113" s="2894"/>
      <c r="Q113" s="2894"/>
      <c r="R113" s="2894"/>
      <c r="S113" s="2894"/>
      <c r="U113" s="2894"/>
      <c r="V113" s="2894"/>
      <c r="W113" s="2894"/>
      <c r="X113" s="2894"/>
      <c r="Y113" s="2894"/>
    </row>
    <row r="114" spans="1:25" x14ac:dyDescent="0.2">
      <c r="C114" s="2894"/>
      <c r="D114" s="2894"/>
      <c r="E114" s="2894"/>
      <c r="F114" s="2894"/>
      <c r="G114" s="2894"/>
      <c r="I114" s="2894"/>
      <c r="J114" s="2894"/>
      <c r="K114" s="2894"/>
      <c r="L114" s="2894"/>
      <c r="M114" s="2894"/>
      <c r="O114" s="2894"/>
      <c r="P114" s="2894"/>
      <c r="Q114" s="2894"/>
      <c r="R114" s="2894"/>
      <c r="S114" s="2894"/>
      <c r="U114" s="2894"/>
      <c r="V114" s="2894"/>
      <c r="W114" s="2894"/>
      <c r="X114" s="2894"/>
      <c r="Y114" s="2894"/>
    </row>
    <row r="115" spans="1:25" x14ac:dyDescent="0.2">
      <c r="C115" s="2894"/>
      <c r="D115" s="2894"/>
      <c r="E115" s="2894"/>
      <c r="F115" s="2894"/>
      <c r="G115" s="2894"/>
      <c r="I115" s="2894"/>
      <c r="J115" s="2894"/>
      <c r="K115" s="2894"/>
      <c r="L115" s="2894"/>
      <c r="M115" s="2894"/>
      <c r="O115" s="2894"/>
      <c r="P115" s="2894"/>
      <c r="Q115" s="2894"/>
      <c r="R115" s="2894"/>
      <c r="S115" s="2894"/>
      <c r="U115" s="2894"/>
      <c r="V115" s="2894"/>
      <c r="W115" s="2894"/>
      <c r="X115" s="2894"/>
      <c r="Y115" s="2894"/>
    </row>
    <row r="116" spans="1:25" x14ac:dyDescent="0.2">
      <c r="C116" s="2894"/>
      <c r="D116" s="2894"/>
      <c r="E116" s="2894"/>
      <c r="F116" s="2894"/>
      <c r="G116" s="2894"/>
      <c r="I116" s="2894"/>
      <c r="J116" s="2894"/>
      <c r="K116" s="2894"/>
      <c r="L116" s="2894"/>
      <c r="M116" s="2894"/>
      <c r="O116" s="2894"/>
      <c r="P116" s="2894"/>
      <c r="Q116" s="2894"/>
      <c r="R116" s="2894"/>
      <c r="S116" s="2894"/>
      <c r="U116" s="2894"/>
      <c r="V116" s="2894"/>
      <c r="W116" s="2894"/>
      <c r="X116" s="2894"/>
      <c r="Y116" s="2894"/>
    </row>
    <row r="117" spans="1:25" x14ac:dyDescent="0.2">
      <c r="C117" s="2894"/>
      <c r="D117" s="2894"/>
      <c r="E117" s="2894"/>
      <c r="F117" s="2894"/>
      <c r="G117" s="2894"/>
      <c r="I117" s="2894"/>
      <c r="J117" s="2894"/>
      <c r="K117" s="2894"/>
      <c r="L117" s="2894"/>
      <c r="M117" s="2894"/>
      <c r="O117" s="2894"/>
      <c r="P117" s="2894"/>
      <c r="Q117" s="2894"/>
      <c r="R117" s="2894"/>
      <c r="S117" s="2894"/>
      <c r="U117" s="2894"/>
      <c r="V117" s="2894"/>
      <c r="W117" s="2894"/>
      <c r="X117" s="2894"/>
      <c r="Y117" s="2894"/>
    </row>
    <row r="118" spans="1:25" x14ac:dyDescent="0.2">
      <c r="C118" s="2894"/>
      <c r="D118" s="2894"/>
      <c r="E118" s="2894"/>
      <c r="F118" s="2894"/>
      <c r="G118" s="2894"/>
      <c r="I118" s="2894"/>
      <c r="J118" s="2894"/>
      <c r="K118" s="2894"/>
      <c r="L118" s="2894"/>
      <c r="M118" s="2894"/>
      <c r="O118" s="2894"/>
      <c r="P118" s="2894"/>
      <c r="Q118" s="2894"/>
      <c r="R118" s="2894"/>
      <c r="S118" s="2894"/>
      <c r="U118" s="2894"/>
      <c r="V118" s="2894"/>
      <c r="W118" s="2894"/>
      <c r="X118" s="2894"/>
      <c r="Y118" s="2894"/>
    </row>
    <row r="119" spans="1:25" x14ac:dyDescent="0.2">
      <c r="C119" s="2894"/>
      <c r="D119" s="2894"/>
      <c r="E119" s="2894"/>
      <c r="F119" s="2894"/>
      <c r="G119" s="2894"/>
      <c r="I119" s="2894"/>
      <c r="J119" s="2894"/>
      <c r="K119" s="2894"/>
      <c r="L119" s="2894"/>
      <c r="M119" s="2894"/>
      <c r="O119" s="2894"/>
      <c r="P119" s="2894"/>
      <c r="Q119" s="2894"/>
      <c r="R119" s="2894"/>
      <c r="S119" s="2894"/>
      <c r="U119" s="2894"/>
      <c r="V119" s="2894"/>
      <c r="W119" s="2894"/>
      <c r="X119" s="2894"/>
      <c r="Y119" s="2894"/>
    </row>
    <row r="120" spans="1:25" x14ac:dyDescent="0.2">
      <c r="C120" s="2894"/>
      <c r="D120" s="2894"/>
      <c r="E120" s="2894"/>
      <c r="F120" s="2894"/>
      <c r="G120" s="2894"/>
      <c r="I120" s="2894"/>
      <c r="J120" s="2894"/>
      <c r="K120" s="2894"/>
      <c r="L120" s="2894"/>
      <c r="M120" s="2894"/>
      <c r="O120" s="2894"/>
      <c r="P120" s="2894"/>
      <c r="Q120" s="2894"/>
      <c r="R120" s="2894"/>
      <c r="S120" s="2894"/>
      <c r="U120" s="2894"/>
      <c r="V120" s="2894"/>
      <c r="W120" s="2894"/>
      <c r="X120" s="2894"/>
      <c r="Y120" s="2894"/>
    </row>
    <row r="121" spans="1:25" x14ac:dyDescent="0.2">
      <c r="C121" s="2894"/>
      <c r="D121" s="2894"/>
      <c r="E121" s="2894"/>
      <c r="F121" s="2894"/>
      <c r="G121" s="2894"/>
      <c r="I121" s="2894"/>
      <c r="J121" s="2894"/>
      <c r="K121" s="2894"/>
      <c r="L121" s="2894"/>
      <c r="M121" s="2894"/>
      <c r="O121" s="2894"/>
      <c r="P121" s="2894"/>
      <c r="Q121" s="2894"/>
      <c r="R121" s="2894"/>
      <c r="S121" s="2894"/>
      <c r="U121" s="2894"/>
      <c r="V121" s="2894"/>
      <c r="W121" s="2894"/>
      <c r="X121" s="2894"/>
      <c r="Y121" s="2894"/>
    </row>
    <row r="122" spans="1:25" x14ac:dyDescent="0.2">
      <c r="C122" s="2894"/>
      <c r="D122" s="2894"/>
      <c r="E122" s="2894"/>
      <c r="F122" s="2894"/>
      <c r="G122" s="2894"/>
      <c r="I122" s="2894"/>
      <c r="J122" s="2894"/>
      <c r="K122" s="2894"/>
      <c r="L122" s="2894"/>
      <c r="M122" s="2894"/>
      <c r="O122" s="2894"/>
      <c r="P122" s="2894"/>
      <c r="Q122" s="2894"/>
      <c r="R122" s="2894"/>
      <c r="S122" s="2894"/>
      <c r="U122" s="2894"/>
      <c r="V122" s="2894"/>
      <c r="W122" s="2894"/>
      <c r="X122" s="2894"/>
      <c r="Y122" s="2894"/>
    </row>
    <row r="123" spans="1:25" x14ac:dyDescent="0.2">
      <c r="C123" s="2894"/>
      <c r="D123" s="2894"/>
      <c r="E123" s="2894"/>
      <c r="F123" s="2894"/>
      <c r="G123" s="2894"/>
      <c r="I123" s="2894"/>
      <c r="J123" s="2894"/>
      <c r="K123" s="2894"/>
      <c r="L123" s="2894"/>
      <c r="M123" s="2894"/>
      <c r="O123" s="2894"/>
      <c r="P123" s="2894"/>
      <c r="Q123" s="2894"/>
      <c r="R123" s="2894"/>
      <c r="S123" s="2894"/>
      <c r="U123" s="2894"/>
      <c r="V123" s="2894"/>
      <c r="W123" s="2894"/>
      <c r="X123" s="2894"/>
      <c r="Y123" s="2894"/>
    </row>
    <row r="124" spans="1:25" x14ac:dyDescent="0.2">
      <c r="C124" s="2894"/>
      <c r="D124" s="2894"/>
      <c r="E124" s="2894"/>
      <c r="F124" s="2894"/>
      <c r="G124" s="2894"/>
      <c r="I124" s="2894"/>
      <c r="J124" s="2894"/>
      <c r="K124" s="2894"/>
      <c r="L124" s="2894"/>
      <c r="M124" s="2894"/>
      <c r="O124" s="2894"/>
      <c r="P124" s="2894"/>
      <c r="Q124" s="2894"/>
      <c r="R124" s="2894"/>
      <c r="S124" s="2894"/>
      <c r="U124" s="2894"/>
      <c r="V124" s="2894"/>
      <c r="W124" s="2894"/>
      <c r="X124" s="2894"/>
      <c r="Y124" s="2894"/>
    </row>
    <row r="125" spans="1:25" x14ac:dyDescent="0.2">
      <c r="C125" s="2894"/>
      <c r="D125" s="2894"/>
      <c r="E125" s="2894"/>
      <c r="F125" s="2894"/>
      <c r="G125" s="2894"/>
      <c r="I125" s="2894"/>
      <c r="J125" s="2894"/>
      <c r="K125" s="2894"/>
      <c r="L125" s="2894"/>
      <c r="M125" s="2894"/>
      <c r="O125" s="2894"/>
      <c r="P125" s="2894"/>
      <c r="Q125" s="2894"/>
      <c r="R125" s="2894"/>
      <c r="S125" s="2894"/>
      <c r="U125" s="2894"/>
      <c r="V125" s="2894"/>
      <c r="W125" s="2894"/>
      <c r="X125" s="2894"/>
      <c r="Y125" s="2894"/>
    </row>
    <row r="126" spans="1:25" ht="18" customHeight="1" x14ac:dyDescent="0.2">
      <c r="A126" s="119" t="s">
        <v>6</v>
      </c>
      <c r="B126" s="119"/>
      <c r="C126" s="2896">
        <v>1</v>
      </c>
      <c r="D126" s="2896"/>
      <c r="E126" s="2897">
        <f>E$8</f>
        <v>0</v>
      </c>
      <c r="F126" s="2897"/>
      <c r="G126" s="113"/>
      <c r="H126" s="4"/>
      <c r="I126" s="2896">
        <v>2</v>
      </c>
      <c r="J126" s="2896"/>
      <c r="K126" s="2897">
        <f>K$8</f>
        <v>0</v>
      </c>
      <c r="L126" s="2897"/>
      <c r="M126" s="113"/>
      <c r="N126" s="4"/>
      <c r="O126" s="2896">
        <v>3</v>
      </c>
      <c r="P126" s="2896"/>
      <c r="Q126" s="2897">
        <f>Q$8</f>
        <v>0</v>
      </c>
      <c r="R126" s="2897"/>
      <c r="S126" s="113"/>
      <c r="T126" s="4"/>
      <c r="U126" s="2896">
        <v>4</v>
      </c>
      <c r="V126" s="2896"/>
      <c r="W126" s="2897">
        <f>W$8</f>
        <v>0</v>
      </c>
      <c r="X126" s="2897"/>
      <c r="Y126" s="113"/>
    </row>
    <row r="127" spans="1:25" ht="27.7" customHeight="1" x14ac:dyDescent="0.35">
      <c r="B127" s="1375" t="s">
        <v>109</v>
      </c>
      <c r="C127" s="5"/>
      <c r="D127" s="5"/>
      <c r="E127" s="2895">
        <f>E$9</f>
        <v>0</v>
      </c>
      <c r="F127" s="2895"/>
      <c r="G127" s="12"/>
      <c r="H127" s="4"/>
      <c r="I127" s="5"/>
      <c r="J127" s="5"/>
      <c r="K127" s="2895">
        <f>K$9</f>
        <v>0</v>
      </c>
      <c r="L127" s="2895"/>
      <c r="M127" s="12"/>
      <c r="N127" s="4"/>
      <c r="O127" s="5"/>
      <c r="P127" s="5"/>
      <c r="Q127" s="2895">
        <f>Q$9</f>
        <v>0</v>
      </c>
      <c r="R127" s="2895"/>
      <c r="S127" s="12"/>
      <c r="T127" s="4"/>
      <c r="U127" s="5"/>
      <c r="V127" s="5"/>
      <c r="W127" s="2895">
        <f>W$9</f>
        <v>0</v>
      </c>
      <c r="X127" s="2895"/>
      <c r="Y127" s="12"/>
    </row>
    <row r="128" spans="1:25" ht="5.95" customHeight="1" x14ac:dyDescent="0.2">
      <c r="A128" s="4"/>
      <c r="B128" s="4"/>
      <c r="C128" s="5"/>
      <c r="D128" s="5"/>
      <c r="E128" s="5"/>
      <c r="F128" s="5"/>
      <c r="G128" s="5"/>
      <c r="H128" s="4"/>
      <c r="I128" s="5"/>
      <c r="J128" s="5"/>
      <c r="K128" s="5"/>
      <c r="L128" s="5"/>
      <c r="M128" s="5"/>
      <c r="N128" s="4"/>
      <c r="O128" s="5"/>
      <c r="P128" s="5"/>
      <c r="Q128" s="5"/>
      <c r="R128" s="5"/>
      <c r="S128" s="5"/>
      <c r="T128" s="4"/>
      <c r="U128" s="5"/>
      <c r="V128" s="5"/>
      <c r="W128" s="5"/>
      <c r="X128" s="5"/>
      <c r="Y128" s="5"/>
    </row>
    <row r="129" spans="1:25" x14ac:dyDescent="0.2">
      <c r="A129" s="4"/>
      <c r="B129" s="4"/>
      <c r="C129" s="2894"/>
      <c r="D129" s="2894"/>
      <c r="E129" s="2894"/>
      <c r="F129" s="2894"/>
      <c r="G129" s="2894"/>
      <c r="H129" s="15"/>
      <c r="I129" s="2894"/>
      <c r="J129" s="2894"/>
      <c r="K129" s="2894"/>
      <c r="L129" s="2894"/>
      <c r="M129" s="2894"/>
      <c r="N129" s="15"/>
      <c r="O129" s="2894"/>
      <c r="P129" s="2894"/>
      <c r="Q129" s="2894"/>
      <c r="R129" s="2894"/>
      <c r="S129" s="2894"/>
      <c r="T129" s="15"/>
      <c r="U129" s="2894"/>
      <c r="V129" s="2894"/>
      <c r="W129" s="2894"/>
      <c r="X129" s="2894"/>
      <c r="Y129" s="2894"/>
    </row>
    <row r="130" spans="1:25" x14ac:dyDescent="0.2">
      <c r="C130" s="2894"/>
      <c r="D130" s="2894"/>
      <c r="E130" s="2894"/>
      <c r="F130" s="2894"/>
      <c r="G130" s="2894"/>
      <c r="I130" s="2894"/>
      <c r="J130" s="2894"/>
      <c r="K130" s="2894"/>
      <c r="L130" s="2894"/>
      <c r="M130" s="2894"/>
      <c r="O130" s="2894"/>
      <c r="P130" s="2894"/>
      <c r="Q130" s="2894"/>
      <c r="R130" s="2894"/>
      <c r="S130" s="2894"/>
      <c r="U130" s="2894"/>
      <c r="V130" s="2894"/>
      <c r="W130" s="2894"/>
      <c r="X130" s="2894"/>
      <c r="Y130" s="2894"/>
    </row>
    <row r="131" spans="1:25" x14ac:dyDescent="0.2">
      <c r="C131" s="2894"/>
      <c r="D131" s="2894"/>
      <c r="E131" s="2894"/>
      <c r="F131" s="2894"/>
      <c r="G131" s="2894"/>
      <c r="I131" s="2894"/>
      <c r="J131" s="2894"/>
      <c r="K131" s="2894"/>
      <c r="L131" s="2894"/>
      <c r="M131" s="2894"/>
      <c r="O131" s="2894"/>
      <c r="P131" s="2894"/>
      <c r="Q131" s="2894"/>
      <c r="R131" s="2894"/>
      <c r="S131" s="2894"/>
      <c r="U131" s="2894"/>
      <c r="V131" s="2894"/>
      <c r="W131" s="2894"/>
      <c r="X131" s="2894"/>
      <c r="Y131" s="2894"/>
    </row>
    <row r="132" spans="1:25" x14ac:dyDescent="0.2">
      <c r="C132" s="2894"/>
      <c r="D132" s="2894"/>
      <c r="E132" s="2894"/>
      <c r="F132" s="2894"/>
      <c r="G132" s="2894"/>
      <c r="I132" s="2894"/>
      <c r="J132" s="2894"/>
      <c r="K132" s="2894"/>
      <c r="L132" s="2894"/>
      <c r="M132" s="2894"/>
      <c r="O132" s="2894"/>
      <c r="P132" s="2894"/>
      <c r="Q132" s="2894"/>
      <c r="R132" s="2894"/>
      <c r="S132" s="2894"/>
      <c r="U132" s="2894"/>
      <c r="V132" s="2894"/>
      <c r="W132" s="2894"/>
      <c r="X132" s="2894"/>
      <c r="Y132" s="2894"/>
    </row>
    <row r="133" spans="1:25" x14ac:dyDescent="0.2">
      <c r="C133" s="2894"/>
      <c r="D133" s="2894"/>
      <c r="E133" s="2894"/>
      <c r="F133" s="2894"/>
      <c r="G133" s="2894"/>
      <c r="I133" s="2894"/>
      <c r="J133" s="2894"/>
      <c r="K133" s="2894"/>
      <c r="L133" s="2894"/>
      <c r="M133" s="2894"/>
      <c r="O133" s="2894"/>
      <c r="P133" s="2894"/>
      <c r="Q133" s="2894"/>
      <c r="R133" s="2894"/>
      <c r="S133" s="2894"/>
      <c r="U133" s="2894"/>
      <c r="V133" s="2894"/>
      <c r="W133" s="2894"/>
      <c r="X133" s="2894"/>
      <c r="Y133" s="2894"/>
    </row>
    <row r="134" spans="1:25" x14ac:dyDescent="0.2">
      <c r="C134" s="2894"/>
      <c r="D134" s="2894"/>
      <c r="E134" s="2894"/>
      <c r="F134" s="2894"/>
      <c r="G134" s="2894"/>
      <c r="I134" s="2894"/>
      <c r="J134" s="2894"/>
      <c r="K134" s="2894"/>
      <c r="L134" s="2894"/>
      <c r="M134" s="2894"/>
      <c r="O134" s="2894"/>
      <c r="P134" s="2894"/>
      <c r="Q134" s="2894"/>
      <c r="R134" s="2894"/>
      <c r="S134" s="2894"/>
      <c r="U134" s="2894"/>
      <c r="V134" s="2894"/>
      <c r="W134" s="2894"/>
      <c r="X134" s="2894"/>
      <c r="Y134" s="2894"/>
    </row>
    <row r="135" spans="1:25" x14ac:dyDescent="0.2">
      <c r="C135" s="2894"/>
      <c r="D135" s="2894"/>
      <c r="E135" s="2894"/>
      <c r="F135" s="2894"/>
      <c r="G135" s="2894"/>
      <c r="I135" s="2894"/>
      <c r="J135" s="2894"/>
      <c r="K135" s="2894"/>
      <c r="L135" s="2894"/>
      <c r="M135" s="2894"/>
      <c r="O135" s="2894"/>
      <c r="P135" s="2894"/>
      <c r="Q135" s="2894"/>
      <c r="R135" s="2894"/>
      <c r="S135" s="2894"/>
      <c r="U135" s="2894"/>
      <c r="V135" s="2894"/>
      <c r="W135" s="2894"/>
      <c r="X135" s="2894"/>
      <c r="Y135" s="2894"/>
    </row>
    <row r="136" spans="1:25" x14ac:dyDescent="0.2">
      <c r="C136" s="2894"/>
      <c r="D136" s="2894"/>
      <c r="E136" s="2894"/>
      <c r="F136" s="2894"/>
      <c r="G136" s="2894"/>
      <c r="I136" s="2894"/>
      <c r="J136" s="2894"/>
      <c r="K136" s="2894"/>
      <c r="L136" s="2894"/>
      <c r="M136" s="2894"/>
      <c r="O136" s="2894"/>
      <c r="P136" s="2894"/>
      <c r="Q136" s="2894"/>
      <c r="R136" s="2894"/>
      <c r="S136" s="2894"/>
      <c r="U136" s="2894"/>
      <c r="V136" s="2894"/>
      <c r="W136" s="2894"/>
      <c r="X136" s="2894"/>
      <c r="Y136" s="2894"/>
    </row>
    <row r="137" spans="1:25" x14ac:dyDescent="0.2">
      <c r="C137" s="2894"/>
      <c r="D137" s="2894"/>
      <c r="E137" s="2894"/>
      <c r="F137" s="2894"/>
      <c r="G137" s="2894"/>
      <c r="I137" s="2894"/>
      <c r="J137" s="2894"/>
      <c r="K137" s="2894"/>
      <c r="L137" s="2894"/>
      <c r="M137" s="2894"/>
      <c r="O137" s="2894"/>
      <c r="P137" s="2894"/>
      <c r="Q137" s="2894"/>
      <c r="R137" s="2894"/>
      <c r="S137" s="2894"/>
      <c r="U137" s="2894"/>
      <c r="V137" s="2894"/>
      <c r="W137" s="2894"/>
      <c r="X137" s="2894"/>
      <c r="Y137" s="2894"/>
    </row>
    <row r="138" spans="1:25" x14ac:dyDescent="0.2">
      <c r="C138" s="2894"/>
      <c r="D138" s="2894"/>
      <c r="E138" s="2894"/>
      <c r="F138" s="2894"/>
      <c r="G138" s="2894"/>
      <c r="I138" s="2894"/>
      <c r="J138" s="2894"/>
      <c r="K138" s="2894"/>
      <c r="L138" s="2894"/>
      <c r="M138" s="2894"/>
      <c r="O138" s="2894"/>
      <c r="P138" s="2894"/>
      <c r="Q138" s="2894"/>
      <c r="R138" s="2894"/>
      <c r="S138" s="2894"/>
      <c r="U138" s="2894"/>
      <c r="V138" s="2894"/>
      <c r="W138" s="2894"/>
      <c r="X138" s="2894"/>
      <c r="Y138" s="2894"/>
    </row>
    <row r="139" spans="1:25" x14ac:dyDescent="0.2">
      <c r="C139" s="2894"/>
      <c r="D139" s="2894"/>
      <c r="E139" s="2894"/>
      <c r="F139" s="2894"/>
      <c r="G139" s="2894"/>
      <c r="I139" s="2894"/>
      <c r="J139" s="2894"/>
      <c r="K139" s="2894"/>
      <c r="L139" s="2894"/>
      <c r="M139" s="2894"/>
      <c r="O139" s="2894"/>
      <c r="P139" s="2894"/>
      <c r="Q139" s="2894"/>
      <c r="R139" s="2894"/>
      <c r="S139" s="2894"/>
      <c r="U139" s="2894"/>
      <c r="V139" s="2894"/>
      <c r="W139" s="2894"/>
      <c r="X139" s="2894"/>
      <c r="Y139" s="2894"/>
    </row>
    <row r="140" spans="1:25" x14ac:dyDescent="0.2">
      <c r="C140" s="2894"/>
      <c r="D140" s="2894"/>
      <c r="E140" s="2894"/>
      <c r="F140" s="2894"/>
      <c r="G140" s="2894"/>
      <c r="I140" s="2894"/>
      <c r="J140" s="2894"/>
      <c r="K140" s="2894"/>
      <c r="L140" s="2894"/>
      <c r="M140" s="2894"/>
      <c r="O140" s="2894"/>
      <c r="P140" s="2894"/>
      <c r="Q140" s="2894"/>
      <c r="R140" s="2894"/>
      <c r="S140" s="2894"/>
      <c r="U140" s="2894"/>
      <c r="V140" s="2894"/>
      <c r="W140" s="2894"/>
      <c r="X140" s="2894"/>
      <c r="Y140" s="2894"/>
    </row>
    <row r="141" spans="1:25" x14ac:dyDescent="0.2">
      <c r="C141" s="2894"/>
      <c r="D141" s="2894"/>
      <c r="E141" s="2894"/>
      <c r="F141" s="2894"/>
      <c r="G141" s="2894"/>
      <c r="I141" s="2894"/>
      <c r="J141" s="2894"/>
      <c r="K141" s="2894"/>
      <c r="L141" s="2894"/>
      <c r="M141" s="2894"/>
      <c r="O141" s="2894"/>
      <c r="P141" s="2894"/>
      <c r="Q141" s="2894"/>
      <c r="R141" s="2894"/>
      <c r="S141" s="2894"/>
      <c r="U141" s="2894"/>
      <c r="V141" s="2894"/>
      <c r="W141" s="2894"/>
      <c r="X141" s="2894"/>
      <c r="Y141" s="2894"/>
    </row>
    <row r="142" spans="1:25" x14ac:dyDescent="0.2">
      <c r="C142" s="2894"/>
      <c r="D142" s="2894"/>
      <c r="E142" s="2894"/>
      <c r="F142" s="2894"/>
      <c r="G142" s="2894"/>
      <c r="I142" s="2894"/>
      <c r="J142" s="2894"/>
      <c r="K142" s="2894"/>
      <c r="L142" s="2894"/>
      <c r="M142" s="2894"/>
      <c r="O142" s="2894"/>
      <c r="P142" s="2894"/>
      <c r="Q142" s="2894"/>
      <c r="R142" s="2894"/>
      <c r="S142" s="2894"/>
      <c r="U142" s="2894"/>
      <c r="V142" s="2894"/>
      <c r="W142" s="2894"/>
      <c r="X142" s="2894"/>
      <c r="Y142" s="2894"/>
    </row>
    <row r="143" spans="1:25" x14ac:dyDescent="0.2">
      <c r="C143" s="2894"/>
      <c r="D143" s="2894"/>
      <c r="E143" s="2894"/>
      <c r="F143" s="2894"/>
      <c r="G143" s="2894"/>
      <c r="I143" s="2894"/>
      <c r="J143" s="2894"/>
      <c r="K143" s="2894"/>
      <c r="L143" s="2894"/>
      <c r="M143" s="2894"/>
      <c r="O143" s="2894"/>
      <c r="P143" s="2894"/>
      <c r="Q143" s="2894"/>
      <c r="R143" s="2894"/>
      <c r="S143" s="2894"/>
      <c r="U143" s="2894"/>
      <c r="V143" s="2894"/>
      <c r="W143" s="2894"/>
      <c r="X143" s="2894"/>
      <c r="Y143" s="2894"/>
    </row>
    <row r="144" spans="1:25" x14ac:dyDescent="0.2">
      <c r="C144" s="2894"/>
      <c r="D144" s="2894"/>
      <c r="E144" s="2894"/>
      <c r="F144" s="2894"/>
      <c r="G144" s="2894"/>
      <c r="I144" s="2894"/>
      <c r="J144" s="2894"/>
      <c r="K144" s="2894"/>
      <c r="L144" s="2894"/>
      <c r="M144" s="2894"/>
      <c r="O144" s="2894"/>
      <c r="P144" s="2894"/>
      <c r="Q144" s="2894"/>
      <c r="R144" s="2894"/>
      <c r="S144" s="2894"/>
      <c r="U144" s="2894"/>
      <c r="V144" s="2894"/>
      <c r="W144" s="2894"/>
      <c r="X144" s="2894"/>
      <c r="Y144" s="2894"/>
    </row>
    <row r="145" spans="1:25" x14ac:dyDescent="0.2">
      <c r="C145" s="2894"/>
      <c r="D145" s="2894"/>
      <c r="E145" s="2894"/>
      <c r="F145" s="2894"/>
      <c r="G145" s="2894"/>
      <c r="I145" s="2894"/>
      <c r="J145" s="2894"/>
      <c r="K145" s="2894"/>
      <c r="L145" s="2894"/>
      <c r="M145" s="2894"/>
      <c r="O145" s="2894"/>
      <c r="P145" s="2894"/>
      <c r="Q145" s="2894"/>
      <c r="R145" s="2894"/>
      <c r="S145" s="2894"/>
      <c r="U145" s="2894"/>
      <c r="V145" s="2894"/>
      <c r="W145" s="2894"/>
      <c r="X145" s="2894"/>
      <c r="Y145" s="2894"/>
    </row>
    <row r="146" spans="1:25" x14ac:dyDescent="0.2">
      <c r="C146" s="2894"/>
      <c r="D146" s="2894"/>
      <c r="E146" s="2894"/>
      <c r="F146" s="2894"/>
      <c r="G146" s="2894"/>
      <c r="I146" s="2894"/>
      <c r="J146" s="2894"/>
      <c r="K146" s="2894"/>
      <c r="L146" s="2894"/>
      <c r="M146" s="2894"/>
      <c r="O146" s="2894"/>
      <c r="P146" s="2894"/>
      <c r="Q146" s="2894"/>
      <c r="R146" s="2894"/>
      <c r="S146" s="2894"/>
      <c r="U146" s="2894"/>
      <c r="V146" s="2894"/>
      <c r="W146" s="2894"/>
      <c r="X146" s="2894"/>
      <c r="Y146" s="2894"/>
    </row>
    <row r="147" spans="1:25" x14ac:dyDescent="0.2">
      <c r="C147" s="2894"/>
      <c r="D147" s="2894"/>
      <c r="E147" s="2894"/>
      <c r="F147" s="2894"/>
      <c r="G147" s="2894"/>
      <c r="I147" s="2894"/>
      <c r="J147" s="2894"/>
      <c r="K147" s="2894"/>
      <c r="L147" s="2894"/>
      <c r="M147" s="2894"/>
      <c r="O147" s="2894"/>
      <c r="P147" s="2894"/>
      <c r="Q147" s="2894"/>
      <c r="R147" s="2894"/>
      <c r="S147" s="2894"/>
      <c r="U147" s="2894"/>
      <c r="V147" s="2894"/>
      <c r="W147" s="2894"/>
      <c r="X147" s="2894"/>
      <c r="Y147" s="2894"/>
    </row>
    <row r="148" spans="1:25" x14ac:dyDescent="0.2">
      <c r="C148" s="2894"/>
      <c r="D148" s="2894"/>
      <c r="E148" s="2894"/>
      <c r="F148" s="2894"/>
      <c r="G148" s="2894"/>
      <c r="I148" s="2894"/>
      <c r="J148" s="2894"/>
      <c r="K148" s="2894"/>
      <c r="L148" s="2894"/>
      <c r="M148" s="2894"/>
      <c r="O148" s="2894"/>
      <c r="P148" s="2894"/>
      <c r="Q148" s="2894"/>
      <c r="R148" s="2894"/>
      <c r="S148" s="2894"/>
      <c r="U148" s="2894"/>
      <c r="V148" s="2894"/>
      <c r="W148" s="2894"/>
      <c r="X148" s="2894"/>
      <c r="Y148" s="2894"/>
    </row>
    <row r="149" spans="1:25" x14ac:dyDescent="0.2">
      <c r="C149" s="2894"/>
      <c r="D149" s="2894"/>
      <c r="E149" s="2894"/>
      <c r="F149" s="2894"/>
      <c r="G149" s="2894"/>
      <c r="I149" s="2894"/>
      <c r="J149" s="2894"/>
      <c r="K149" s="2894"/>
      <c r="L149" s="2894"/>
      <c r="M149" s="2894"/>
      <c r="O149" s="2894"/>
      <c r="P149" s="2894"/>
      <c r="Q149" s="2894"/>
      <c r="R149" s="2894"/>
      <c r="S149" s="2894"/>
      <c r="U149" s="2894"/>
      <c r="V149" s="2894"/>
      <c r="W149" s="2894"/>
      <c r="X149" s="2894"/>
      <c r="Y149" s="2894"/>
    </row>
    <row r="150" spans="1:25" x14ac:dyDescent="0.2">
      <c r="C150" s="2894"/>
      <c r="D150" s="2894"/>
      <c r="E150" s="2894"/>
      <c r="F150" s="2894"/>
      <c r="G150" s="2894"/>
      <c r="I150" s="2894"/>
      <c r="J150" s="2894"/>
      <c r="K150" s="2894"/>
      <c r="L150" s="2894"/>
      <c r="M150" s="2894"/>
      <c r="O150" s="2894"/>
      <c r="P150" s="2894"/>
      <c r="Q150" s="2894"/>
      <c r="R150" s="2894"/>
      <c r="S150" s="2894"/>
      <c r="U150" s="2894"/>
      <c r="V150" s="2894"/>
      <c r="W150" s="2894"/>
      <c r="X150" s="2894"/>
      <c r="Y150" s="2894"/>
    </row>
    <row r="151" spans="1:25" x14ac:dyDescent="0.2">
      <c r="C151" s="2894"/>
      <c r="D151" s="2894"/>
      <c r="E151" s="2894"/>
      <c r="F151" s="2894"/>
      <c r="G151" s="2894"/>
      <c r="I151" s="2894"/>
      <c r="J151" s="2894"/>
      <c r="K151" s="2894"/>
      <c r="L151" s="2894"/>
      <c r="M151" s="2894"/>
      <c r="O151" s="2894"/>
      <c r="P151" s="2894"/>
      <c r="Q151" s="2894"/>
      <c r="R151" s="2894"/>
      <c r="S151" s="2894"/>
      <c r="U151" s="2894"/>
      <c r="V151" s="2894"/>
      <c r="W151" s="2894"/>
      <c r="X151" s="2894"/>
      <c r="Y151" s="2894"/>
    </row>
    <row r="152" spans="1:25" x14ac:dyDescent="0.2">
      <c r="C152" s="2894"/>
      <c r="D152" s="2894"/>
      <c r="E152" s="2894"/>
      <c r="F152" s="2894"/>
      <c r="G152" s="2894"/>
      <c r="I152" s="2894"/>
      <c r="J152" s="2894"/>
      <c r="K152" s="2894"/>
      <c r="L152" s="2894"/>
      <c r="M152" s="2894"/>
      <c r="O152" s="2894"/>
      <c r="P152" s="2894"/>
      <c r="Q152" s="2894"/>
      <c r="R152" s="2894"/>
      <c r="S152" s="2894"/>
      <c r="U152" s="2894"/>
      <c r="V152" s="2894"/>
      <c r="W152" s="2894"/>
      <c r="X152" s="2894"/>
      <c r="Y152" s="2894"/>
    </row>
    <row r="153" spans="1:25" x14ac:dyDescent="0.2">
      <c r="C153" s="2894"/>
      <c r="D153" s="2894"/>
      <c r="E153" s="2894"/>
      <c r="F153" s="2894"/>
      <c r="G153" s="2894"/>
      <c r="I153" s="2894"/>
      <c r="J153" s="2894"/>
      <c r="K153" s="2894"/>
      <c r="L153" s="2894"/>
      <c r="M153" s="2894"/>
      <c r="O153" s="2894"/>
      <c r="P153" s="2894"/>
      <c r="Q153" s="2894"/>
      <c r="R153" s="2894"/>
      <c r="S153" s="2894"/>
      <c r="U153" s="2894"/>
      <c r="V153" s="2894"/>
      <c r="W153" s="2894"/>
      <c r="X153" s="2894"/>
      <c r="Y153" s="2894"/>
    </row>
    <row r="154" spans="1:25" ht="18" customHeight="1" x14ac:dyDescent="0.2">
      <c r="A154" s="22" t="s">
        <v>172</v>
      </c>
      <c r="B154" s="22"/>
      <c r="C154" s="2896">
        <v>1</v>
      </c>
      <c r="D154" s="2896"/>
      <c r="E154" s="2897">
        <f>E$8</f>
        <v>0</v>
      </c>
      <c r="F154" s="2897"/>
      <c r="G154" s="136"/>
      <c r="H154" s="4"/>
      <c r="I154" s="2896">
        <v>2</v>
      </c>
      <c r="J154" s="2896"/>
      <c r="K154" s="2897">
        <f>K$8</f>
        <v>0</v>
      </c>
      <c r="L154" s="2897"/>
      <c r="M154" s="136"/>
      <c r="N154" s="4"/>
      <c r="O154" s="2896">
        <v>3</v>
      </c>
      <c r="P154" s="2896"/>
      <c r="Q154" s="2897">
        <f>Q$8</f>
        <v>0</v>
      </c>
      <c r="R154" s="2897"/>
      <c r="S154" s="136"/>
      <c r="T154" s="4"/>
      <c r="U154" s="2896">
        <v>4</v>
      </c>
      <c r="V154" s="2896"/>
      <c r="W154" s="2897">
        <f>W$8</f>
        <v>0</v>
      </c>
      <c r="X154" s="2897"/>
      <c r="Y154" s="136"/>
    </row>
    <row r="155" spans="1:25" ht="27.7" customHeight="1" x14ac:dyDescent="0.2">
      <c r="B155" s="1375" t="s">
        <v>661</v>
      </c>
      <c r="C155" s="5"/>
      <c r="D155" s="5"/>
      <c r="E155" s="2895">
        <f>E$9</f>
        <v>0</v>
      </c>
      <c r="F155" s="2895"/>
      <c r="G155" s="12"/>
      <c r="H155" s="4"/>
      <c r="I155" s="5"/>
      <c r="J155" s="5"/>
      <c r="K155" s="2895">
        <f>K$9</f>
        <v>0</v>
      </c>
      <c r="L155" s="2895"/>
      <c r="M155" s="12"/>
      <c r="N155" s="4"/>
      <c r="O155" s="5"/>
      <c r="P155" s="5"/>
      <c r="Q155" s="2895">
        <f>Q$9</f>
        <v>0</v>
      </c>
      <c r="R155" s="2895"/>
      <c r="S155" s="12"/>
      <c r="T155" s="4"/>
      <c r="U155" s="5"/>
      <c r="V155" s="5"/>
      <c r="W155" s="2895">
        <f>W$9</f>
        <v>0</v>
      </c>
      <c r="X155" s="2895"/>
      <c r="Y155" s="12"/>
    </row>
    <row r="156" spans="1:25" ht="5.95" customHeight="1" x14ac:dyDescent="0.2">
      <c r="A156" s="4"/>
      <c r="B156" s="4"/>
      <c r="C156" s="5"/>
      <c r="D156" s="5"/>
      <c r="E156" s="5"/>
      <c r="F156" s="5"/>
      <c r="G156" s="5"/>
      <c r="H156" s="4"/>
      <c r="I156" s="5"/>
      <c r="J156" s="5"/>
      <c r="K156" s="5"/>
      <c r="L156" s="5"/>
      <c r="M156" s="5"/>
      <c r="N156" s="4"/>
      <c r="O156" s="5"/>
      <c r="P156" s="5"/>
      <c r="Q156" s="5"/>
      <c r="R156" s="5"/>
      <c r="S156" s="5"/>
      <c r="T156" s="4"/>
      <c r="U156" s="5"/>
      <c r="V156" s="5"/>
      <c r="W156" s="5"/>
      <c r="X156" s="5"/>
      <c r="Y156" s="5"/>
    </row>
    <row r="157" spans="1:25" x14ac:dyDescent="0.2">
      <c r="A157" s="4"/>
      <c r="B157" s="4"/>
      <c r="C157" s="2894"/>
      <c r="D157" s="2894"/>
      <c r="E157" s="2894"/>
      <c r="F157" s="2894"/>
      <c r="G157" s="2894"/>
      <c r="H157" s="15"/>
      <c r="I157" s="2894"/>
      <c r="J157" s="2894"/>
      <c r="K157" s="2894"/>
      <c r="L157" s="2894"/>
      <c r="M157" s="2894"/>
      <c r="N157" s="15"/>
      <c r="O157" s="2894"/>
      <c r="P157" s="2894"/>
      <c r="Q157" s="2894"/>
      <c r="R157" s="2894"/>
      <c r="S157" s="2894"/>
      <c r="T157" s="15"/>
      <c r="U157" s="2894"/>
      <c r="V157" s="2894"/>
      <c r="W157" s="2894"/>
      <c r="X157" s="2894"/>
      <c r="Y157" s="2894"/>
    </row>
    <row r="158" spans="1:25" x14ac:dyDescent="0.2">
      <c r="C158" s="2894"/>
      <c r="D158" s="2894"/>
      <c r="E158" s="2894"/>
      <c r="F158" s="2894"/>
      <c r="G158" s="2894"/>
      <c r="I158" s="2894"/>
      <c r="J158" s="2894"/>
      <c r="K158" s="2894"/>
      <c r="L158" s="2894"/>
      <c r="M158" s="2894"/>
      <c r="O158" s="2894"/>
      <c r="P158" s="2894"/>
      <c r="Q158" s="2894"/>
      <c r="R158" s="2894"/>
      <c r="S158" s="2894"/>
      <c r="U158" s="2894"/>
      <c r="V158" s="2894"/>
      <c r="W158" s="2894"/>
      <c r="X158" s="2894"/>
      <c r="Y158" s="2894"/>
    </row>
    <row r="159" spans="1:25" x14ac:dyDescent="0.2">
      <c r="C159" s="2894"/>
      <c r="D159" s="2894"/>
      <c r="E159" s="2894"/>
      <c r="F159" s="2894"/>
      <c r="G159" s="2894"/>
      <c r="I159" s="2894"/>
      <c r="J159" s="2894"/>
      <c r="K159" s="2894"/>
      <c r="L159" s="2894"/>
      <c r="M159" s="2894"/>
      <c r="O159" s="2894"/>
      <c r="P159" s="2894"/>
      <c r="Q159" s="2894"/>
      <c r="R159" s="2894"/>
      <c r="S159" s="2894"/>
      <c r="U159" s="2894"/>
      <c r="V159" s="2894"/>
      <c r="W159" s="2894"/>
      <c r="X159" s="2894"/>
      <c r="Y159" s="2894"/>
    </row>
    <row r="160" spans="1:25" x14ac:dyDescent="0.2">
      <c r="C160" s="2894"/>
      <c r="D160" s="2894"/>
      <c r="E160" s="2894"/>
      <c r="F160" s="2894"/>
      <c r="G160" s="2894"/>
      <c r="I160" s="2894"/>
      <c r="J160" s="2894"/>
      <c r="K160" s="2894"/>
      <c r="L160" s="2894"/>
      <c r="M160" s="2894"/>
      <c r="O160" s="2894"/>
      <c r="P160" s="2894"/>
      <c r="Q160" s="2894"/>
      <c r="R160" s="2894"/>
      <c r="S160" s="2894"/>
      <c r="U160" s="2894"/>
      <c r="V160" s="2894"/>
      <c r="W160" s="2894"/>
      <c r="X160" s="2894"/>
      <c r="Y160" s="2894"/>
    </row>
    <row r="161" spans="3:25" x14ac:dyDescent="0.2">
      <c r="C161" s="2894"/>
      <c r="D161" s="2894"/>
      <c r="E161" s="2894"/>
      <c r="F161" s="2894"/>
      <c r="G161" s="2894"/>
      <c r="I161" s="2894"/>
      <c r="J161" s="2894"/>
      <c r="K161" s="2894"/>
      <c r="L161" s="2894"/>
      <c r="M161" s="2894"/>
      <c r="O161" s="2894"/>
      <c r="P161" s="2894"/>
      <c r="Q161" s="2894"/>
      <c r="R161" s="2894"/>
      <c r="S161" s="2894"/>
      <c r="U161" s="2894"/>
      <c r="V161" s="2894"/>
      <c r="W161" s="2894"/>
      <c r="X161" s="2894"/>
      <c r="Y161" s="2894"/>
    </row>
    <row r="162" spans="3:25" x14ac:dyDescent="0.2">
      <c r="C162" s="2894"/>
      <c r="D162" s="2894"/>
      <c r="E162" s="2894"/>
      <c r="F162" s="2894"/>
      <c r="G162" s="2894"/>
      <c r="I162" s="2894"/>
      <c r="J162" s="2894"/>
      <c r="K162" s="2894"/>
      <c r="L162" s="2894"/>
      <c r="M162" s="2894"/>
      <c r="O162" s="2894"/>
      <c r="P162" s="2894"/>
      <c r="Q162" s="2894"/>
      <c r="R162" s="2894"/>
      <c r="S162" s="2894"/>
      <c r="U162" s="2894"/>
      <c r="V162" s="2894"/>
      <c r="W162" s="2894"/>
      <c r="X162" s="2894"/>
      <c r="Y162" s="2894"/>
    </row>
    <row r="163" spans="3:25" x14ac:dyDescent="0.2">
      <c r="C163" s="2894"/>
      <c r="D163" s="2894"/>
      <c r="E163" s="2894"/>
      <c r="F163" s="2894"/>
      <c r="G163" s="2894"/>
      <c r="I163" s="2894"/>
      <c r="J163" s="2894"/>
      <c r="K163" s="2894"/>
      <c r="L163" s="2894"/>
      <c r="M163" s="2894"/>
      <c r="O163" s="2894"/>
      <c r="P163" s="2894"/>
      <c r="Q163" s="2894"/>
      <c r="R163" s="2894"/>
      <c r="S163" s="2894"/>
      <c r="U163" s="2894"/>
      <c r="V163" s="2894"/>
      <c r="W163" s="2894"/>
      <c r="X163" s="2894"/>
      <c r="Y163" s="2894"/>
    </row>
    <row r="164" spans="3:25" x14ac:dyDescent="0.2">
      <c r="C164" s="2894"/>
      <c r="D164" s="2894"/>
      <c r="E164" s="2894"/>
      <c r="F164" s="2894"/>
      <c r="G164" s="2894"/>
      <c r="I164" s="2894"/>
      <c r="J164" s="2894"/>
      <c r="K164" s="2894"/>
      <c r="L164" s="2894"/>
      <c r="M164" s="2894"/>
      <c r="O164" s="2894"/>
      <c r="P164" s="2894"/>
      <c r="Q164" s="2894"/>
      <c r="R164" s="2894"/>
      <c r="S164" s="2894"/>
      <c r="U164" s="2894"/>
      <c r="V164" s="2894"/>
      <c r="W164" s="2894"/>
      <c r="X164" s="2894"/>
      <c r="Y164" s="2894"/>
    </row>
    <row r="165" spans="3:25" x14ac:dyDescent="0.2">
      <c r="C165" s="2894"/>
      <c r="D165" s="2894"/>
      <c r="E165" s="2894"/>
      <c r="F165" s="2894"/>
      <c r="G165" s="2894"/>
      <c r="I165" s="2894"/>
      <c r="J165" s="2894"/>
      <c r="K165" s="2894"/>
      <c r="L165" s="2894"/>
      <c r="M165" s="2894"/>
      <c r="O165" s="2894"/>
      <c r="P165" s="2894"/>
      <c r="Q165" s="2894"/>
      <c r="R165" s="2894"/>
      <c r="S165" s="2894"/>
      <c r="U165" s="2894"/>
      <c r="V165" s="2894"/>
      <c r="W165" s="2894"/>
      <c r="X165" s="2894"/>
      <c r="Y165" s="2894"/>
    </row>
    <row r="166" spans="3:25" x14ac:dyDescent="0.2">
      <c r="C166" s="2894"/>
      <c r="D166" s="2894"/>
      <c r="E166" s="2894"/>
      <c r="F166" s="2894"/>
      <c r="G166" s="2894"/>
      <c r="I166" s="2894"/>
      <c r="J166" s="2894"/>
      <c r="K166" s="2894"/>
      <c r="L166" s="2894"/>
      <c r="M166" s="2894"/>
      <c r="O166" s="2894"/>
      <c r="P166" s="2894"/>
      <c r="Q166" s="2894"/>
      <c r="R166" s="2894"/>
      <c r="S166" s="2894"/>
      <c r="U166" s="2894"/>
      <c r="V166" s="2894"/>
      <c r="W166" s="2894"/>
      <c r="X166" s="2894"/>
      <c r="Y166" s="2894"/>
    </row>
    <row r="167" spans="3:25" x14ac:dyDescent="0.2">
      <c r="C167" s="2894"/>
      <c r="D167" s="2894"/>
      <c r="E167" s="2894"/>
      <c r="F167" s="2894"/>
      <c r="G167" s="2894"/>
      <c r="I167" s="2894"/>
      <c r="J167" s="2894"/>
      <c r="K167" s="2894"/>
      <c r="L167" s="2894"/>
      <c r="M167" s="2894"/>
      <c r="O167" s="2894"/>
      <c r="P167" s="2894"/>
      <c r="Q167" s="2894"/>
      <c r="R167" s="2894"/>
      <c r="S167" s="2894"/>
      <c r="U167" s="2894"/>
      <c r="V167" s="2894"/>
      <c r="W167" s="2894"/>
      <c r="X167" s="2894"/>
      <c r="Y167" s="2894"/>
    </row>
    <row r="168" spans="3:25" x14ac:dyDescent="0.2">
      <c r="C168" s="2894"/>
      <c r="D168" s="2894"/>
      <c r="E168" s="2894"/>
      <c r="F168" s="2894"/>
      <c r="G168" s="2894"/>
      <c r="I168" s="2894"/>
      <c r="J168" s="2894"/>
      <c r="K168" s="2894"/>
      <c r="L168" s="2894"/>
      <c r="M168" s="2894"/>
      <c r="O168" s="2894"/>
      <c r="P168" s="2894"/>
      <c r="Q168" s="2894"/>
      <c r="R168" s="2894"/>
      <c r="S168" s="2894"/>
      <c r="U168" s="2894"/>
      <c r="V168" s="2894"/>
      <c r="W168" s="2894"/>
      <c r="X168" s="2894"/>
      <c r="Y168" s="2894"/>
    </row>
    <row r="169" spans="3:25" x14ac:dyDescent="0.2">
      <c r="C169" s="2894"/>
      <c r="D169" s="2894"/>
      <c r="E169" s="2894"/>
      <c r="F169" s="2894"/>
      <c r="G169" s="2894"/>
      <c r="I169" s="2894"/>
      <c r="J169" s="2894"/>
      <c r="K169" s="2894"/>
      <c r="L169" s="2894"/>
      <c r="M169" s="2894"/>
      <c r="O169" s="2894"/>
      <c r="P169" s="2894"/>
      <c r="Q169" s="2894"/>
      <c r="R169" s="2894"/>
      <c r="S169" s="2894"/>
      <c r="U169" s="2894"/>
      <c r="V169" s="2894"/>
      <c r="W169" s="2894"/>
      <c r="X169" s="2894"/>
      <c r="Y169" s="2894"/>
    </row>
    <row r="170" spans="3:25" x14ac:dyDescent="0.2">
      <c r="C170" s="2894"/>
      <c r="D170" s="2894"/>
      <c r="E170" s="2894"/>
      <c r="F170" s="2894"/>
      <c r="G170" s="2894"/>
      <c r="I170" s="2894"/>
      <c r="J170" s="2894"/>
      <c r="K170" s="2894"/>
      <c r="L170" s="2894"/>
      <c r="M170" s="2894"/>
      <c r="O170" s="2894"/>
      <c r="P170" s="2894"/>
      <c r="Q170" s="2894"/>
      <c r="R170" s="2894"/>
      <c r="S170" s="2894"/>
      <c r="U170" s="2894"/>
      <c r="V170" s="2894"/>
      <c r="W170" s="2894"/>
      <c r="X170" s="2894"/>
      <c r="Y170" s="2894"/>
    </row>
    <row r="171" spans="3:25" x14ac:dyDescent="0.2">
      <c r="C171" s="2894"/>
      <c r="D171" s="2894"/>
      <c r="E171" s="2894"/>
      <c r="F171" s="2894"/>
      <c r="G171" s="2894"/>
      <c r="I171" s="2894"/>
      <c r="J171" s="2894"/>
      <c r="K171" s="2894"/>
      <c r="L171" s="2894"/>
      <c r="M171" s="2894"/>
      <c r="O171" s="2894"/>
      <c r="P171" s="2894"/>
      <c r="Q171" s="2894"/>
      <c r="R171" s="2894"/>
      <c r="S171" s="2894"/>
      <c r="U171" s="2894"/>
      <c r="V171" s="2894"/>
      <c r="W171" s="2894"/>
      <c r="X171" s="2894"/>
      <c r="Y171" s="2894"/>
    </row>
    <row r="172" spans="3:25" x14ac:dyDescent="0.2">
      <c r="C172" s="2894"/>
      <c r="D172" s="2894"/>
      <c r="E172" s="2894"/>
      <c r="F172" s="2894"/>
      <c r="G172" s="2894"/>
      <c r="I172" s="2894"/>
      <c r="J172" s="2894"/>
      <c r="K172" s="2894"/>
      <c r="L172" s="2894"/>
      <c r="M172" s="2894"/>
      <c r="O172" s="2894"/>
      <c r="P172" s="2894"/>
      <c r="Q172" s="2894"/>
      <c r="R172" s="2894"/>
      <c r="S172" s="2894"/>
      <c r="U172" s="2894"/>
      <c r="V172" s="2894"/>
      <c r="W172" s="2894"/>
      <c r="X172" s="2894"/>
      <c r="Y172" s="2894"/>
    </row>
    <row r="173" spans="3:25" x14ac:dyDescent="0.2">
      <c r="C173" s="2894"/>
      <c r="D173" s="2894"/>
      <c r="E173" s="2894"/>
      <c r="F173" s="2894"/>
      <c r="G173" s="2894"/>
      <c r="I173" s="2894"/>
      <c r="J173" s="2894"/>
      <c r="K173" s="2894"/>
      <c r="L173" s="2894"/>
      <c r="M173" s="2894"/>
      <c r="O173" s="2894"/>
      <c r="P173" s="2894"/>
      <c r="Q173" s="2894"/>
      <c r="R173" s="2894"/>
      <c r="S173" s="2894"/>
      <c r="U173" s="2894"/>
      <c r="V173" s="2894"/>
      <c r="W173" s="2894"/>
      <c r="X173" s="2894"/>
      <c r="Y173" s="2894"/>
    </row>
    <row r="174" spans="3:25" x14ac:dyDescent="0.2">
      <c r="C174" s="2894"/>
      <c r="D174" s="2894"/>
      <c r="E174" s="2894"/>
      <c r="F174" s="2894"/>
      <c r="G174" s="2894"/>
      <c r="I174" s="2894"/>
      <c r="J174" s="2894"/>
      <c r="K174" s="2894"/>
      <c r="L174" s="2894"/>
      <c r="M174" s="2894"/>
      <c r="O174" s="2894"/>
      <c r="P174" s="2894"/>
      <c r="Q174" s="2894"/>
      <c r="R174" s="2894"/>
      <c r="S174" s="2894"/>
      <c r="U174" s="2894"/>
      <c r="V174" s="2894"/>
      <c r="W174" s="2894"/>
      <c r="X174" s="2894"/>
      <c r="Y174" s="2894"/>
    </row>
    <row r="175" spans="3:25" x14ac:dyDescent="0.2">
      <c r="C175" s="2894"/>
      <c r="D175" s="2894"/>
      <c r="E175" s="2894"/>
      <c r="F175" s="2894"/>
      <c r="G175" s="2894"/>
      <c r="I175" s="2894"/>
      <c r="J175" s="2894"/>
      <c r="K175" s="2894"/>
      <c r="L175" s="2894"/>
      <c r="M175" s="2894"/>
      <c r="O175" s="2894"/>
      <c r="P175" s="2894"/>
      <c r="Q175" s="2894"/>
      <c r="R175" s="2894"/>
      <c r="S175" s="2894"/>
      <c r="U175" s="2894"/>
      <c r="V175" s="2894"/>
      <c r="W175" s="2894"/>
      <c r="X175" s="2894"/>
      <c r="Y175" s="2894"/>
    </row>
    <row r="176" spans="3:25" x14ac:dyDescent="0.2">
      <c r="C176" s="2894"/>
      <c r="D176" s="2894"/>
      <c r="E176" s="2894"/>
      <c r="F176" s="2894"/>
      <c r="G176" s="2894"/>
      <c r="I176" s="2894"/>
      <c r="J176" s="2894"/>
      <c r="K176" s="2894"/>
      <c r="L176" s="2894"/>
      <c r="M176" s="2894"/>
      <c r="O176" s="2894"/>
      <c r="P176" s="2894"/>
      <c r="Q176" s="2894"/>
      <c r="R176" s="2894"/>
      <c r="S176" s="2894"/>
      <c r="U176" s="2894"/>
      <c r="V176" s="2894"/>
      <c r="W176" s="2894"/>
      <c r="X176" s="2894"/>
      <c r="Y176" s="2894"/>
    </row>
    <row r="177" spans="1:25" x14ac:dyDescent="0.2">
      <c r="C177" s="2894"/>
      <c r="D177" s="2894"/>
      <c r="E177" s="2894"/>
      <c r="F177" s="2894"/>
      <c r="G177" s="2894"/>
      <c r="I177" s="2894"/>
      <c r="J177" s="2894"/>
      <c r="K177" s="2894"/>
      <c r="L177" s="2894"/>
      <c r="M177" s="2894"/>
      <c r="O177" s="2894"/>
      <c r="P177" s="2894"/>
      <c r="Q177" s="2894"/>
      <c r="R177" s="2894"/>
      <c r="S177" s="2894"/>
      <c r="U177" s="2894"/>
      <c r="V177" s="2894"/>
      <c r="W177" s="2894"/>
      <c r="X177" s="2894"/>
      <c r="Y177" s="2894"/>
    </row>
    <row r="178" spans="1:25" x14ac:dyDescent="0.2">
      <c r="C178" s="2894"/>
      <c r="D178" s="2894"/>
      <c r="E178" s="2894"/>
      <c r="F178" s="2894"/>
      <c r="G178" s="2894"/>
      <c r="I178" s="2894"/>
      <c r="J178" s="2894"/>
      <c r="K178" s="2894"/>
      <c r="L178" s="2894"/>
      <c r="M178" s="2894"/>
      <c r="O178" s="2894"/>
      <c r="P178" s="2894"/>
      <c r="Q178" s="2894"/>
      <c r="R178" s="2894"/>
      <c r="S178" s="2894"/>
      <c r="U178" s="2894"/>
      <c r="V178" s="2894"/>
      <c r="W178" s="2894"/>
      <c r="X178" s="2894"/>
      <c r="Y178" s="2894"/>
    </row>
    <row r="179" spans="1:25" x14ac:dyDescent="0.2">
      <c r="C179" s="2894"/>
      <c r="D179" s="2894"/>
      <c r="E179" s="2894"/>
      <c r="F179" s="2894"/>
      <c r="G179" s="2894"/>
      <c r="I179" s="2894"/>
      <c r="J179" s="2894"/>
      <c r="K179" s="2894"/>
      <c r="L179" s="2894"/>
      <c r="M179" s="2894"/>
      <c r="O179" s="2894"/>
      <c r="P179" s="2894"/>
      <c r="Q179" s="2894"/>
      <c r="R179" s="2894"/>
      <c r="S179" s="2894"/>
      <c r="U179" s="2894"/>
      <c r="V179" s="2894"/>
      <c r="W179" s="2894"/>
      <c r="X179" s="2894"/>
      <c r="Y179" s="2894"/>
    </row>
    <row r="180" spans="1:25" x14ac:dyDescent="0.2">
      <c r="C180" s="2894"/>
      <c r="D180" s="2894"/>
      <c r="E180" s="2894"/>
      <c r="F180" s="2894"/>
      <c r="G180" s="2894"/>
      <c r="I180" s="2894"/>
      <c r="J180" s="2894"/>
      <c r="K180" s="2894"/>
      <c r="L180" s="2894"/>
      <c r="M180" s="2894"/>
      <c r="O180" s="2894"/>
      <c r="P180" s="2894"/>
      <c r="Q180" s="2894"/>
      <c r="R180" s="2894"/>
      <c r="S180" s="2894"/>
      <c r="U180" s="2894"/>
      <c r="V180" s="2894"/>
      <c r="W180" s="2894"/>
      <c r="X180" s="2894"/>
      <c r="Y180" s="2894"/>
    </row>
    <row r="181" spans="1:25" x14ac:dyDescent="0.2">
      <c r="C181" s="2894"/>
      <c r="D181" s="2894"/>
      <c r="E181" s="2894"/>
      <c r="F181" s="2894"/>
      <c r="G181" s="2894"/>
      <c r="I181" s="2894"/>
      <c r="J181" s="2894"/>
      <c r="K181" s="2894"/>
      <c r="L181" s="2894"/>
      <c r="M181" s="2894"/>
      <c r="O181" s="2894"/>
      <c r="P181" s="2894"/>
      <c r="Q181" s="2894"/>
      <c r="R181" s="2894"/>
      <c r="S181" s="2894"/>
      <c r="U181" s="2894"/>
      <c r="V181" s="2894"/>
      <c r="W181" s="2894"/>
      <c r="X181" s="2894"/>
      <c r="Y181" s="2894"/>
    </row>
    <row r="182" spans="1:25" ht="18" customHeight="1" x14ac:dyDescent="0.2">
      <c r="A182" s="119" t="s">
        <v>545</v>
      </c>
      <c r="B182" s="119"/>
      <c r="C182" s="2896">
        <v>1</v>
      </c>
      <c r="D182" s="2896"/>
      <c r="E182" s="2897">
        <f>E$8</f>
        <v>0</v>
      </c>
      <c r="F182" s="2897"/>
      <c r="G182" s="123"/>
      <c r="H182" s="4"/>
      <c r="I182" s="2896">
        <v>2</v>
      </c>
      <c r="J182" s="2896"/>
      <c r="K182" s="2897">
        <f>K$8</f>
        <v>0</v>
      </c>
      <c r="L182" s="2897"/>
      <c r="M182" s="123"/>
      <c r="N182" s="4"/>
      <c r="O182" s="2896">
        <v>3</v>
      </c>
      <c r="P182" s="2896"/>
      <c r="Q182" s="2897">
        <f>Q$8</f>
        <v>0</v>
      </c>
      <c r="R182" s="2897"/>
      <c r="S182" s="123"/>
      <c r="T182" s="4"/>
      <c r="U182" s="2896">
        <v>4</v>
      </c>
      <c r="V182" s="2896"/>
      <c r="W182" s="2897">
        <f>W$8</f>
        <v>0</v>
      </c>
      <c r="X182" s="2897"/>
      <c r="Y182" s="123"/>
    </row>
    <row r="183" spans="1:25" ht="27.7" customHeight="1" x14ac:dyDescent="0.2">
      <c r="B183" s="1375" t="s">
        <v>5</v>
      </c>
      <c r="C183" s="5"/>
      <c r="D183" s="5"/>
      <c r="E183" s="2895">
        <f>E$9</f>
        <v>0</v>
      </c>
      <c r="F183" s="2895"/>
      <c r="G183" s="12"/>
      <c r="H183" s="4"/>
      <c r="I183" s="5"/>
      <c r="J183" s="5"/>
      <c r="K183" s="2895">
        <f>K$9</f>
        <v>0</v>
      </c>
      <c r="L183" s="2895"/>
      <c r="M183" s="12"/>
      <c r="N183" s="4"/>
      <c r="O183" s="5"/>
      <c r="P183" s="5"/>
      <c r="Q183" s="2895">
        <f>Q$9</f>
        <v>0</v>
      </c>
      <c r="R183" s="2895"/>
      <c r="S183" s="12"/>
      <c r="T183" s="4"/>
      <c r="U183" s="5"/>
      <c r="V183" s="5"/>
      <c r="W183" s="2895">
        <f>W$9</f>
        <v>0</v>
      </c>
      <c r="X183" s="2895"/>
      <c r="Y183" s="12"/>
    </row>
    <row r="184" spans="1:25" ht="5.95" customHeight="1" x14ac:dyDescent="0.2">
      <c r="A184" s="4"/>
      <c r="B184" s="4"/>
      <c r="C184" s="5"/>
      <c r="D184" s="5"/>
      <c r="E184" s="5"/>
      <c r="F184" s="5"/>
      <c r="G184" s="5"/>
      <c r="H184" s="4"/>
      <c r="I184" s="5"/>
      <c r="J184" s="5"/>
      <c r="K184" s="5"/>
      <c r="L184" s="5"/>
      <c r="M184" s="5"/>
      <c r="N184" s="4"/>
      <c r="O184" s="5"/>
      <c r="P184" s="5"/>
      <c r="Q184" s="5"/>
      <c r="R184" s="5"/>
      <c r="S184" s="5"/>
      <c r="T184" s="4"/>
      <c r="U184" s="5"/>
      <c r="V184" s="5"/>
      <c r="W184" s="5"/>
      <c r="X184" s="5"/>
      <c r="Y184" s="5"/>
    </row>
    <row r="185" spans="1:25" x14ac:dyDescent="0.2">
      <c r="A185" s="4"/>
      <c r="B185" s="4"/>
      <c r="C185" s="2894"/>
      <c r="D185" s="2894"/>
      <c r="E185" s="2894"/>
      <c r="F185" s="2894"/>
      <c r="G185" s="2894"/>
      <c r="H185" s="15"/>
      <c r="I185" s="2894"/>
      <c r="J185" s="2894"/>
      <c r="K185" s="2894"/>
      <c r="L185" s="2894"/>
      <c r="M185" s="2894"/>
      <c r="N185" s="15"/>
      <c r="O185" s="2894"/>
      <c r="P185" s="2894"/>
      <c r="Q185" s="2894"/>
      <c r="R185" s="2894"/>
      <c r="S185" s="2894"/>
      <c r="T185" s="15"/>
      <c r="U185" s="2894"/>
      <c r="V185" s="2894"/>
      <c r="W185" s="2894"/>
      <c r="X185" s="2894"/>
      <c r="Y185" s="2894"/>
    </row>
    <row r="186" spans="1:25" x14ac:dyDescent="0.2">
      <c r="C186" s="2894"/>
      <c r="D186" s="2894"/>
      <c r="E186" s="2894"/>
      <c r="F186" s="2894"/>
      <c r="G186" s="2894"/>
      <c r="I186" s="2894"/>
      <c r="J186" s="2894"/>
      <c r="K186" s="2894"/>
      <c r="L186" s="2894"/>
      <c r="M186" s="2894"/>
      <c r="O186" s="2894"/>
      <c r="P186" s="2894"/>
      <c r="Q186" s="2894"/>
      <c r="R186" s="2894"/>
      <c r="S186" s="2894"/>
      <c r="U186" s="2894"/>
      <c r="V186" s="2894"/>
      <c r="W186" s="2894"/>
      <c r="X186" s="2894"/>
      <c r="Y186" s="2894"/>
    </row>
    <row r="187" spans="1:25" x14ac:dyDescent="0.2">
      <c r="C187" s="2894"/>
      <c r="D187" s="2894"/>
      <c r="E187" s="2894"/>
      <c r="F187" s="2894"/>
      <c r="G187" s="2894"/>
      <c r="I187" s="2894"/>
      <c r="J187" s="2894"/>
      <c r="K187" s="2894"/>
      <c r="L187" s="2894"/>
      <c r="M187" s="2894"/>
      <c r="O187" s="2894"/>
      <c r="P187" s="2894"/>
      <c r="Q187" s="2894"/>
      <c r="R187" s="2894"/>
      <c r="S187" s="2894"/>
      <c r="U187" s="2894"/>
      <c r="V187" s="2894"/>
      <c r="W187" s="2894"/>
      <c r="X187" s="2894"/>
      <c r="Y187" s="2894"/>
    </row>
    <row r="188" spans="1:25" x14ac:dyDescent="0.2">
      <c r="C188" s="2894"/>
      <c r="D188" s="2894"/>
      <c r="E188" s="2894"/>
      <c r="F188" s="2894"/>
      <c r="G188" s="2894"/>
      <c r="I188" s="2894"/>
      <c r="J188" s="2894"/>
      <c r="K188" s="2894"/>
      <c r="L188" s="2894"/>
      <c r="M188" s="2894"/>
      <c r="O188" s="2894"/>
      <c r="P188" s="2894"/>
      <c r="Q188" s="2894"/>
      <c r="R188" s="2894"/>
      <c r="S188" s="2894"/>
      <c r="U188" s="2894"/>
      <c r="V188" s="2894"/>
      <c r="W188" s="2894"/>
      <c r="X188" s="2894"/>
      <c r="Y188" s="2894"/>
    </row>
    <row r="189" spans="1:25" x14ac:dyDescent="0.2">
      <c r="C189" s="2894"/>
      <c r="D189" s="2894"/>
      <c r="E189" s="2894"/>
      <c r="F189" s="2894"/>
      <c r="G189" s="2894"/>
      <c r="I189" s="2894"/>
      <c r="J189" s="2894"/>
      <c r="K189" s="2894"/>
      <c r="L189" s="2894"/>
      <c r="M189" s="2894"/>
      <c r="O189" s="2894"/>
      <c r="P189" s="2894"/>
      <c r="Q189" s="2894"/>
      <c r="R189" s="2894"/>
      <c r="S189" s="2894"/>
      <c r="U189" s="2894"/>
      <c r="V189" s="2894"/>
      <c r="W189" s="2894"/>
      <c r="X189" s="2894"/>
      <c r="Y189" s="2894"/>
    </row>
    <row r="190" spans="1:25" x14ac:dyDescent="0.2">
      <c r="C190" s="2894"/>
      <c r="D190" s="2894"/>
      <c r="E190" s="2894"/>
      <c r="F190" s="2894"/>
      <c r="G190" s="2894"/>
      <c r="I190" s="2894"/>
      <c r="J190" s="2894"/>
      <c r="K190" s="2894"/>
      <c r="L190" s="2894"/>
      <c r="M190" s="2894"/>
      <c r="O190" s="2894"/>
      <c r="P190" s="2894"/>
      <c r="Q190" s="2894"/>
      <c r="R190" s="2894"/>
      <c r="S190" s="2894"/>
      <c r="U190" s="2894"/>
      <c r="V190" s="2894"/>
      <c r="W190" s="2894"/>
      <c r="X190" s="2894"/>
      <c r="Y190" s="2894"/>
    </row>
    <row r="191" spans="1:25" x14ac:dyDescent="0.2">
      <c r="C191" s="2894"/>
      <c r="D191" s="2894"/>
      <c r="E191" s="2894"/>
      <c r="F191" s="2894"/>
      <c r="G191" s="2894"/>
      <c r="I191" s="2894"/>
      <c r="J191" s="2894"/>
      <c r="K191" s="2894"/>
      <c r="L191" s="2894"/>
      <c r="M191" s="2894"/>
      <c r="O191" s="2894"/>
      <c r="P191" s="2894"/>
      <c r="Q191" s="2894"/>
      <c r="R191" s="2894"/>
      <c r="S191" s="2894"/>
      <c r="U191" s="2894"/>
      <c r="V191" s="2894"/>
      <c r="W191" s="2894"/>
      <c r="X191" s="2894"/>
      <c r="Y191" s="2894"/>
    </row>
    <row r="192" spans="1:25" x14ac:dyDescent="0.2">
      <c r="C192" s="2894"/>
      <c r="D192" s="2894"/>
      <c r="E192" s="2894"/>
      <c r="F192" s="2894"/>
      <c r="G192" s="2894"/>
      <c r="I192" s="2894"/>
      <c r="J192" s="2894"/>
      <c r="K192" s="2894"/>
      <c r="L192" s="2894"/>
      <c r="M192" s="2894"/>
      <c r="O192" s="2894"/>
      <c r="P192" s="2894"/>
      <c r="Q192" s="2894"/>
      <c r="R192" s="2894"/>
      <c r="S192" s="2894"/>
      <c r="U192" s="2894"/>
      <c r="V192" s="2894"/>
      <c r="W192" s="2894"/>
      <c r="X192" s="2894"/>
      <c r="Y192" s="2894"/>
    </row>
    <row r="193" spans="3:25" x14ac:dyDescent="0.2">
      <c r="C193" s="2894"/>
      <c r="D193" s="2894"/>
      <c r="E193" s="2894"/>
      <c r="F193" s="2894"/>
      <c r="G193" s="2894"/>
      <c r="I193" s="2894"/>
      <c r="J193" s="2894"/>
      <c r="K193" s="2894"/>
      <c r="L193" s="2894"/>
      <c r="M193" s="2894"/>
      <c r="O193" s="2894"/>
      <c r="P193" s="2894"/>
      <c r="Q193" s="2894"/>
      <c r="R193" s="2894"/>
      <c r="S193" s="2894"/>
      <c r="U193" s="2894"/>
      <c r="V193" s="2894"/>
      <c r="W193" s="2894"/>
      <c r="X193" s="2894"/>
      <c r="Y193" s="2894"/>
    </row>
    <row r="194" spans="3:25" x14ac:dyDescent="0.2">
      <c r="C194" s="2894"/>
      <c r="D194" s="2894"/>
      <c r="E194" s="2894"/>
      <c r="F194" s="2894"/>
      <c r="G194" s="2894"/>
      <c r="I194" s="2894"/>
      <c r="J194" s="2894"/>
      <c r="K194" s="2894"/>
      <c r="L194" s="2894"/>
      <c r="M194" s="2894"/>
      <c r="O194" s="2894"/>
      <c r="P194" s="2894"/>
      <c r="Q194" s="2894"/>
      <c r="R194" s="2894"/>
      <c r="S194" s="2894"/>
      <c r="U194" s="2894"/>
      <c r="V194" s="2894"/>
      <c r="W194" s="2894"/>
      <c r="X194" s="2894"/>
      <c r="Y194" s="2894"/>
    </row>
    <row r="195" spans="3:25" x14ac:dyDescent="0.2">
      <c r="C195" s="2894"/>
      <c r="D195" s="2894"/>
      <c r="E195" s="2894"/>
      <c r="F195" s="2894"/>
      <c r="G195" s="2894"/>
      <c r="I195" s="2894"/>
      <c r="J195" s="2894"/>
      <c r="K195" s="2894"/>
      <c r="L195" s="2894"/>
      <c r="M195" s="2894"/>
      <c r="O195" s="2894"/>
      <c r="P195" s="2894"/>
      <c r="Q195" s="2894"/>
      <c r="R195" s="2894"/>
      <c r="S195" s="2894"/>
      <c r="U195" s="2894"/>
      <c r="V195" s="2894"/>
      <c r="W195" s="2894"/>
      <c r="X195" s="2894"/>
      <c r="Y195" s="2894"/>
    </row>
    <row r="196" spans="3:25" x14ac:dyDescent="0.2">
      <c r="C196" s="2894"/>
      <c r="D196" s="2894"/>
      <c r="E196" s="2894"/>
      <c r="F196" s="2894"/>
      <c r="G196" s="2894"/>
      <c r="I196" s="2894"/>
      <c r="J196" s="2894"/>
      <c r="K196" s="2894"/>
      <c r="L196" s="2894"/>
      <c r="M196" s="2894"/>
      <c r="O196" s="2894"/>
      <c r="P196" s="2894"/>
      <c r="Q196" s="2894"/>
      <c r="R196" s="2894"/>
      <c r="S196" s="2894"/>
      <c r="U196" s="2894"/>
      <c r="V196" s="2894"/>
      <c r="W196" s="2894"/>
      <c r="X196" s="2894"/>
      <c r="Y196" s="2894"/>
    </row>
    <row r="197" spans="3:25" x14ac:dyDescent="0.2">
      <c r="C197" s="2894"/>
      <c r="D197" s="2894"/>
      <c r="E197" s="2894"/>
      <c r="F197" s="2894"/>
      <c r="G197" s="2894"/>
      <c r="I197" s="2894"/>
      <c r="J197" s="2894"/>
      <c r="K197" s="2894"/>
      <c r="L197" s="2894"/>
      <c r="M197" s="2894"/>
      <c r="O197" s="2894"/>
      <c r="P197" s="2894"/>
      <c r="Q197" s="2894"/>
      <c r="R197" s="2894"/>
      <c r="S197" s="2894"/>
      <c r="U197" s="2894"/>
      <c r="V197" s="2894"/>
      <c r="W197" s="2894"/>
      <c r="X197" s="2894"/>
      <c r="Y197" s="2894"/>
    </row>
    <row r="198" spans="3:25" x14ac:dyDescent="0.2">
      <c r="C198" s="2894"/>
      <c r="D198" s="2894"/>
      <c r="E198" s="2894"/>
      <c r="F198" s="2894"/>
      <c r="G198" s="2894"/>
      <c r="I198" s="2894"/>
      <c r="J198" s="2894"/>
      <c r="K198" s="2894"/>
      <c r="L198" s="2894"/>
      <c r="M198" s="2894"/>
      <c r="O198" s="2894"/>
      <c r="P198" s="2894"/>
      <c r="Q198" s="2894"/>
      <c r="R198" s="2894"/>
      <c r="S198" s="2894"/>
      <c r="U198" s="2894"/>
      <c r="V198" s="2894"/>
      <c r="W198" s="2894"/>
      <c r="X198" s="2894"/>
      <c r="Y198" s="2894"/>
    </row>
    <row r="199" spans="3:25" x14ac:dyDescent="0.2">
      <c r="C199" s="2894"/>
      <c r="D199" s="2894"/>
      <c r="E199" s="2894"/>
      <c r="F199" s="2894"/>
      <c r="G199" s="2894"/>
      <c r="I199" s="2894"/>
      <c r="J199" s="2894"/>
      <c r="K199" s="2894"/>
      <c r="L199" s="2894"/>
      <c r="M199" s="2894"/>
      <c r="O199" s="2894"/>
      <c r="P199" s="2894"/>
      <c r="Q199" s="2894"/>
      <c r="R199" s="2894"/>
      <c r="S199" s="2894"/>
      <c r="U199" s="2894"/>
      <c r="V199" s="2894"/>
      <c r="W199" s="2894"/>
      <c r="X199" s="2894"/>
      <c r="Y199" s="2894"/>
    </row>
    <row r="200" spans="3:25" x14ac:dyDescent="0.2">
      <c r="C200" s="2894"/>
      <c r="D200" s="2894"/>
      <c r="E200" s="2894"/>
      <c r="F200" s="2894"/>
      <c r="G200" s="2894"/>
      <c r="I200" s="2894"/>
      <c r="J200" s="2894"/>
      <c r="K200" s="2894"/>
      <c r="L200" s="2894"/>
      <c r="M200" s="2894"/>
      <c r="O200" s="2894"/>
      <c r="P200" s="2894"/>
      <c r="Q200" s="2894"/>
      <c r="R200" s="2894"/>
      <c r="S200" s="2894"/>
      <c r="U200" s="2894"/>
      <c r="V200" s="2894"/>
      <c r="W200" s="2894"/>
      <c r="X200" s="2894"/>
      <c r="Y200" s="2894"/>
    </row>
    <row r="201" spans="3:25" x14ac:dyDescent="0.2">
      <c r="C201" s="2894"/>
      <c r="D201" s="2894"/>
      <c r="E201" s="2894"/>
      <c r="F201" s="2894"/>
      <c r="G201" s="2894"/>
      <c r="I201" s="2894"/>
      <c r="J201" s="2894"/>
      <c r="K201" s="2894"/>
      <c r="L201" s="2894"/>
      <c r="M201" s="2894"/>
      <c r="O201" s="2894"/>
      <c r="P201" s="2894"/>
      <c r="Q201" s="2894"/>
      <c r="R201" s="2894"/>
      <c r="S201" s="2894"/>
      <c r="U201" s="2894"/>
      <c r="V201" s="2894"/>
      <c r="W201" s="2894"/>
      <c r="X201" s="2894"/>
      <c r="Y201" s="2894"/>
    </row>
    <row r="202" spans="3:25" x14ac:dyDescent="0.2">
      <c r="C202" s="2894"/>
      <c r="D202" s="2894"/>
      <c r="E202" s="2894"/>
      <c r="F202" s="2894"/>
      <c r="G202" s="2894"/>
      <c r="I202" s="2894"/>
      <c r="J202" s="2894"/>
      <c r="K202" s="2894"/>
      <c r="L202" s="2894"/>
      <c r="M202" s="2894"/>
      <c r="O202" s="2894"/>
      <c r="P202" s="2894"/>
      <c r="Q202" s="2894"/>
      <c r="R202" s="2894"/>
      <c r="S202" s="2894"/>
      <c r="U202" s="2894"/>
      <c r="V202" s="2894"/>
      <c r="W202" s="2894"/>
      <c r="X202" s="2894"/>
      <c r="Y202" s="2894"/>
    </row>
    <row r="203" spans="3:25" x14ac:dyDescent="0.2">
      <c r="C203" s="2894"/>
      <c r="D203" s="2894"/>
      <c r="E203" s="2894"/>
      <c r="F203" s="2894"/>
      <c r="G203" s="2894"/>
      <c r="I203" s="2894"/>
      <c r="J203" s="2894"/>
      <c r="K203" s="2894"/>
      <c r="L203" s="2894"/>
      <c r="M203" s="2894"/>
      <c r="O203" s="2894"/>
      <c r="P203" s="2894"/>
      <c r="Q203" s="2894"/>
      <c r="R203" s="2894"/>
      <c r="S203" s="2894"/>
      <c r="U203" s="2894"/>
      <c r="V203" s="2894"/>
      <c r="W203" s="2894"/>
      <c r="X203" s="2894"/>
      <c r="Y203" s="2894"/>
    </row>
    <row r="204" spans="3:25" x14ac:dyDescent="0.2">
      <c r="C204" s="2894"/>
      <c r="D204" s="2894"/>
      <c r="E204" s="2894"/>
      <c r="F204" s="2894"/>
      <c r="G204" s="2894"/>
      <c r="I204" s="2894"/>
      <c r="J204" s="2894"/>
      <c r="K204" s="2894"/>
      <c r="L204" s="2894"/>
      <c r="M204" s="2894"/>
      <c r="O204" s="2894"/>
      <c r="P204" s="2894"/>
      <c r="Q204" s="2894"/>
      <c r="R204" s="2894"/>
      <c r="S204" s="2894"/>
      <c r="U204" s="2894"/>
      <c r="V204" s="2894"/>
      <c r="W204" s="2894"/>
      <c r="X204" s="2894"/>
      <c r="Y204" s="2894"/>
    </row>
    <row r="205" spans="3:25" x14ac:dyDescent="0.2">
      <c r="C205" s="2894"/>
      <c r="D205" s="2894"/>
      <c r="E205" s="2894"/>
      <c r="F205" s="2894"/>
      <c r="G205" s="2894"/>
      <c r="I205" s="2894"/>
      <c r="J205" s="2894"/>
      <c r="K205" s="2894"/>
      <c r="L205" s="2894"/>
      <c r="M205" s="2894"/>
      <c r="O205" s="2894"/>
      <c r="P205" s="2894"/>
      <c r="Q205" s="2894"/>
      <c r="R205" s="2894"/>
      <c r="S205" s="2894"/>
      <c r="U205" s="2894"/>
      <c r="V205" s="2894"/>
      <c r="W205" s="2894"/>
      <c r="X205" s="2894"/>
      <c r="Y205" s="2894"/>
    </row>
    <row r="206" spans="3:25" x14ac:dyDescent="0.2">
      <c r="C206" s="2894"/>
      <c r="D206" s="2894"/>
      <c r="E206" s="2894"/>
      <c r="F206" s="2894"/>
      <c r="G206" s="2894"/>
      <c r="I206" s="2894"/>
      <c r="J206" s="2894"/>
      <c r="K206" s="2894"/>
      <c r="L206" s="2894"/>
      <c r="M206" s="2894"/>
      <c r="O206" s="2894"/>
      <c r="P206" s="2894"/>
      <c r="Q206" s="2894"/>
      <c r="R206" s="2894"/>
      <c r="S206" s="2894"/>
      <c r="U206" s="2894"/>
      <c r="V206" s="2894"/>
      <c r="W206" s="2894"/>
      <c r="X206" s="2894"/>
      <c r="Y206" s="2894"/>
    </row>
    <row r="207" spans="3:25" x14ac:dyDescent="0.2">
      <c r="C207" s="2894"/>
      <c r="D207" s="2894"/>
      <c r="E207" s="2894"/>
      <c r="F207" s="2894"/>
      <c r="G207" s="2894"/>
      <c r="I207" s="2894"/>
      <c r="J207" s="2894"/>
      <c r="K207" s="2894"/>
      <c r="L207" s="2894"/>
      <c r="M207" s="2894"/>
      <c r="O207" s="2894"/>
      <c r="P207" s="2894"/>
      <c r="Q207" s="2894"/>
      <c r="R207" s="2894"/>
      <c r="S207" s="2894"/>
      <c r="U207" s="2894"/>
      <c r="V207" s="2894"/>
      <c r="W207" s="2894"/>
      <c r="X207" s="2894"/>
      <c r="Y207" s="2894"/>
    </row>
    <row r="208" spans="3:25" x14ac:dyDescent="0.2">
      <c r="C208" s="2894"/>
      <c r="D208" s="2894"/>
      <c r="E208" s="2894"/>
      <c r="F208" s="2894"/>
      <c r="G208" s="2894"/>
      <c r="I208" s="2894"/>
      <c r="J208" s="2894"/>
      <c r="K208" s="2894"/>
      <c r="L208" s="2894"/>
      <c r="M208" s="2894"/>
      <c r="O208" s="2894"/>
      <c r="P208" s="2894"/>
      <c r="Q208" s="2894"/>
      <c r="R208" s="2894"/>
      <c r="S208" s="2894"/>
      <c r="U208" s="2894"/>
      <c r="V208" s="2894"/>
      <c r="W208" s="2894"/>
      <c r="X208" s="2894"/>
      <c r="Y208" s="2894"/>
    </row>
    <row r="209" spans="1:25" x14ac:dyDescent="0.2">
      <c r="C209" s="2894"/>
      <c r="D209" s="2894"/>
      <c r="E209" s="2894"/>
      <c r="F209" s="2894"/>
      <c r="G209" s="2894"/>
      <c r="I209" s="2894"/>
      <c r="J209" s="2894"/>
      <c r="K209" s="2894"/>
      <c r="L209" s="2894"/>
      <c r="M209" s="2894"/>
      <c r="O209" s="2894"/>
      <c r="P209" s="2894"/>
      <c r="Q209" s="2894"/>
      <c r="R209" s="2894"/>
      <c r="S209" s="2894"/>
      <c r="U209" s="2894"/>
      <c r="V209" s="2894"/>
      <c r="W209" s="2894"/>
      <c r="X209" s="2894"/>
      <c r="Y209" s="2894"/>
    </row>
    <row r="210" spans="1:25" s="522" customFormat="1" ht="18" customHeight="1" x14ac:dyDescent="0.2">
      <c r="A210" s="22" t="s">
        <v>478</v>
      </c>
      <c r="B210" s="22"/>
      <c r="C210" s="2896">
        <v>1</v>
      </c>
      <c r="D210" s="2896"/>
      <c r="E210" s="2897">
        <f>E$8</f>
        <v>0</v>
      </c>
      <c r="F210" s="2897"/>
      <c r="G210" s="523"/>
      <c r="H210" s="4"/>
      <c r="I210" s="2896">
        <v>2</v>
      </c>
      <c r="J210" s="2896"/>
      <c r="K210" s="2897">
        <f>K$8</f>
        <v>0</v>
      </c>
      <c r="L210" s="2897"/>
      <c r="M210" s="523"/>
      <c r="N210" s="4"/>
      <c r="O210" s="2896">
        <v>3</v>
      </c>
      <c r="P210" s="2896"/>
      <c r="Q210" s="2897">
        <f>Q$8</f>
        <v>0</v>
      </c>
      <c r="R210" s="2897"/>
      <c r="S210" s="523"/>
      <c r="T210" s="4"/>
      <c r="U210" s="2896">
        <v>4</v>
      </c>
      <c r="V210" s="2896"/>
      <c r="W210" s="2897">
        <f>W$8</f>
        <v>0</v>
      </c>
      <c r="X210" s="2897"/>
      <c r="Y210" s="523"/>
    </row>
    <row r="211" spans="1:25" s="522" customFormat="1" ht="27.7" customHeight="1" x14ac:dyDescent="0.2">
      <c r="A211" s="1374" t="str">
        <f>Projektdaten!G31</f>
        <v>Förderbeiträge berücksichtigen</v>
      </c>
      <c r="B211" s="1375" t="s">
        <v>476</v>
      </c>
      <c r="C211" s="5"/>
      <c r="D211" s="5"/>
      <c r="E211" s="2895">
        <f>E$9</f>
        <v>0</v>
      </c>
      <c r="F211" s="2895"/>
      <c r="G211" s="12"/>
      <c r="H211" s="4"/>
      <c r="I211" s="5"/>
      <c r="J211" s="5"/>
      <c r="K211" s="2895">
        <f>K$9</f>
        <v>0</v>
      </c>
      <c r="L211" s="2895"/>
      <c r="M211" s="12"/>
      <c r="N211" s="4"/>
      <c r="O211" s="5"/>
      <c r="P211" s="5"/>
      <c r="Q211" s="2895">
        <f>Q$9</f>
        <v>0</v>
      </c>
      <c r="R211" s="2895"/>
      <c r="S211" s="12"/>
      <c r="T211" s="4"/>
      <c r="U211" s="5"/>
      <c r="V211" s="5"/>
      <c r="W211" s="2895">
        <f>W$9</f>
        <v>0</v>
      </c>
      <c r="X211" s="2895"/>
      <c r="Y211" s="12"/>
    </row>
    <row r="212" spans="1:25" s="522" customFormat="1" ht="5.95" customHeight="1" x14ac:dyDescent="0.2">
      <c r="A212" s="4"/>
      <c r="B212" s="4"/>
      <c r="C212" s="5"/>
      <c r="D212" s="5"/>
      <c r="E212" s="5"/>
      <c r="F212" s="5"/>
      <c r="G212" s="5"/>
      <c r="H212" s="4"/>
      <c r="I212" s="5"/>
      <c r="J212" s="5"/>
      <c r="K212" s="5"/>
      <c r="L212" s="5"/>
      <c r="M212" s="5"/>
      <c r="N212" s="4"/>
      <c r="O212" s="5"/>
      <c r="P212" s="5"/>
      <c r="Q212" s="5"/>
      <c r="R212" s="5"/>
      <c r="S212" s="5"/>
      <c r="T212" s="4"/>
      <c r="U212" s="5"/>
      <c r="V212" s="5"/>
      <c r="W212" s="5"/>
      <c r="X212" s="5"/>
      <c r="Y212" s="5"/>
    </row>
    <row r="213" spans="1:25" s="522" customFormat="1" x14ac:dyDescent="0.2">
      <c r="A213" s="4"/>
      <c r="B213" s="4"/>
      <c r="C213" s="2894"/>
      <c r="D213" s="2894"/>
      <c r="E213" s="2894"/>
      <c r="F213" s="2894"/>
      <c r="G213" s="2894"/>
      <c r="H213" s="15"/>
      <c r="I213" s="2894"/>
      <c r="J213" s="2894"/>
      <c r="K213" s="2894"/>
      <c r="L213" s="2894"/>
      <c r="M213" s="2894"/>
      <c r="N213" s="15"/>
      <c r="O213" s="2894"/>
      <c r="P213" s="2894"/>
      <c r="Q213" s="2894"/>
      <c r="R213" s="2894"/>
      <c r="S213" s="2894"/>
      <c r="T213" s="15"/>
      <c r="U213" s="2894"/>
      <c r="V213" s="2894"/>
      <c r="W213" s="2894"/>
      <c r="X213" s="2894"/>
      <c r="Y213" s="2894"/>
    </row>
    <row r="214" spans="1:25" s="522" customFormat="1" x14ac:dyDescent="0.2">
      <c r="B214" s="1366"/>
      <c r="C214" s="2894"/>
      <c r="D214" s="2894"/>
      <c r="E214" s="2894"/>
      <c r="F214" s="2894"/>
      <c r="G214" s="2894"/>
      <c r="I214" s="2894"/>
      <c r="J214" s="2894"/>
      <c r="K214" s="2894"/>
      <c r="L214" s="2894"/>
      <c r="M214" s="2894"/>
      <c r="O214" s="2894"/>
      <c r="P214" s="2894"/>
      <c r="Q214" s="2894"/>
      <c r="R214" s="2894"/>
      <c r="S214" s="2894"/>
      <c r="U214" s="2894"/>
      <c r="V214" s="2894"/>
      <c r="W214" s="2894"/>
      <c r="X214" s="2894"/>
      <c r="Y214" s="2894"/>
    </row>
    <row r="215" spans="1:25" s="522" customFormat="1" x14ac:dyDescent="0.2">
      <c r="B215" s="1366"/>
      <c r="C215" s="2894"/>
      <c r="D215" s="2894"/>
      <c r="E215" s="2894"/>
      <c r="F215" s="2894"/>
      <c r="G215" s="2894"/>
      <c r="I215" s="2894"/>
      <c r="J215" s="2894"/>
      <c r="K215" s="2894"/>
      <c r="L215" s="2894"/>
      <c r="M215" s="2894"/>
      <c r="O215" s="2894"/>
      <c r="P215" s="2894"/>
      <c r="Q215" s="2894"/>
      <c r="R215" s="2894"/>
      <c r="S215" s="2894"/>
      <c r="U215" s="2894"/>
      <c r="V215" s="2894"/>
      <c r="W215" s="2894"/>
      <c r="X215" s="2894"/>
      <c r="Y215" s="2894"/>
    </row>
    <row r="216" spans="1:25" s="522" customFormat="1" x14ac:dyDescent="0.2">
      <c r="B216" s="1366"/>
      <c r="C216" s="2894"/>
      <c r="D216" s="2894"/>
      <c r="E216" s="2894"/>
      <c r="F216" s="2894"/>
      <c r="G216" s="2894"/>
      <c r="I216" s="2894"/>
      <c r="J216" s="2894"/>
      <c r="K216" s="2894"/>
      <c r="L216" s="2894"/>
      <c r="M216" s="2894"/>
      <c r="O216" s="2894"/>
      <c r="P216" s="2894"/>
      <c r="Q216" s="2894"/>
      <c r="R216" s="2894"/>
      <c r="S216" s="2894"/>
      <c r="U216" s="2894"/>
      <c r="V216" s="2894"/>
      <c r="W216" s="2894"/>
      <c r="X216" s="2894"/>
      <c r="Y216" s="2894"/>
    </row>
    <row r="217" spans="1:25" s="522" customFormat="1" x14ac:dyDescent="0.2">
      <c r="B217" s="1366"/>
      <c r="C217" s="2894"/>
      <c r="D217" s="2894"/>
      <c r="E217" s="2894"/>
      <c r="F217" s="2894"/>
      <c r="G217" s="2894"/>
      <c r="I217" s="2894"/>
      <c r="J217" s="2894"/>
      <c r="K217" s="2894"/>
      <c r="L217" s="2894"/>
      <c r="M217" s="2894"/>
      <c r="O217" s="2894"/>
      <c r="P217" s="2894"/>
      <c r="Q217" s="2894"/>
      <c r="R217" s="2894"/>
      <c r="S217" s="2894"/>
      <c r="U217" s="2894"/>
      <c r="V217" s="2894"/>
      <c r="W217" s="2894"/>
      <c r="X217" s="2894"/>
      <c r="Y217" s="2894"/>
    </row>
    <row r="218" spans="1:25" s="522" customFormat="1" x14ac:dyDescent="0.2">
      <c r="B218" s="1366"/>
      <c r="C218" s="2894"/>
      <c r="D218" s="2894"/>
      <c r="E218" s="2894"/>
      <c r="F218" s="2894"/>
      <c r="G218" s="2894"/>
      <c r="I218" s="2894"/>
      <c r="J218" s="2894"/>
      <c r="K218" s="2894"/>
      <c r="L218" s="2894"/>
      <c r="M218" s="2894"/>
      <c r="O218" s="2894"/>
      <c r="P218" s="2894"/>
      <c r="Q218" s="2894"/>
      <c r="R218" s="2894"/>
      <c r="S218" s="2894"/>
      <c r="U218" s="2894"/>
      <c r="V218" s="2894"/>
      <c r="W218" s="2894"/>
      <c r="X218" s="2894"/>
      <c r="Y218" s="2894"/>
    </row>
    <row r="219" spans="1:25" s="522" customFormat="1" x14ac:dyDescent="0.2">
      <c r="B219" s="1366"/>
      <c r="C219" s="2894"/>
      <c r="D219" s="2894"/>
      <c r="E219" s="2894"/>
      <c r="F219" s="2894"/>
      <c r="G219" s="2894"/>
      <c r="I219" s="2894"/>
      <c r="J219" s="2894"/>
      <c r="K219" s="2894"/>
      <c r="L219" s="2894"/>
      <c r="M219" s="2894"/>
      <c r="O219" s="2894"/>
      <c r="P219" s="2894"/>
      <c r="Q219" s="2894"/>
      <c r="R219" s="2894"/>
      <c r="S219" s="2894"/>
      <c r="U219" s="2894"/>
      <c r="V219" s="2894"/>
      <c r="W219" s="2894"/>
      <c r="X219" s="2894"/>
      <c r="Y219" s="2894"/>
    </row>
    <row r="220" spans="1:25" s="522" customFormat="1" x14ac:dyDescent="0.2">
      <c r="B220" s="1366"/>
      <c r="C220" s="2894"/>
      <c r="D220" s="2894"/>
      <c r="E220" s="2894"/>
      <c r="F220" s="2894"/>
      <c r="G220" s="2894"/>
      <c r="I220" s="2894"/>
      <c r="J220" s="2894"/>
      <c r="K220" s="2894"/>
      <c r="L220" s="2894"/>
      <c r="M220" s="2894"/>
      <c r="O220" s="2894"/>
      <c r="P220" s="2894"/>
      <c r="Q220" s="2894"/>
      <c r="R220" s="2894"/>
      <c r="S220" s="2894"/>
      <c r="U220" s="2894"/>
      <c r="V220" s="2894"/>
      <c r="W220" s="2894"/>
      <c r="X220" s="2894"/>
      <c r="Y220" s="2894"/>
    </row>
    <row r="221" spans="1:25" s="522" customFormat="1" x14ac:dyDescent="0.2">
      <c r="B221" s="1366"/>
      <c r="C221" s="2894"/>
      <c r="D221" s="2894"/>
      <c r="E221" s="2894"/>
      <c r="F221" s="2894"/>
      <c r="G221" s="2894"/>
      <c r="I221" s="2894"/>
      <c r="J221" s="2894"/>
      <c r="K221" s="2894"/>
      <c r="L221" s="2894"/>
      <c r="M221" s="2894"/>
      <c r="O221" s="2894"/>
      <c r="P221" s="2894"/>
      <c r="Q221" s="2894"/>
      <c r="R221" s="2894"/>
      <c r="S221" s="2894"/>
      <c r="U221" s="2894"/>
      <c r="V221" s="2894"/>
      <c r="W221" s="2894"/>
      <c r="X221" s="2894"/>
      <c r="Y221" s="2894"/>
    </row>
    <row r="222" spans="1:25" s="522" customFormat="1" x14ac:dyDescent="0.2">
      <c r="B222" s="1366"/>
      <c r="C222" s="2894"/>
      <c r="D222" s="2894"/>
      <c r="E222" s="2894"/>
      <c r="F222" s="2894"/>
      <c r="G222" s="2894"/>
      <c r="I222" s="2894"/>
      <c r="J222" s="2894"/>
      <c r="K222" s="2894"/>
      <c r="L222" s="2894"/>
      <c r="M222" s="2894"/>
      <c r="O222" s="2894"/>
      <c r="P222" s="2894"/>
      <c r="Q222" s="2894"/>
      <c r="R222" s="2894"/>
      <c r="S222" s="2894"/>
      <c r="U222" s="2894"/>
      <c r="V222" s="2894"/>
      <c r="W222" s="2894"/>
      <c r="X222" s="2894"/>
      <c r="Y222" s="2894"/>
    </row>
    <row r="223" spans="1:25" s="522" customFormat="1" x14ac:dyDescent="0.2">
      <c r="B223" s="1366"/>
      <c r="C223" s="2894"/>
      <c r="D223" s="2894"/>
      <c r="E223" s="2894"/>
      <c r="F223" s="2894"/>
      <c r="G223" s="2894"/>
      <c r="I223" s="2894"/>
      <c r="J223" s="2894"/>
      <c r="K223" s="2894"/>
      <c r="L223" s="2894"/>
      <c r="M223" s="2894"/>
      <c r="O223" s="2894"/>
      <c r="P223" s="2894"/>
      <c r="Q223" s="2894"/>
      <c r="R223" s="2894"/>
      <c r="S223" s="2894"/>
      <c r="U223" s="2894"/>
      <c r="V223" s="2894"/>
      <c r="W223" s="2894"/>
      <c r="X223" s="2894"/>
      <c r="Y223" s="2894"/>
    </row>
    <row r="224" spans="1:25" s="522" customFormat="1" x14ac:dyDescent="0.2">
      <c r="B224" s="1366"/>
      <c r="C224" s="2894"/>
      <c r="D224" s="2894"/>
      <c r="E224" s="2894"/>
      <c r="F224" s="2894"/>
      <c r="G224" s="2894"/>
      <c r="I224" s="2894"/>
      <c r="J224" s="2894"/>
      <c r="K224" s="2894"/>
      <c r="L224" s="2894"/>
      <c r="M224" s="2894"/>
      <c r="O224" s="2894"/>
      <c r="P224" s="2894"/>
      <c r="Q224" s="2894"/>
      <c r="R224" s="2894"/>
      <c r="S224" s="2894"/>
      <c r="U224" s="2894"/>
      <c r="V224" s="2894"/>
      <c r="W224" s="2894"/>
      <c r="X224" s="2894"/>
      <c r="Y224" s="2894"/>
    </row>
    <row r="225" spans="2:25" s="522" customFormat="1" x14ac:dyDescent="0.2">
      <c r="B225" s="1366"/>
      <c r="C225" s="2894"/>
      <c r="D225" s="2894"/>
      <c r="E225" s="2894"/>
      <c r="F225" s="2894"/>
      <c r="G225" s="2894"/>
      <c r="I225" s="2894"/>
      <c r="J225" s="2894"/>
      <c r="K225" s="2894"/>
      <c r="L225" s="2894"/>
      <c r="M225" s="2894"/>
      <c r="O225" s="2894"/>
      <c r="P225" s="2894"/>
      <c r="Q225" s="2894"/>
      <c r="R225" s="2894"/>
      <c r="S225" s="2894"/>
      <c r="U225" s="2894"/>
      <c r="V225" s="2894"/>
      <c r="W225" s="2894"/>
      <c r="X225" s="2894"/>
      <c r="Y225" s="2894"/>
    </row>
    <row r="226" spans="2:25" s="522" customFormat="1" x14ac:dyDescent="0.2">
      <c r="B226" s="1366"/>
      <c r="C226" s="2894"/>
      <c r="D226" s="2894"/>
      <c r="E226" s="2894"/>
      <c r="F226" s="2894"/>
      <c r="G226" s="2894"/>
      <c r="I226" s="2894"/>
      <c r="J226" s="2894"/>
      <c r="K226" s="2894"/>
      <c r="L226" s="2894"/>
      <c r="M226" s="2894"/>
      <c r="O226" s="2894"/>
      <c r="P226" s="2894"/>
      <c r="Q226" s="2894"/>
      <c r="R226" s="2894"/>
      <c r="S226" s="2894"/>
      <c r="U226" s="2894"/>
      <c r="V226" s="2894"/>
      <c r="W226" s="2894"/>
      <c r="X226" s="2894"/>
      <c r="Y226" s="2894"/>
    </row>
    <row r="227" spans="2:25" s="522" customFormat="1" x14ac:dyDescent="0.2">
      <c r="B227" s="1366"/>
      <c r="C227" s="2894"/>
      <c r="D227" s="2894"/>
      <c r="E227" s="2894"/>
      <c r="F227" s="2894"/>
      <c r="G227" s="2894"/>
      <c r="I227" s="2894"/>
      <c r="J227" s="2894"/>
      <c r="K227" s="2894"/>
      <c r="L227" s="2894"/>
      <c r="M227" s="2894"/>
      <c r="O227" s="2894"/>
      <c r="P227" s="2894"/>
      <c r="Q227" s="2894"/>
      <c r="R227" s="2894"/>
      <c r="S227" s="2894"/>
      <c r="U227" s="2894"/>
      <c r="V227" s="2894"/>
      <c r="W227" s="2894"/>
      <c r="X227" s="2894"/>
      <c r="Y227" s="2894"/>
    </row>
    <row r="228" spans="2:25" s="522" customFormat="1" x14ac:dyDescent="0.2">
      <c r="B228" s="1366"/>
      <c r="C228" s="2894"/>
      <c r="D228" s="2894"/>
      <c r="E228" s="2894"/>
      <c r="F228" s="2894"/>
      <c r="G228" s="2894"/>
      <c r="I228" s="2894"/>
      <c r="J228" s="2894"/>
      <c r="K228" s="2894"/>
      <c r="L228" s="2894"/>
      <c r="M228" s="2894"/>
      <c r="O228" s="2894"/>
      <c r="P228" s="2894"/>
      <c r="Q228" s="2894"/>
      <c r="R228" s="2894"/>
      <c r="S228" s="2894"/>
      <c r="U228" s="2894"/>
      <c r="V228" s="2894"/>
      <c r="W228" s="2894"/>
      <c r="X228" s="2894"/>
      <c r="Y228" s="2894"/>
    </row>
    <row r="229" spans="2:25" s="522" customFormat="1" x14ac:dyDescent="0.2">
      <c r="B229" s="1366"/>
      <c r="C229" s="2894"/>
      <c r="D229" s="2894"/>
      <c r="E229" s="2894"/>
      <c r="F229" s="2894"/>
      <c r="G229" s="2894"/>
      <c r="I229" s="2894"/>
      <c r="J229" s="2894"/>
      <c r="K229" s="2894"/>
      <c r="L229" s="2894"/>
      <c r="M229" s="2894"/>
      <c r="O229" s="2894"/>
      <c r="P229" s="2894"/>
      <c r="Q229" s="2894"/>
      <c r="R229" s="2894"/>
      <c r="S229" s="2894"/>
      <c r="U229" s="2894"/>
      <c r="V229" s="2894"/>
      <c r="W229" s="2894"/>
      <c r="X229" s="2894"/>
      <c r="Y229" s="2894"/>
    </row>
    <row r="230" spans="2:25" s="522" customFormat="1" x14ac:dyDescent="0.2">
      <c r="B230" s="1366"/>
      <c r="C230" s="2894"/>
      <c r="D230" s="2894"/>
      <c r="E230" s="2894"/>
      <c r="F230" s="2894"/>
      <c r="G230" s="2894"/>
      <c r="I230" s="2894"/>
      <c r="J230" s="2894"/>
      <c r="K230" s="2894"/>
      <c r="L230" s="2894"/>
      <c r="M230" s="2894"/>
      <c r="O230" s="2894"/>
      <c r="P230" s="2894"/>
      <c r="Q230" s="2894"/>
      <c r="R230" s="2894"/>
      <c r="S230" s="2894"/>
      <c r="U230" s="2894"/>
      <c r="V230" s="2894"/>
      <c r="W230" s="2894"/>
      <c r="X230" s="2894"/>
      <c r="Y230" s="2894"/>
    </row>
    <row r="231" spans="2:25" s="522" customFormat="1" x14ac:dyDescent="0.2">
      <c r="B231" s="1366"/>
      <c r="C231" s="2894"/>
      <c r="D231" s="2894"/>
      <c r="E231" s="2894"/>
      <c r="F231" s="2894"/>
      <c r="G231" s="2894"/>
      <c r="I231" s="2894"/>
      <c r="J231" s="2894"/>
      <c r="K231" s="2894"/>
      <c r="L231" s="2894"/>
      <c r="M231" s="2894"/>
      <c r="O231" s="2894"/>
      <c r="P231" s="2894"/>
      <c r="Q231" s="2894"/>
      <c r="R231" s="2894"/>
      <c r="S231" s="2894"/>
      <c r="U231" s="2894"/>
      <c r="V231" s="2894"/>
      <c r="W231" s="2894"/>
      <c r="X231" s="2894"/>
      <c r="Y231" s="2894"/>
    </row>
    <row r="232" spans="2:25" s="522" customFormat="1" x14ac:dyDescent="0.2">
      <c r="B232" s="1366"/>
      <c r="C232" s="2894"/>
      <c r="D232" s="2894"/>
      <c r="E232" s="2894"/>
      <c r="F232" s="2894"/>
      <c r="G232" s="2894"/>
      <c r="I232" s="2894"/>
      <c r="J232" s="2894"/>
      <c r="K232" s="2894"/>
      <c r="L232" s="2894"/>
      <c r="M232" s="2894"/>
      <c r="O232" s="2894"/>
      <c r="P232" s="2894"/>
      <c r="Q232" s="2894"/>
      <c r="R232" s="2894"/>
      <c r="S232" s="2894"/>
      <c r="U232" s="2894"/>
      <c r="V232" s="2894"/>
      <c r="W232" s="2894"/>
      <c r="X232" s="2894"/>
      <c r="Y232" s="2894"/>
    </row>
    <row r="233" spans="2:25" s="522" customFormat="1" x14ac:dyDescent="0.2">
      <c r="B233" s="1366"/>
      <c r="C233" s="2894"/>
      <c r="D233" s="2894"/>
      <c r="E233" s="2894"/>
      <c r="F233" s="2894"/>
      <c r="G233" s="2894"/>
      <c r="I233" s="2894"/>
      <c r="J233" s="2894"/>
      <c r="K233" s="2894"/>
      <c r="L233" s="2894"/>
      <c r="M233" s="2894"/>
      <c r="O233" s="2894"/>
      <c r="P233" s="2894"/>
      <c r="Q233" s="2894"/>
      <c r="R233" s="2894"/>
      <c r="S233" s="2894"/>
      <c r="U233" s="2894"/>
      <c r="V233" s="2894"/>
      <c r="W233" s="2894"/>
      <c r="X233" s="2894"/>
      <c r="Y233" s="2894"/>
    </row>
    <row r="234" spans="2:25" s="522" customFormat="1" x14ac:dyDescent="0.2">
      <c r="B234" s="1366"/>
      <c r="C234" s="2894"/>
      <c r="D234" s="2894"/>
      <c r="E234" s="2894"/>
      <c r="F234" s="2894"/>
      <c r="G234" s="2894"/>
      <c r="I234" s="2894"/>
      <c r="J234" s="2894"/>
      <c r="K234" s="2894"/>
      <c r="L234" s="2894"/>
      <c r="M234" s="2894"/>
      <c r="O234" s="2894"/>
      <c r="P234" s="2894"/>
      <c r="Q234" s="2894"/>
      <c r="R234" s="2894"/>
      <c r="S234" s="2894"/>
      <c r="U234" s="2894"/>
      <c r="V234" s="2894"/>
      <c r="W234" s="2894"/>
      <c r="X234" s="2894"/>
      <c r="Y234" s="2894"/>
    </row>
    <row r="235" spans="2:25" s="522" customFormat="1" x14ac:dyDescent="0.2">
      <c r="B235" s="1366"/>
      <c r="C235" s="2894"/>
      <c r="D235" s="2894"/>
      <c r="E235" s="2894"/>
      <c r="F235" s="2894"/>
      <c r="G235" s="2894"/>
      <c r="I235" s="2894"/>
      <c r="J235" s="2894"/>
      <c r="K235" s="2894"/>
      <c r="L235" s="2894"/>
      <c r="M235" s="2894"/>
      <c r="O235" s="2894"/>
      <c r="P235" s="2894"/>
      <c r="Q235" s="2894"/>
      <c r="R235" s="2894"/>
      <c r="S235" s="2894"/>
      <c r="U235" s="2894"/>
      <c r="V235" s="2894"/>
      <c r="W235" s="2894"/>
      <c r="X235" s="2894"/>
      <c r="Y235" s="2894"/>
    </row>
    <row r="236" spans="2:25" s="522" customFormat="1" x14ac:dyDescent="0.2">
      <c r="B236" s="1366"/>
      <c r="C236" s="2894"/>
      <c r="D236" s="2894"/>
      <c r="E236" s="2894"/>
      <c r="F236" s="2894"/>
      <c r="G236" s="2894"/>
      <c r="I236" s="2894"/>
      <c r="J236" s="2894"/>
      <c r="K236" s="2894"/>
      <c r="L236" s="2894"/>
      <c r="M236" s="2894"/>
      <c r="O236" s="2894"/>
      <c r="P236" s="2894"/>
      <c r="Q236" s="2894"/>
      <c r="R236" s="2894"/>
      <c r="S236" s="2894"/>
      <c r="U236" s="2894"/>
      <c r="V236" s="2894"/>
      <c r="W236" s="2894"/>
      <c r="X236" s="2894"/>
      <c r="Y236" s="2894"/>
    </row>
    <row r="237" spans="2:25" s="522" customFormat="1" x14ac:dyDescent="0.2">
      <c r="B237" s="1366"/>
      <c r="C237" s="2894"/>
      <c r="D237" s="2894"/>
      <c r="E237" s="2894"/>
      <c r="F237" s="2894"/>
      <c r="G237" s="2894"/>
      <c r="I237" s="2894"/>
      <c r="J237" s="2894"/>
      <c r="K237" s="2894"/>
      <c r="L237" s="2894"/>
      <c r="M237" s="2894"/>
      <c r="O237" s="2894"/>
      <c r="P237" s="2894"/>
      <c r="Q237" s="2894"/>
      <c r="R237" s="2894"/>
      <c r="S237" s="2894"/>
      <c r="U237" s="2894"/>
      <c r="V237" s="2894"/>
      <c r="W237" s="2894"/>
      <c r="X237" s="2894"/>
      <c r="Y237" s="2894"/>
    </row>
  </sheetData>
  <sheetProtection algorithmName="SHA-512" hashValue="xF9S5DM3fMB+X8/FqN3udZ/ftHk/y2Znn1+w4W6hu7b/o1DtW2CB1ulRjCgpWVUFdN/+b0XM+6aV9uK02uN/Ow==" saltValue="mb7EVXOf9RPy7BtxI27CXg==" spinCount="100000" sheet="1" objects="1" scenarios="1" selectLockedCells="1"/>
  <mergeCells count="881">
    <mergeCell ref="U29:W29"/>
    <mergeCell ref="AA31:AD35"/>
    <mergeCell ref="AA37:AD37"/>
    <mergeCell ref="F5:I5"/>
    <mergeCell ref="J5:Q5"/>
    <mergeCell ref="U66:Y66"/>
    <mergeCell ref="U67:Y67"/>
    <mergeCell ref="U68:Y68"/>
    <mergeCell ref="U69:Y69"/>
    <mergeCell ref="U60:Y60"/>
    <mergeCell ref="U61:Y61"/>
    <mergeCell ref="U62:Y62"/>
    <mergeCell ref="U63:Y63"/>
    <mergeCell ref="O67:S67"/>
    <mergeCell ref="O68:S68"/>
    <mergeCell ref="O69:S69"/>
    <mergeCell ref="U64:Y64"/>
    <mergeCell ref="U65:Y65"/>
    <mergeCell ref="O61:S61"/>
    <mergeCell ref="O62:S62"/>
    <mergeCell ref="O63:S63"/>
    <mergeCell ref="O64:S64"/>
    <mergeCell ref="O65:S65"/>
    <mergeCell ref="O66:S66"/>
    <mergeCell ref="U45:Y45"/>
    <mergeCell ref="U46:Y46"/>
    <mergeCell ref="U47:Y47"/>
    <mergeCell ref="U48:Y48"/>
    <mergeCell ref="U49:Y49"/>
    <mergeCell ref="U50:Y50"/>
    <mergeCell ref="U51:Y51"/>
    <mergeCell ref="U52:Y52"/>
    <mergeCell ref="U53:Y53"/>
    <mergeCell ref="U54:Y54"/>
    <mergeCell ref="U55:Y55"/>
    <mergeCell ref="U56:Y56"/>
    <mergeCell ref="U57:Y57"/>
    <mergeCell ref="U58:Y58"/>
    <mergeCell ref="U59:Y59"/>
    <mergeCell ref="I68:M68"/>
    <mergeCell ref="I69:M69"/>
    <mergeCell ref="O45:S45"/>
    <mergeCell ref="O46:S46"/>
    <mergeCell ref="O47:S47"/>
    <mergeCell ref="O48:S48"/>
    <mergeCell ref="O49:S49"/>
    <mergeCell ref="O50:S50"/>
    <mergeCell ref="O51:S51"/>
    <mergeCell ref="O52:S52"/>
    <mergeCell ref="O53:S53"/>
    <mergeCell ref="O54:S54"/>
    <mergeCell ref="O55:S55"/>
    <mergeCell ref="O56:S56"/>
    <mergeCell ref="O57:S57"/>
    <mergeCell ref="O58:S58"/>
    <mergeCell ref="O59:S59"/>
    <mergeCell ref="O60:S60"/>
    <mergeCell ref="C69:G69"/>
    <mergeCell ref="I45:M45"/>
    <mergeCell ref="I46:M46"/>
    <mergeCell ref="I47:M47"/>
    <mergeCell ref="I48:M48"/>
    <mergeCell ref="I49:M49"/>
    <mergeCell ref="I50:M50"/>
    <mergeCell ref="I51:M51"/>
    <mergeCell ref="I52:M52"/>
    <mergeCell ref="I53:M53"/>
    <mergeCell ref="I54:M54"/>
    <mergeCell ref="I55:M55"/>
    <mergeCell ref="I56:M56"/>
    <mergeCell ref="I57:M57"/>
    <mergeCell ref="I58:M58"/>
    <mergeCell ref="I59:M59"/>
    <mergeCell ref="I60:M60"/>
    <mergeCell ref="I61:M61"/>
    <mergeCell ref="I62:M62"/>
    <mergeCell ref="I63:M63"/>
    <mergeCell ref="I64:M64"/>
    <mergeCell ref="I65:M65"/>
    <mergeCell ref="I66:M66"/>
    <mergeCell ref="I67:M67"/>
    <mergeCell ref="C64:G64"/>
    <mergeCell ref="C65:G65"/>
    <mergeCell ref="C66:G66"/>
    <mergeCell ref="C67:G67"/>
    <mergeCell ref="C68:G68"/>
    <mergeCell ref="C58:G58"/>
    <mergeCell ref="C59:G59"/>
    <mergeCell ref="C60:G60"/>
    <mergeCell ref="C61:G61"/>
    <mergeCell ref="C62:G62"/>
    <mergeCell ref="C46:G46"/>
    <mergeCell ref="C47:G47"/>
    <mergeCell ref="C48:G48"/>
    <mergeCell ref="C49:G49"/>
    <mergeCell ref="C50:G50"/>
    <mergeCell ref="C51:G51"/>
    <mergeCell ref="C63:G63"/>
    <mergeCell ref="C52:G52"/>
    <mergeCell ref="C53:G53"/>
    <mergeCell ref="C54:G54"/>
    <mergeCell ref="C55:G55"/>
    <mergeCell ref="C56:G56"/>
    <mergeCell ref="C57:G57"/>
    <mergeCell ref="Q43:R43"/>
    <mergeCell ref="W43:X43"/>
    <mergeCell ref="A6:E6"/>
    <mergeCell ref="C42:D42"/>
    <mergeCell ref="E42:F42"/>
    <mergeCell ref="I42:J42"/>
    <mergeCell ref="K42:L42"/>
    <mergeCell ref="O42:P42"/>
    <mergeCell ref="Q42:R42"/>
    <mergeCell ref="U42:V42"/>
    <mergeCell ref="U8:V8"/>
    <mergeCell ref="W8:X8"/>
    <mergeCell ref="W9:X9"/>
    <mergeCell ref="O8:P8"/>
    <mergeCell ref="C37:D37"/>
    <mergeCell ref="C8:D8"/>
    <mergeCell ref="C21:E21"/>
    <mergeCell ref="I21:K21"/>
    <mergeCell ref="W42:X42"/>
    <mergeCell ref="E8:F8"/>
    <mergeCell ref="E9:F9"/>
    <mergeCell ref="U31:V31"/>
    <mergeCell ref="W31:X31"/>
    <mergeCell ref="C39:D39"/>
    <mergeCell ref="C29:E29"/>
    <mergeCell ref="C35:D35"/>
    <mergeCell ref="E35:F35"/>
    <mergeCell ref="I35:J35"/>
    <mergeCell ref="K35:L35"/>
    <mergeCell ref="O31:P31"/>
    <mergeCell ref="Q31:R31"/>
    <mergeCell ref="C31:D31"/>
    <mergeCell ref="E31:F31"/>
    <mergeCell ref="I31:J31"/>
    <mergeCell ref="I29:K29"/>
    <mergeCell ref="O29:Q29"/>
    <mergeCell ref="C17:E17"/>
    <mergeCell ref="U17:W17"/>
    <mergeCell ref="I25:K25"/>
    <mergeCell ref="O25:Q25"/>
    <mergeCell ref="U25:W25"/>
    <mergeCell ref="I27:K27"/>
    <mergeCell ref="W6:Y6"/>
    <mergeCell ref="Q8:R8"/>
    <mergeCell ref="Q9:R9"/>
    <mergeCell ref="O21:Q21"/>
    <mergeCell ref="U21:W21"/>
    <mergeCell ref="U23:W23"/>
    <mergeCell ref="F6:P6"/>
    <mergeCell ref="I8:J8"/>
    <mergeCell ref="K8:L8"/>
    <mergeCell ref="K9:L9"/>
    <mergeCell ref="I17:K17"/>
    <mergeCell ref="O17:Q17"/>
    <mergeCell ref="C25:E25"/>
    <mergeCell ref="C27:E27"/>
    <mergeCell ref="O27:Q27"/>
    <mergeCell ref="U27:W27"/>
    <mergeCell ref="C19:E19"/>
    <mergeCell ref="I19:K19"/>
    <mergeCell ref="C45:G45"/>
    <mergeCell ref="U33:V33"/>
    <mergeCell ref="W33:X33"/>
    <mergeCell ref="U37:V37"/>
    <mergeCell ref="W37:X37"/>
    <mergeCell ref="Q37:R37"/>
    <mergeCell ref="I37:J37"/>
    <mergeCell ref="K37:L37"/>
    <mergeCell ref="O33:P33"/>
    <mergeCell ref="Q33:R33"/>
    <mergeCell ref="O37:P37"/>
    <mergeCell ref="I33:J33"/>
    <mergeCell ref="K33:L33"/>
    <mergeCell ref="I39:J39"/>
    <mergeCell ref="O39:P39"/>
    <mergeCell ref="C33:D33"/>
    <mergeCell ref="O35:P35"/>
    <mergeCell ref="Q35:R35"/>
    <mergeCell ref="E37:F37"/>
    <mergeCell ref="E33:F33"/>
    <mergeCell ref="U35:V35"/>
    <mergeCell ref="W35:X35"/>
    <mergeCell ref="E43:F43"/>
    <mergeCell ref="K43:L43"/>
    <mergeCell ref="U70:V70"/>
    <mergeCell ref="W70:X70"/>
    <mergeCell ref="E71:F71"/>
    <mergeCell ref="K71:L71"/>
    <mergeCell ref="Q71:R71"/>
    <mergeCell ref="W71:X71"/>
    <mergeCell ref="C70:D70"/>
    <mergeCell ref="E70:F70"/>
    <mergeCell ref="I70:J70"/>
    <mergeCell ref="K70:L70"/>
    <mergeCell ref="O70:P70"/>
    <mergeCell ref="Q70:R70"/>
    <mergeCell ref="C75:G75"/>
    <mergeCell ref="I75:M75"/>
    <mergeCell ref="O75:S75"/>
    <mergeCell ref="U75:Y75"/>
    <mergeCell ref="C76:G76"/>
    <mergeCell ref="I76:M76"/>
    <mergeCell ref="O76:S76"/>
    <mergeCell ref="U76:Y76"/>
    <mergeCell ref="C73:G73"/>
    <mergeCell ref="I73:M73"/>
    <mergeCell ref="O73:S73"/>
    <mergeCell ref="U73:Y73"/>
    <mergeCell ref="C74:G74"/>
    <mergeCell ref="I74:M74"/>
    <mergeCell ref="O74:S74"/>
    <mergeCell ref="U74:Y74"/>
    <mergeCell ref="C79:G79"/>
    <mergeCell ref="I79:M79"/>
    <mergeCell ref="O79:S79"/>
    <mergeCell ref="U79:Y79"/>
    <mergeCell ref="C80:G80"/>
    <mergeCell ref="I80:M80"/>
    <mergeCell ref="O80:S80"/>
    <mergeCell ref="U80:Y80"/>
    <mergeCell ref="C77:G77"/>
    <mergeCell ref="I77:M77"/>
    <mergeCell ref="O77:S77"/>
    <mergeCell ref="U77:Y77"/>
    <mergeCell ref="C78:G78"/>
    <mergeCell ref="I78:M78"/>
    <mergeCell ref="O78:S78"/>
    <mergeCell ref="U78:Y78"/>
    <mergeCell ref="C83:G83"/>
    <mergeCell ref="I83:M83"/>
    <mergeCell ref="O83:S83"/>
    <mergeCell ref="U83:Y83"/>
    <mergeCell ref="C84:G84"/>
    <mergeCell ref="I84:M84"/>
    <mergeCell ref="O84:S84"/>
    <mergeCell ref="U84:Y84"/>
    <mergeCell ref="C81:G81"/>
    <mergeCell ref="I81:M81"/>
    <mergeCell ref="O81:S81"/>
    <mergeCell ref="U81:Y81"/>
    <mergeCell ref="C82:G82"/>
    <mergeCell ref="I82:M82"/>
    <mergeCell ref="O82:S82"/>
    <mergeCell ref="U82:Y82"/>
    <mergeCell ref="C87:G87"/>
    <mergeCell ref="I87:M87"/>
    <mergeCell ref="O87:S87"/>
    <mergeCell ref="U87:Y87"/>
    <mergeCell ref="C88:G88"/>
    <mergeCell ref="I88:M88"/>
    <mergeCell ref="O88:S88"/>
    <mergeCell ref="U88:Y88"/>
    <mergeCell ref="C85:G85"/>
    <mergeCell ref="I85:M85"/>
    <mergeCell ref="O85:S85"/>
    <mergeCell ref="U85:Y85"/>
    <mergeCell ref="C86:G86"/>
    <mergeCell ref="I86:M86"/>
    <mergeCell ref="O86:S86"/>
    <mergeCell ref="U86:Y86"/>
    <mergeCell ref="C91:G91"/>
    <mergeCell ref="I91:M91"/>
    <mergeCell ref="O91:S91"/>
    <mergeCell ref="U91:Y91"/>
    <mergeCell ref="C92:G92"/>
    <mergeCell ref="I92:M92"/>
    <mergeCell ref="O92:S92"/>
    <mergeCell ref="U92:Y92"/>
    <mergeCell ref="C89:G89"/>
    <mergeCell ref="I89:M89"/>
    <mergeCell ref="O89:S89"/>
    <mergeCell ref="U89:Y89"/>
    <mergeCell ref="C90:G90"/>
    <mergeCell ref="I90:M90"/>
    <mergeCell ref="O90:S90"/>
    <mergeCell ref="U90:Y90"/>
    <mergeCell ref="C98:D98"/>
    <mergeCell ref="E98:F98"/>
    <mergeCell ref="I98:J98"/>
    <mergeCell ref="K98:L98"/>
    <mergeCell ref="O98:P98"/>
    <mergeCell ref="Q98:R98"/>
    <mergeCell ref="U98:V98"/>
    <mergeCell ref="W98:X98"/>
    <mergeCell ref="E99:F99"/>
    <mergeCell ref="K99:L99"/>
    <mergeCell ref="Q99:R99"/>
    <mergeCell ref="W99:X99"/>
    <mergeCell ref="C101:G101"/>
    <mergeCell ref="I101:M101"/>
    <mergeCell ref="O101:S101"/>
    <mergeCell ref="U101:Y101"/>
    <mergeCell ref="C102:G102"/>
    <mergeCell ref="I102:M102"/>
    <mergeCell ref="O102:S102"/>
    <mergeCell ref="U102:Y102"/>
    <mergeCell ref="C103:G103"/>
    <mergeCell ref="I103:M103"/>
    <mergeCell ref="O103:S103"/>
    <mergeCell ref="U103:Y103"/>
    <mergeCell ref="C104:G104"/>
    <mergeCell ref="I104:M104"/>
    <mergeCell ref="O104:S104"/>
    <mergeCell ref="U104:Y104"/>
    <mergeCell ref="C105:G105"/>
    <mergeCell ref="I105:M105"/>
    <mergeCell ref="O105:S105"/>
    <mergeCell ref="U105:Y105"/>
    <mergeCell ref="C106:G106"/>
    <mergeCell ref="I106:M106"/>
    <mergeCell ref="O106:S106"/>
    <mergeCell ref="U106:Y106"/>
    <mergeCell ref="C107:G107"/>
    <mergeCell ref="I107:M107"/>
    <mergeCell ref="O107:S107"/>
    <mergeCell ref="U107:Y107"/>
    <mergeCell ref="C108:G108"/>
    <mergeCell ref="I108:M108"/>
    <mergeCell ref="O108:S108"/>
    <mergeCell ref="U108:Y108"/>
    <mergeCell ref="C109:G109"/>
    <mergeCell ref="I109:M109"/>
    <mergeCell ref="O109:S109"/>
    <mergeCell ref="U109:Y109"/>
    <mergeCell ref="C110:G110"/>
    <mergeCell ref="I110:M110"/>
    <mergeCell ref="O110:S110"/>
    <mergeCell ref="U110:Y110"/>
    <mergeCell ref="C111:G111"/>
    <mergeCell ref="I111:M111"/>
    <mergeCell ref="O111:S111"/>
    <mergeCell ref="U111:Y111"/>
    <mergeCell ref="C112:G112"/>
    <mergeCell ref="I112:M112"/>
    <mergeCell ref="O112:S112"/>
    <mergeCell ref="U112:Y112"/>
    <mergeCell ref="C113:G113"/>
    <mergeCell ref="I113:M113"/>
    <mergeCell ref="O113:S113"/>
    <mergeCell ref="U113:Y113"/>
    <mergeCell ref="C114:G114"/>
    <mergeCell ref="I114:M114"/>
    <mergeCell ref="O114:S114"/>
    <mergeCell ref="U114:Y114"/>
    <mergeCell ref="C115:G115"/>
    <mergeCell ref="I115:M115"/>
    <mergeCell ref="O115:S115"/>
    <mergeCell ref="U115:Y115"/>
    <mergeCell ref="C116:G116"/>
    <mergeCell ref="I116:M116"/>
    <mergeCell ref="O116:S116"/>
    <mergeCell ref="U116:Y116"/>
    <mergeCell ref="C117:G117"/>
    <mergeCell ref="I117:M117"/>
    <mergeCell ref="O117:S117"/>
    <mergeCell ref="U117:Y117"/>
    <mergeCell ref="C118:G118"/>
    <mergeCell ref="I118:M118"/>
    <mergeCell ref="O118:S118"/>
    <mergeCell ref="U118:Y118"/>
    <mergeCell ref="I124:M124"/>
    <mergeCell ref="O124:S124"/>
    <mergeCell ref="U124:Y124"/>
    <mergeCell ref="C119:G119"/>
    <mergeCell ref="I119:M119"/>
    <mergeCell ref="O119:S119"/>
    <mergeCell ref="U119:Y119"/>
    <mergeCell ref="C120:G120"/>
    <mergeCell ref="I120:M120"/>
    <mergeCell ref="O120:S120"/>
    <mergeCell ref="U120:Y120"/>
    <mergeCell ref="C121:G121"/>
    <mergeCell ref="I121:M121"/>
    <mergeCell ref="O121:S121"/>
    <mergeCell ref="U121:Y121"/>
    <mergeCell ref="C122:G122"/>
    <mergeCell ref="I122:M122"/>
    <mergeCell ref="O122:S122"/>
    <mergeCell ref="U122:Y122"/>
    <mergeCell ref="C123:G123"/>
    <mergeCell ref="I123:M123"/>
    <mergeCell ref="O123:S123"/>
    <mergeCell ref="U123:Y123"/>
    <mergeCell ref="C124:G124"/>
    <mergeCell ref="C126:D126"/>
    <mergeCell ref="E126:F126"/>
    <mergeCell ref="I126:J126"/>
    <mergeCell ref="K126:L126"/>
    <mergeCell ref="O126:P126"/>
    <mergeCell ref="Q126:R126"/>
    <mergeCell ref="U126:V126"/>
    <mergeCell ref="W126:X126"/>
    <mergeCell ref="C125:G125"/>
    <mergeCell ref="I125:M125"/>
    <mergeCell ref="O125:S125"/>
    <mergeCell ref="U125:Y125"/>
    <mergeCell ref="E127:F127"/>
    <mergeCell ref="K127:L127"/>
    <mergeCell ref="Q127:R127"/>
    <mergeCell ref="W127:X127"/>
    <mergeCell ref="C129:G129"/>
    <mergeCell ref="I129:M129"/>
    <mergeCell ref="O129:S129"/>
    <mergeCell ref="U129:Y129"/>
    <mergeCell ref="C130:G130"/>
    <mergeCell ref="I130:M130"/>
    <mergeCell ref="O130:S130"/>
    <mergeCell ref="U130:Y130"/>
    <mergeCell ref="C131:G131"/>
    <mergeCell ref="I131:M131"/>
    <mergeCell ref="O131:S131"/>
    <mergeCell ref="U131:Y131"/>
    <mergeCell ref="C132:G132"/>
    <mergeCell ref="I132:M132"/>
    <mergeCell ref="O132:S132"/>
    <mergeCell ref="U132:Y132"/>
    <mergeCell ref="C133:G133"/>
    <mergeCell ref="I133:M133"/>
    <mergeCell ref="O133:S133"/>
    <mergeCell ref="U133:Y133"/>
    <mergeCell ref="C134:G134"/>
    <mergeCell ref="I134:M134"/>
    <mergeCell ref="O134:S134"/>
    <mergeCell ref="U134:Y134"/>
    <mergeCell ref="C135:G135"/>
    <mergeCell ref="I135:M135"/>
    <mergeCell ref="O135:S135"/>
    <mergeCell ref="U135:Y135"/>
    <mergeCell ref="C136:G136"/>
    <mergeCell ref="I136:M136"/>
    <mergeCell ref="O136:S136"/>
    <mergeCell ref="U136:Y136"/>
    <mergeCell ref="C137:G137"/>
    <mergeCell ref="I137:M137"/>
    <mergeCell ref="O137:S137"/>
    <mergeCell ref="U137:Y137"/>
    <mergeCell ref="C138:G138"/>
    <mergeCell ref="I138:M138"/>
    <mergeCell ref="O138:S138"/>
    <mergeCell ref="U138:Y138"/>
    <mergeCell ref="C139:G139"/>
    <mergeCell ref="I139:M139"/>
    <mergeCell ref="O139:S139"/>
    <mergeCell ref="U139:Y139"/>
    <mergeCell ref="C140:G140"/>
    <mergeCell ref="I140:M140"/>
    <mergeCell ref="O140:S140"/>
    <mergeCell ref="U140:Y140"/>
    <mergeCell ref="C141:G141"/>
    <mergeCell ref="I141:M141"/>
    <mergeCell ref="O141:S141"/>
    <mergeCell ref="U141:Y141"/>
    <mergeCell ref="C142:G142"/>
    <mergeCell ref="I142:M142"/>
    <mergeCell ref="O142:S142"/>
    <mergeCell ref="U142:Y142"/>
    <mergeCell ref="C143:G143"/>
    <mergeCell ref="I143:M143"/>
    <mergeCell ref="O143:S143"/>
    <mergeCell ref="U143:Y143"/>
    <mergeCell ref="C144:G144"/>
    <mergeCell ref="I144:M144"/>
    <mergeCell ref="O144:S144"/>
    <mergeCell ref="U144:Y144"/>
    <mergeCell ref="C145:G145"/>
    <mergeCell ref="I145:M145"/>
    <mergeCell ref="O145:S145"/>
    <mergeCell ref="U145:Y145"/>
    <mergeCell ref="C146:G146"/>
    <mergeCell ref="I146:M146"/>
    <mergeCell ref="O146:S146"/>
    <mergeCell ref="U146:Y146"/>
    <mergeCell ref="C147:G147"/>
    <mergeCell ref="I147:M147"/>
    <mergeCell ref="O147:S147"/>
    <mergeCell ref="U147:Y147"/>
    <mergeCell ref="C148:G148"/>
    <mergeCell ref="I148:M148"/>
    <mergeCell ref="O148:S148"/>
    <mergeCell ref="U148:Y148"/>
    <mergeCell ref="C152:G152"/>
    <mergeCell ref="I152:M152"/>
    <mergeCell ref="O152:S152"/>
    <mergeCell ref="U152:Y152"/>
    <mergeCell ref="C153:G153"/>
    <mergeCell ref="I153:M153"/>
    <mergeCell ref="O153:S153"/>
    <mergeCell ref="U153:Y153"/>
    <mergeCell ref="C149:G149"/>
    <mergeCell ref="I149:M149"/>
    <mergeCell ref="O149:S149"/>
    <mergeCell ref="U149:Y149"/>
    <mergeCell ref="C150:G150"/>
    <mergeCell ref="I150:M150"/>
    <mergeCell ref="O150:S150"/>
    <mergeCell ref="U150:Y150"/>
    <mergeCell ref="C151:G151"/>
    <mergeCell ref="I151:M151"/>
    <mergeCell ref="O151:S151"/>
    <mergeCell ref="U151:Y151"/>
    <mergeCell ref="C182:D182"/>
    <mergeCell ref="E182:F182"/>
    <mergeCell ref="I182:J182"/>
    <mergeCell ref="K182:L182"/>
    <mergeCell ref="O182:P182"/>
    <mergeCell ref="Q182:R182"/>
    <mergeCell ref="U182:V182"/>
    <mergeCell ref="W182:X182"/>
    <mergeCell ref="E183:F183"/>
    <mergeCell ref="K183:L183"/>
    <mergeCell ref="Q183:R183"/>
    <mergeCell ref="W183:X183"/>
    <mergeCell ref="C185:G185"/>
    <mergeCell ref="I185:M185"/>
    <mergeCell ref="O185:S185"/>
    <mergeCell ref="U185:Y185"/>
    <mergeCell ref="C186:G186"/>
    <mergeCell ref="I186:M186"/>
    <mergeCell ref="O186:S186"/>
    <mergeCell ref="U186:Y186"/>
    <mergeCell ref="C187:G187"/>
    <mergeCell ref="I187:M187"/>
    <mergeCell ref="O187:S187"/>
    <mergeCell ref="U187:Y187"/>
    <mergeCell ref="C188:G188"/>
    <mergeCell ref="I188:M188"/>
    <mergeCell ref="O188:S188"/>
    <mergeCell ref="U188:Y188"/>
    <mergeCell ref="C189:G189"/>
    <mergeCell ref="I189:M189"/>
    <mergeCell ref="O189:S189"/>
    <mergeCell ref="U189:Y189"/>
    <mergeCell ref="C190:G190"/>
    <mergeCell ref="I190:M190"/>
    <mergeCell ref="O190:S190"/>
    <mergeCell ref="U190:Y190"/>
    <mergeCell ref="C191:G191"/>
    <mergeCell ref="I191:M191"/>
    <mergeCell ref="O191:S191"/>
    <mergeCell ref="U191:Y191"/>
    <mergeCell ref="C192:G192"/>
    <mergeCell ref="I192:M192"/>
    <mergeCell ref="O192:S192"/>
    <mergeCell ref="U192:Y192"/>
    <mergeCell ref="C193:G193"/>
    <mergeCell ref="I193:M193"/>
    <mergeCell ref="O193:S193"/>
    <mergeCell ref="U193:Y193"/>
    <mergeCell ref="C194:G194"/>
    <mergeCell ref="I194:M194"/>
    <mergeCell ref="O194:S194"/>
    <mergeCell ref="U194:Y194"/>
    <mergeCell ref="C195:G195"/>
    <mergeCell ref="I195:M195"/>
    <mergeCell ref="O195:S195"/>
    <mergeCell ref="U195:Y195"/>
    <mergeCell ref="C196:G196"/>
    <mergeCell ref="I196:M196"/>
    <mergeCell ref="O196:S196"/>
    <mergeCell ref="U196:Y196"/>
    <mergeCell ref="C197:G197"/>
    <mergeCell ref="I197:M197"/>
    <mergeCell ref="O197:S197"/>
    <mergeCell ref="U197:Y197"/>
    <mergeCell ref="C198:G198"/>
    <mergeCell ref="I198:M198"/>
    <mergeCell ref="O198:S198"/>
    <mergeCell ref="U198:Y198"/>
    <mergeCell ref="C199:G199"/>
    <mergeCell ref="I199:M199"/>
    <mergeCell ref="O199:S199"/>
    <mergeCell ref="U199:Y199"/>
    <mergeCell ref="C200:G200"/>
    <mergeCell ref="I200:M200"/>
    <mergeCell ref="O200:S200"/>
    <mergeCell ref="U200:Y200"/>
    <mergeCell ref="C201:G201"/>
    <mergeCell ref="I201:M201"/>
    <mergeCell ref="O201:S201"/>
    <mergeCell ref="U201:Y201"/>
    <mergeCell ref="C202:G202"/>
    <mergeCell ref="I202:M202"/>
    <mergeCell ref="O202:S202"/>
    <mergeCell ref="U202:Y202"/>
    <mergeCell ref="C203:G203"/>
    <mergeCell ref="I203:M203"/>
    <mergeCell ref="O203:S203"/>
    <mergeCell ref="U203:Y203"/>
    <mergeCell ref="C204:G204"/>
    <mergeCell ref="I204:M204"/>
    <mergeCell ref="O204:S204"/>
    <mergeCell ref="U204:Y204"/>
    <mergeCell ref="C205:G205"/>
    <mergeCell ref="I205:M205"/>
    <mergeCell ref="O205:S205"/>
    <mergeCell ref="U205:Y205"/>
    <mergeCell ref="C209:G209"/>
    <mergeCell ref="I209:M209"/>
    <mergeCell ref="O209:S209"/>
    <mergeCell ref="U209:Y209"/>
    <mergeCell ref="C206:G206"/>
    <mergeCell ref="I206:M206"/>
    <mergeCell ref="O206:S206"/>
    <mergeCell ref="U206:Y206"/>
    <mergeCell ref="C207:G207"/>
    <mergeCell ref="I207:M207"/>
    <mergeCell ref="O207:S207"/>
    <mergeCell ref="U207:Y207"/>
    <mergeCell ref="C208:G208"/>
    <mergeCell ref="I208:M208"/>
    <mergeCell ref="O208:S208"/>
    <mergeCell ref="U208:Y208"/>
    <mergeCell ref="C154:D154"/>
    <mergeCell ref="E154:F154"/>
    <mergeCell ref="I154:J154"/>
    <mergeCell ref="K154:L154"/>
    <mergeCell ref="O154:P154"/>
    <mergeCell ref="Q154:R154"/>
    <mergeCell ref="U154:V154"/>
    <mergeCell ref="W154:X154"/>
    <mergeCell ref="E155:F155"/>
    <mergeCell ref="K155:L155"/>
    <mergeCell ref="Q155:R155"/>
    <mergeCell ref="W155:X155"/>
    <mergeCell ref="C157:G157"/>
    <mergeCell ref="I157:M157"/>
    <mergeCell ref="O157:S157"/>
    <mergeCell ref="U157:Y157"/>
    <mergeCell ref="C158:G158"/>
    <mergeCell ref="I158:M158"/>
    <mergeCell ref="O158:S158"/>
    <mergeCell ref="U158:Y158"/>
    <mergeCell ref="C159:G159"/>
    <mergeCell ref="I159:M159"/>
    <mergeCell ref="O159:S159"/>
    <mergeCell ref="U159:Y159"/>
    <mergeCell ref="C160:G160"/>
    <mergeCell ref="I160:M160"/>
    <mergeCell ref="O160:S160"/>
    <mergeCell ref="U160:Y160"/>
    <mergeCell ref="C161:G161"/>
    <mergeCell ref="I161:M161"/>
    <mergeCell ref="O161:S161"/>
    <mergeCell ref="U161:Y161"/>
    <mergeCell ref="C162:G162"/>
    <mergeCell ref="I162:M162"/>
    <mergeCell ref="O162:S162"/>
    <mergeCell ref="U162:Y162"/>
    <mergeCell ref="C163:G163"/>
    <mergeCell ref="I163:M163"/>
    <mergeCell ref="O163:S163"/>
    <mergeCell ref="U163:Y163"/>
    <mergeCell ref="C164:G164"/>
    <mergeCell ref="I164:M164"/>
    <mergeCell ref="O164:S164"/>
    <mergeCell ref="U164:Y164"/>
    <mergeCell ref="C165:G165"/>
    <mergeCell ref="I165:M165"/>
    <mergeCell ref="O165:S165"/>
    <mergeCell ref="U165:Y165"/>
    <mergeCell ref="C166:G166"/>
    <mergeCell ref="I166:M166"/>
    <mergeCell ref="O166:S166"/>
    <mergeCell ref="U166:Y166"/>
    <mergeCell ref="C167:G167"/>
    <mergeCell ref="I167:M167"/>
    <mergeCell ref="O167:S167"/>
    <mergeCell ref="U167:Y167"/>
    <mergeCell ref="C168:G168"/>
    <mergeCell ref="I168:M168"/>
    <mergeCell ref="O168:S168"/>
    <mergeCell ref="U168:Y168"/>
    <mergeCell ref="C180:G180"/>
    <mergeCell ref="I180:M180"/>
    <mergeCell ref="O180:S180"/>
    <mergeCell ref="U180:Y180"/>
    <mergeCell ref="C175:G175"/>
    <mergeCell ref="I175:M175"/>
    <mergeCell ref="O175:S175"/>
    <mergeCell ref="U175:Y175"/>
    <mergeCell ref="C176:G176"/>
    <mergeCell ref="I176:M176"/>
    <mergeCell ref="O176:S176"/>
    <mergeCell ref="U176:Y176"/>
    <mergeCell ref="C177:G177"/>
    <mergeCell ref="I177:M177"/>
    <mergeCell ref="O177:S177"/>
    <mergeCell ref="U177:Y177"/>
    <mergeCell ref="C178:G178"/>
    <mergeCell ref="I178:M178"/>
    <mergeCell ref="O178:S178"/>
    <mergeCell ref="U178:Y178"/>
    <mergeCell ref="C179:G179"/>
    <mergeCell ref="I179:M179"/>
    <mergeCell ref="O179:S179"/>
    <mergeCell ref="U179:Y179"/>
    <mergeCell ref="O19:Q19"/>
    <mergeCell ref="U19:W19"/>
    <mergeCell ref="C23:E23"/>
    <mergeCell ref="I23:K23"/>
    <mergeCell ref="O23:Q23"/>
    <mergeCell ref="K31:L31"/>
    <mergeCell ref="C172:G172"/>
    <mergeCell ref="I172:M172"/>
    <mergeCell ref="O172:S172"/>
    <mergeCell ref="U172:Y172"/>
    <mergeCell ref="U169:Y169"/>
    <mergeCell ref="C170:G170"/>
    <mergeCell ref="I170:M170"/>
    <mergeCell ref="O170:S170"/>
    <mergeCell ref="U170:Y170"/>
    <mergeCell ref="C171:G171"/>
    <mergeCell ref="I171:M171"/>
    <mergeCell ref="O171:S171"/>
    <mergeCell ref="U171:Y171"/>
    <mergeCell ref="C169:G169"/>
    <mergeCell ref="I169:M169"/>
    <mergeCell ref="O169:S169"/>
    <mergeCell ref="U96:Y96"/>
    <mergeCell ref="C93:G93"/>
    <mergeCell ref="C11:E11"/>
    <mergeCell ref="I11:K11"/>
    <mergeCell ref="O11:Q11"/>
    <mergeCell ref="U11:W11"/>
    <mergeCell ref="C13:E13"/>
    <mergeCell ref="I13:K13"/>
    <mergeCell ref="O13:Q13"/>
    <mergeCell ref="U13:W13"/>
    <mergeCell ref="C15:E15"/>
    <mergeCell ref="I15:K15"/>
    <mergeCell ref="O15:Q15"/>
    <mergeCell ref="U15:W15"/>
    <mergeCell ref="I93:M93"/>
    <mergeCell ref="O93:S93"/>
    <mergeCell ref="U93:Y93"/>
    <mergeCell ref="C94:G94"/>
    <mergeCell ref="I94:M94"/>
    <mergeCell ref="O94:S94"/>
    <mergeCell ref="U94:Y94"/>
    <mergeCell ref="I96:M96"/>
    <mergeCell ref="O96:S96"/>
    <mergeCell ref="C95:G95"/>
    <mergeCell ref="I95:M95"/>
    <mergeCell ref="O95:S95"/>
    <mergeCell ref="U95:Y95"/>
    <mergeCell ref="C96:G96"/>
    <mergeCell ref="C210:D210"/>
    <mergeCell ref="E210:F210"/>
    <mergeCell ref="I210:J210"/>
    <mergeCell ref="K210:L210"/>
    <mergeCell ref="O210:P210"/>
    <mergeCell ref="Q210:R210"/>
    <mergeCell ref="U210:V210"/>
    <mergeCell ref="W210:X210"/>
    <mergeCell ref="C97:G97"/>
    <mergeCell ref="I97:M97"/>
    <mergeCell ref="O97:S97"/>
    <mergeCell ref="U97:Y97"/>
    <mergeCell ref="C181:G181"/>
    <mergeCell ref="I181:M181"/>
    <mergeCell ref="O181:S181"/>
    <mergeCell ref="U181:Y181"/>
    <mergeCell ref="C173:G173"/>
    <mergeCell ref="I173:M173"/>
    <mergeCell ref="O173:S173"/>
    <mergeCell ref="U173:Y173"/>
    <mergeCell ref="C174:G174"/>
    <mergeCell ref="I174:M174"/>
    <mergeCell ref="O174:S174"/>
    <mergeCell ref="U174:Y174"/>
    <mergeCell ref="E211:F211"/>
    <mergeCell ref="K211:L211"/>
    <mergeCell ref="Q211:R211"/>
    <mergeCell ref="W211:X211"/>
    <mergeCell ref="C213:G213"/>
    <mergeCell ref="I213:M213"/>
    <mergeCell ref="O213:S213"/>
    <mergeCell ref="U213:Y213"/>
    <mergeCell ref="C214:G214"/>
    <mergeCell ref="I214:M214"/>
    <mergeCell ref="O214:S214"/>
    <mergeCell ref="U214:Y214"/>
    <mergeCell ref="C215:G215"/>
    <mergeCell ref="I215:M215"/>
    <mergeCell ref="O215:S215"/>
    <mergeCell ref="U215:Y215"/>
    <mergeCell ref="C216:G216"/>
    <mergeCell ref="I216:M216"/>
    <mergeCell ref="O216:S216"/>
    <mergeCell ref="U216:Y216"/>
    <mergeCell ref="C217:G217"/>
    <mergeCell ref="I217:M217"/>
    <mergeCell ref="O217:S217"/>
    <mergeCell ref="U217:Y217"/>
    <mergeCell ref="C218:G218"/>
    <mergeCell ref="I218:M218"/>
    <mergeCell ref="O218:S218"/>
    <mergeCell ref="U218:Y218"/>
    <mergeCell ref="C219:G219"/>
    <mergeCell ref="I219:M219"/>
    <mergeCell ref="O219:S219"/>
    <mergeCell ref="U219:Y219"/>
    <mergeCell ref="C220:G220"/>
    <mergeCell ref="I220:M220"/>
    <mergeCell ref="O220:S220"/>
    <mergeCell ref="U220:Y220"/>
    <mergeCell ref="C221:G221"/>
    <mergeCell ref="I221:M221"/>
    <mergeCell ref="O221:S221"/>
    <mergeCell ref="U221:Y221"/>
    <mergeCell ref="C222:G222"/>
    <mergeCell ref="I222:M222"/>
    <mergeCell ref="O222:S222"/>
    <mergeCell ref="U222:Y222"/>
    <mergeCell ref="C223:G223"/>
    <mergeCell ref="I223:M223"/>
    <mergeCell ref="O223:S223"/>
    <mergeCell ref="U223:Y223"/>
    <mergeCell ref="C224:G224"/>
    <mergeCell ref="I224:M224"/>
    <mergeCell ref="O224:S224"/>
    <mergeCell ref="U224:Y224"/>
    <mergeCell ref="C225:G225"/>
    <mergeCell ref="I225:M225"/>
    <mergeCell ref="O225:S225"/>
    <mergeCell ref="U225:Y225"/>
    <mergeCell ref="C226:G226"/>
    <mergeCell ref="I226:M226"/>
    <mergeCell ref="O226:S226"/>
    <mergeCell ref="U226:Y226"/>
    <mergeCell ref="C227:G227"/>
    <mergeCell ref="I227:M227"/>
    <mergeCell ref="O227:S227"/>
    <mergeCell ref="U227:Y227"/>
    <mergeCell ref="C228:G228"/>
    <mergeCell ref="I228:M228"/>
    <mergeCell ref="O228:S228"/>
    <mergeCell ref="U228:Y228"/>
    <mergeCell ref="C229:G229"/>
    <mergeCell ref="I229:M229"/>
    <mergeCell ref="O229:S229"/>
    <mergeCell ref="U229:Y229"/>
    <mergeCell ref="I230:M230"/>
    <mergeCell ref="O230:S230"/>
    <mergeCell ref="U230:Y230"/>
    <mergeCell ref="C231:G231"/>
    <mergeCell ref="I231:M231"/>
    <mergeCell ref="O231:S231"/>
    <mergeCell ref="U231:Y231"/>
    <mergeCell ref="C232:G232"/>
    <mergeCell ref="I232:M232"/>
    <mergeCell ref="O232:S232"/>
    <mergeCell ref="U232:Y232"/>
    <mergeCell ref="A31:B31"/>
    <mergeCell ref="A33:B33"/>
    <mergeCell ref="A35:B35"/>
    <mergeCell ref="C236:G236"/>
    <mergeCell ref="I236:M236"/>
    <mergeCell ref="O236:S236"/>
    <mergeCell ref="U236:Y236"/>
    <mergeCell ref="C237:G237"/>
    <mergeCell ref="I237:M237"/>
    <mergeCell ref="O237:S237"/>
    <mergeCell ref="U237:Y237"/>
    <mergeCell ref="C233:G233"/>
    <mergeCell ref="I233:M233"/>
    <mergeCell ref="O233:S233"/>
    <mergeCell ref="U233:Y233"/>
    <mergeCell ref="C234:G234"/>
    <mergeCell ref="I234:M234"/>
    <mergeCell ref="O234:S234"/>
    <mergeCell ref="U234:Y234"/>
    <mergeCell ref="C235:G235"/>
    <mergeCell ref="I235:M235"/>
    <mergeCell ref="O235:S235"/>
    <mergeCell ref="U235:Y235"/>
    <mergeCell ref="C230:G230"/>
  </mergeCells>
  <phoneticPr fontId="9" type="noConversion"/>
  <conditionalFormatting sqref="C15 I15 O15 U15">
    <cfRule type="iconSet" priority="290">
      <iconSet iconSet="3Signs" reverse="1">
        <cfvo type="percent" val="0"/>
        <cfvo type="percent" val="33"/>
        <cfvo type="percent" val="67"/>
      </iconSet>
    </cfRule>
  </conditionalFormatting>
  <conditionalFormatting sqref="C19 I19 O19 U19">
    <cfRule type="iconSet" priority="286">
      <iconSet iconSet="3Signs" reverse="1">
        <cfvo type="percent" val="0"/>
        <cfvo type="percent" val="33"/>
        <cfvo type="percent" val="67"/>
      </iconSet>
    </cfRule>
  </conditionalFormatting>
  <conditionalFormatting sqref="C21 I21 O21 U21">
    <cfRule type="iconSet" priority="278">
      <iconSet iconSet="3Signs" reverse="1">
        <cfvo type="percent" val="0"/>
        <cfvo type="percent" val="33"/>
        <cfvo type="percent" val="67"/>
      </iconSet>
    </cfRule>
  </conditionalFormatting>
  <conditionalFormatting sqref="C11 I11 O11 U11">
    <cfRule type="iconSet" priority="229">
      <iconSet iconSet="3Signs" reverse="1">
        <cfvo type="percent" val="0"/>
        <cfvo type="percent" val="33"/>
        <cfvo type="percent" val="67"/>
      </iconSet>
    </cfRule>
  </conditionalFormatting>
  <conditionalFormatting sqref="C13 I13 O13 U13">
    <cfRule type="iconSet" priority="228">
      <iconSet iconSet="3Signs" reverse="1">
        <cfvo type="percent" val="0"/>
        <cfvo type="percent" val="33"/>
        <cfvo type="percent" val="67"/>
      </iconSet>
    </cfRule>
  </conditionalFormatting>
  <conditionalFormatting sqref="C17 I17 O17 U17">
    <cfRule type="iconSet" priority="222">
      <iconSet iconSet="3Signs" reverse="1">
        <cfvo type="percent" val="0"/>
        <cfvo type="percent" val="33"/>
        <cfvo type="percent" val="67"/>
      </iconSet>
    </cfRule>
  </conditionalFormatting>
  <conditionalFormatting sqref="C23:E23 I23:K23 O23:Q23 U23:W23">
    <cfRule type="iconSet" priority="148">
      <iconSet iconSet="3Signs" reverse="1">
        <cfvo type="percent" val="0"/>
        <cfvo type="num" val="$AB$23"/>
        <cfvo type="num" val="$AB$23"/>
      </iconSet>
    </cfRule>
  </conditionalFormatting>
  <conditionalFormatting sqref="C31">
    <cfRule type="iconSet" priority="127">
      <iconSet iconSet="3Signs" showValue="0" reverse="1">
        <cfvo type="percent" val="0"/>
        <cfvo type="num" val="1.5"/>
        <cfvo type="num" val="2" gte="0"/>
      </iconSet>
    </cfRule>
  </conditionalFormatting>
  <conditionalFormatting sqref="C33">
    <cfRule type="iconSet" priority="123">
      <iconSet iconSet="3Signs" showValue="0" reverse="1">
        <cfvo type="percent" val="0"/>
        <cfvo type="num" val="1.5"/>
        <cfvo type="num" val="2" gte="0"/>
      </iconSet>
    </cfRule>
  </conditionalFormatting>
  <conditionalFormatting sqref="C35">
    <cfRule type="iconSet" priority="121">
      <iconSet iconSet="3Signs" showValue="0" reverse="1">
        <cfvo type="percent" val="0"/>
        <cfvo type="num" val="1.5"/>
        <cfvo type="num" val="2" gte="0"/>
      </iconSet>
    </cfRule>
  </conditionalFormatting>
  <conditionalFormatting sqref="C37">
    <cfRule type="iconSet" priority="114">
      <iconSet iconSet="3Signs" showValue="0" reverse="1">
        <cfvo type="percent" val="0"/>
        <cfvo type="num" val="1.5"/>
        <cfvo type="num" val="2" gte="0"/>
      </iconSet>
    </cfRule>
  </conditionalFormatting>
  <conditionalFormatting sqref="I31">
    <cfRule type="iconSet" priority="112">
      <iconSet iconSet="3Signs" showValue="0" reverse="1">
        <cfvo type="percent" val="0"/>
        <cfvo type="num" val="1.5"/>
        <cfvo type="num" val="2" gte="0"/>
      </iconSet>
    </cfRule>
  </conditionalFormatting>
  <conditionalFormatting sqref="I33">
    <cfRule type="iconSet" priority="109">
      <iconSet iconSet="3Signs" showValue="0" reverse="1">
        <cfvo type="percent" val="0"/>
        <cfvo type="num" val="1.5"/>
        <cfvo type="num" val="2" gte="0"/>
      </iconSet>
    </cfRule>
  </conditionalFormatting>
  <conditionalFormatting sqref="I35">
    <cfRule type="iconSet" priority="107">
      <iconSet iconSet="3Signs" showValue="0" reverse="1">
        <cfvo type="percent" val="0"/>
        <cfvo type="num" val="1.5"/>
        <cfvo type="num" val="2" gte="0"/>
      </iconSet>
    </cfRule>
  </conditionalFormatting>
  <conditionalFormatting sqref="I37">
    <cfRule type="iconSet" priority="102">
      <iconSet iconSet="3Signs" showValue="0" reverse="1">
        <cfvo type="percent" val="0"/>
        <cfvo type="num" val="1.5"/>
        <cfvo type="num" val="2" gte="0"/>
      </iconSet>
    </cfRule>
  </conditionalFormatting>
  <conditionalFormatting sqref="O31">
    <cfRule type="iconSet" priority="99">
      <iconSet iconSet="3Signs" showValue="0" reverse="1">
        <cfvo type="percent" val="0"/>
        <cfvo type="num" val="1.5"/>
        <cfvo type="num" val="2" gte="0"/>
      </iconSet>
    </cfRule>
  </conditionalFormatting>
  <conditionalFormatting sqref="O33">
    <cfRule type="iconSet" priority="93">
      <iconSet iconSet="3Signs" showValue="0" reverse="1">
        <cfvo type="percent" val="0"/>
        <cfvo type="num" val="1.5"/>
        <cfvo type="num" val="2" gte="0"/>
      </iconSet>
    </cfRule>
  </conditionalFormatting>
  <conditionalFormatting sqref="O35">
    <cfRule type="iconSet" priority="84">
      <iconSet iconSet="3Signs" showValue="0" reverse="1">
        <cfvo type="percent" val="0"/>
        <cfvo type="num" val="1.5"/>
        <cfvo type="num" val="2" gte="0"/>
      </iconSet>
    </cfRule>
  </conditionalFormatting>
  <conditionalFormatting sqref="O37">
    <cfRule type="iconSet" priority="79">
      <iconSet iconSet="3Signs" showValue="0" reverse="1">
        <cfvo type="percent" val="0"/>
        <cfvo type="num" val="1.5"/>
        <cfvo type="num" val="2" gte="0"/>
      </iconSet>
    </cfRule>
  </conditionalFormatting>
  <conditionalFormatting sqref="U31">
    <cfRule type="iconSet" priority="77">
      <iconSet iconSet="3Signs" showValue="0" reverse="1">
        <cfvo type="percent" val="0"/>
        <cfvo type="num" val="1.5"/>
        <cfvo type="num" val="2" gte="0"/>
      </iconSet>
    </cfRule>
  </conditionalFormatting>
  <conditionalFormatting sqref="U33">
    <cfRule type="iconSet" priority="75">
      <iconSet iconSet="3Signs" showValue="0" reverse="1">
        <cfvo type="percent" val="0"/>
        <cfvo type="num" val="1.5"/>
        <cfvo type="num" val="2" gte="0"/>
      </iconSet>
    </cfRule>
  </conditionalFormatting>
  <conditionalFormatting sqref="U35">
    <cfRule type="iconSet" priority="72">
      <iconSet iconSet="3Signs" showValue="0" reverse="1">
        <cfvo type="percent" val="0"/>
        <cfvo type="num" val="1.5"/>
        <cfvo type="num" val="2" gte="0"/>
      </iconSet>
    </cfRule>
  </conditionalFormatting>
  <conditionalFormatting sqref="U37:V37">
    <cfRule type="iconSet" priority="69">
      <iconSet iconSet="3Signs" showValue="0" reverse="1">
        <cfvo type="percent" val="0"/>
        <cfvo type="num" val="1.5"/>
        <cfvo type="num" val="2" gte="0"/>
      </iconSet>
    </cfRule>
  </conditionalFormatting>
  <conditionalFormatting sqref="C39:D39">
    <cfRule type="iconSet" priority="68">
      <iconSet iconSet="3Signs" showValue="0" reverse="1">
        <cfvo type="percent" val="0"/>
        <cfvo type="num" val="1.5"/>
        <cfvo type="num" val="3"/>
      </iconSet>
    </cfRule>
  </conditionalFormatting>
  <conditionalFormatting sqref="I39:J39">
    <cfRule type="iconSet" priority="65">
      <iconSet iconSet="3Signs" showValue="0" reverse="1">
        <cfvo type="percent" val="0"/>
        <cfvo type="num" val="1.5"/>
        <cfvo type="num" val="3"/>
      </iconSet>
    </cfRule>
  </conditionalFormatting>
  <conditionalFormatting sqref="O39:P39">
    <cfRule type="iconSet" priority="64">
      <iconSet iconSet="3Signs" showValue="0" reverse="1">
        <cfvo type="percent" val="0"/>
        <cfvo type="num" val="1.5"/>
        <cfvo type="num" val="3"/>
      </iconSet>
    </cfRule>
  </conditionalFormatting>
  <conditionalFormatting sqref="F11">
    <cfRule type="expression" dxfId="44" priority="62">
      <formula>(C11="")</formula>
    </cfRule>
  </conditionalFormatting>
  <conditionalFormatting sqref="L11">
    <cfRule type="expression" dxfId="43" priority="59">
      <formula>(I11="")</formula>
    </cfRule>
  </conditionalFormatting>
  <conditionalFormatting sqref="R11">
    <cfRule type="expression" dxfId="42" priority="58">
      <formula>(O11="")</formula>
    </cfRule>
  </conditionalFormatting>
  <conditionalFormatting sqref="X11">
    <cfRule type="expression" dxfId="41" priority="57">
      <formula>(U11="")</formula>
    </cfRule>
  </conditionalFormatting>
  <conditionalFormatting sqref="F13">
    <cfRule type="expression" dxfId="40" priority="56">
      <formula>(C13="")</formula>
    </cfRule>
  </conditionalFormatting>
  <conditionalFormatting sqref="L13">
    <cfRule type="expression" dxfId="39" priority="55">
      <formula>(I13="")</formula>
    </cfRule>
  </conditionalFormatting>
  <conditionalFormatting sqref="R13">
    <cfRule type="expression" dxfId="38" priority="54">
      <formula>(O13="")</formula>
    </cfRule>
  </conditionalFormatting>
  <conditionalFormatting sqref="X13">
    <cfRule type="expression" dxfId="37" priority="53">
      <formula>(U13="")</formula>
    </cfRule>
  </conditionalFormatting>
  <conditionalFormatting sqref="X15">
    <cfRule type="expression" dxfId="36" priority="52">
      <formula>(U15="")</formula>
    </cfRule>
  </conditionalFormatting>
  <conditionalFormatting sqref="X17">
    <cfRule type="expression" dxfId="35" priority="51">
      <formula>(U17="")</formula>
    </cfRule>
  </conditionalFormatting>
  <conditionalFormatting sqref="X19">
    <cfRule type="expression" dxfId="34" priority="50">
      <formula>(U19="")</formula>
    </cfRule>
  </conditionalFormatting>
  <conditionalFormatting sqref="X21">
    <cfRule type="expression" dxfId="33" priority="49">
      <formula>(U21="")</formula>
    </cfRule>
  </conditionalFormatting>
  <conditionalFormatting sqref="X23">
    <cfRule type="expression" dxfId="32" priority="48">
      <formula>(U23="")</formula>
    </cfRule>
  </conditionalFormatting>
  <conditionalFormatting sqref="R23">
    <cfRule type="expression" dxfId="31" priority="41">
      <formula>(O23="")</formula>
    </cfRule>
  </conditionalFormatting>
  <conditionalFormatting sqref="R21">
    <cfRule type="expression" dxfId="30" priority="40">
      <formula>(O21="")</formula>
    </cfRule>
  </conditionalFormatting>
  <conditionalFormatting sqref="R19">
    <cfRule type="expression" dxfId="29" priority="39">
      <formula>(O19="")</formula>
    </cfRule>
  </conditionalFormatting>
  <conditionalFormatting sqref="R17">
    <cfRule type="expression" dxfId="28" priority="38">
      <formula>(O17="")</formula>
    </cfRule>
  </conditionalFormatting>
  <conditionalFormatting sqref="R15">
    <cfRule type="expression" dxfId="27" priority="37">
      <formula>(O15="")</formula>
    </cfRule>
  </conditionalFormatting>
  <conditionalFormatting sqref="R13">
    <cfRule type="expression" dxfId="26" priority="36">
      <formula>(O13="")</formula>
    </cfRule>
  </conditionalFormatting>
  <conditionalFormatting sqref="L15">
    <cfRule type="expression" dxfId="25" priority="35">
      <formula>(I15="")</formula>
    </cfRule>
  </conditionalFormatting>
  <conditionalFormatting sqref="L17">
    <cfRule type="expression" dxfId="24" priority="34">
      <formula>(I17="")</formula>
    </cfRule>
  </conditionalFormatting>
  <conditionalFormatting sqref="L19">
    <cfRule type="expression" dxfId="23" priority="33">
      <formula>(I19="")</formula>
    </cfRule>
  </conditionalFormatting>
  <conditionalFormatting sqref="L21">
    <cfRule type="expression" dxfId="22" priority="32">
      <formula>(I21="")</formula>
    </cfRule>
  </conditionalFormatting>
  <conditionalFormatting sqref="L23">
    <cfRule type="expression" dxfId="21" priority="31">
      <formula>(I23="")</formula>
    </cfRule>
  </conditionalFormatting>
  <conditionalFormatting sqref="L27">
    <cfRule type="expression" dxfId="20" priority="29">
      <formula>OR(I27=0,I27="")</formula>
    </cfRule>
  </conditionalFormatting>
  <conditionalFormatting sqref="F23">
    <cfRule type="expression" dxfId="19" priority="24">
      <formula>(C23="")</formula>
    </cfRule>
  </conditionalFormatting>
  <conditionalFormatting sqref="F21">
    <cfRule type="expression" dxfId="18" priority="23">
      <formula>(C21="")</formula>
    </cfRule>
  </conditionalFormatting>
  <conditionalFormatting sqref="F19">
    <cfRule type="expression" dxfId="17" priority="22">
      <formula>(C19="")</formula>
    </cfRule>
  </conditionalFormatting>
  <conditionalFormatting sqref="F17">
    <cfRule type="expression" dxfId="16" priority="21">
      <formula>(C17="")</formula>
    </cfRule>
  </conditionalFormatting>
  <conditionalFormatting sqref="F15">
    <cfRule type="expression" dxfId="15" priority="20">
      <formula>(C15="")</formula>
    </cfRule>
  </conditionalFormatting>
  <conditionalFormatting sqref="A23:B23">
    <cfRule type="expression" dxfId="14" priority="19">
      <formula>NOT($AB$23&gt;0)</formula>
    </cfRule>
  </conditionalFormatting>
  <conditionalFormatting sqref="L25">
    <cfRule type="expression" dxfId="13" priority="18">
      <formula>OR(I25=0,I25="")</formula>
    </cfRule>
  </conditionalFormatting>
  <conditionalFormatting sqref="L29">
    <cfRule type="expression" dxfId="12" priority="17">
      <formula>OR(I29=0,I29="")</formula>
    </cfRule>
  </conditionalFormatting>
  <conditionalFormatting sqref="R25">
    <cfRule type="expression" dxfId="11" priority="16">
      <formula>OR(O25=0,O25="")</formula>
    </cfRule>
  </conditionalFormatting>
  <conditionalFormatting sqref="R27">
    <cfRule type="expression" dxfId="10" priority="15">
      <formula>OR(O27=0,O27="")</formula>
    </cfRule>
  </conditionalFormatting>
  <conditionalFormatting sqref="R29">
    <cfRule type="expression" dxfId="9" priority="13">
      <formula>OR(O29=0,O29="")</formula>
    </cfRule>
  </conditionalFormatting>
  <conditionalFormatting sqref="F25">
    <cfRule type="expression" dxfId="8" priority="12">
      <formula>OR(C25=0,C25="")</formula>
    </cfRule>
  </conditionalFormatting>
  <conditionalFormatting sqref="F27">
    <cfRule type="expression" dxfId="7" priority="11">
      <formula>OR(C27=0,C27="")</formula>
    </cfRule>
  </conditionalFormatting>
  <conditionalFormatting sqref="F29">
    <cfRule type="expression" dxfId="6" priority="10">
      <formula>OR(C29=0,C29="")</formula>
    </cfRule>
  </conditionalFormatting>
  <conditionalFormatting sqref="X25">
    <cfRule type="expression" dxfId="5" priority="9">
      <formula>OR(U25=0,U25="")</formula>
    </cfRule>
  </conditionalFormatting>
  <conditionalFormatting sqref="X27">
    <cfRule type="expression" dxfId="4" priority="8">
      <formula>OR(U27=0,U27="")</formula>
    </cfRule>
  </conditionalFormatting>
  <conditionalFormatting sqref="X29">
    <cfRule type="expression" dxfId="3" priority="7">
      <formula>OR(U29=0,U29="")</formula>
    </cfRule>
  </conditionalFormatting>
  <conditionalFormatting sqref="A25">
    <cfRule type="expression" dxfId="2" priority="6">
      <formula>SUM($C25,$I25,$O25,$U25)=0</formula>
    </cfRule>
  </conditionalFormatting>
  <conditionalFormatting sqref="A27">
    <cfRule type="expression" dxfId="1" priority="2">
      <formula>SUM($C27,$I27,$O27,$U27)=0</formula>
    </cfRule>
  </conditionalFormatting>
  <conditionalFormatting sqref="A29">
    <cfRule type="expression" dxfId="0" priority="1">
      <formula>SUM($C29,$I29,$O29,$U29)=0</formula>
    </cfRule>
  </conditionalFormatting>
  <hyperlinks>
    <hyperlink ref="F2" location="Neu_in_Version" display="i"/>
  </hyperlinks>
  <pageMargins left="0.70866141732283472" right="0.70866141732283472" top="0.39370078740157483" bottom="0.86614173228346458" header="0.39370078740157483" footer="0.39370078740157483"/>
  <pageSetup paperSize="9" scale="99" fitToHeight="0" orientation="landscape" r:id="rId1"/>
  <headerFooter scaleWithDoc="0">
    <oddFooter>&amp;L&amp;8&amp;G&amp;CSeite &amp;P/&amp;N&amp;6
&amp;D/&amp;F&amp;R&amp;7&amp;G</oddFooter>
  </headerFooter>
  <rowBreaks count="1" manualBreakCount="1">
    <brk id="41" max="24" man="1"/>
  </rowBreaks>
  <drawing r:id="rId2"/>
  <legacyDrawing r:id="rId3"/>
  <legacyDrawingHF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theme="8" tint="0.39997558519241921"/>
  </sheetPr>
  <dimension ref="A1:W105"/>
  <sheetViews>
    <sheetView showGridLines="0" showZeros="0" zoomScaleNormal="100" zoomScaleSheetLayoutView="100" workbookViewId="0">
      <pane ySplit="8" topLeftCell="A27" activePane="bottomLeft" state="frozen"/>
      <selection activeCell="I65" sqref="I65"/>
      <selection pane="bottomLeft" activeCell="E2" sqref="E2"/>
    </sheetView>
  </sheetViews>
  <sheetFormatPr baseColWidth="10" defaultColWidth="9.25" defaultRowHeight="12.9" x14ac:dyDescent="0.2"/>
  <cols>
    <col min="1" max="1" width="9.625" style="28" customWidth="1"/>
    <col min="2" max="2" width="19" style="28" customWidth="1"/>
    <col min="3" max="3" width="9.75" style="28" customWidth="1"/>
    <col min="4" max="7" width="14.625" customWidth="1"/>
    <col min="8" max="8" width="5.625" customWidth="1"/>
    <col min="9" max="9" width="8.625" style="195" customWidth="1"/>
    <col min="10" max="10" width="2.75" style="195" customWidth="1"/>
    <col min="11" max="16" width="11.75" style="195" customWidth="1"/>
    <col min="17" max="17" width="11" style="190" bestFit="1" customWidth="1"/>
  </cols>
  <sheetData>
    <row r="1" spans="1:23" ht="56.25" customHeight="1" x14ac:dyDescent="0.2">
      <c r="A1" s="147"/>
      <c r="B1" s="1358"/>
      <c r="C1" s="150"/>
      <c r="D1" s="150"/>
      <c r="E1" s="150"/>
      <c r="F1" s="148"/>
      <c r="G1" s="148"/>
      <c r="H1" s="148"/>
      <c r="I1" s="191"/>
      <c r="J1" s="191"/>
      <c r="K1" s="191"/>
      <c r="L1" s="191"/>
      <c r="M1" s="191"/>
      <c r="N1" s="191"/>
      <c r="O1" s="191"/>
      <c r="P1" s="191"/>
      <c r="Q1" s="192"/>
      <c r="R1" s="149"/>
      <c r="S1" s="149"/>
      <c r="T1" s="149"/>
      <c r="U1" s="149"/>
      <c r="V1" s="149"/>
      <c r="W1" s="149"/>
    </row>
    <row r="2" spans="1:23" ht="12.75" customHeight="1" x14ac:dyDescent="0.25">
      <c r="A2" s="152" t="str">
        <f>CONCATENATE("Variantenvergleich Energiesysteme - Version ",Versionsinfo!$B$4)</f>
        <v>Variantenvergleich Energiesysteme - Version 2.2</v>
      </c>
      <c r="B2" s="152"/>
      <c r="C2"/>
      <c r="D2" s="1535"/>
      <c r="E2" s="1536" t="s">
        <v>684</v>
      </c>
      <c r="F2" s="150"/>
      <c r="G2" s="150"/>
      <c r="H2" s="150"/>
      <c r="I2" s="191"/>
      <c r="J2" s="191"/>
      <c r="K2" s="191"/>
      <c r="L2" s="191"/>
      <c r="M2" s="193"/>
      <c r="N2" s="194"/>
      <c r="O2" s="194"/>
      <c r="P2" s="191"/>
      <c r="Q2" s="192"/>
      <c r="R2" s="151"/>
      <c r="S2" s="151"/>
      <c r="T2" s="151"/>
      <c r="U2" s="151"/>
      <c r="V2" s="151"/>
      <c r="W2" s="151"/>
    </row>
    <row r="3" spans="1:23" ht="12.75" customHeight="1" x14ac:dyDescent="0.2">
      <c r="A3" s="153" t="s">
        <v>178</v>
      </c>
      <c r="B3" s="153"/>
      <c r="C3"/>
    </row>
    <row r="4" spans="1:23" ht="25.5" customHeight="1" x14ac:dyDescent="0.2">
      <c r="A4" s="127"/>
      <c r="B4" s="127"/>
      <c r="C4"/>
    </row>
    <row r="5" spans="1:23" ht="15.65" x14ac:dyDescent="0.25">
      <c r="A5" s="117" t="s">
        <v>107</v>
      </c>
      <c r="B5" s="117"/>
      <c r="C5" s="116">
        <f>Ergebnisse!A6</f>
        <v>0</v>
      </c>
      <c r="G5" s="118">
        <f>Ergebnisse!F6</f>
        <v>0</v>
      </c>
    </row>
    <row r="7" spans="1:23" ht="18" customHeight="1" x14ac:dyDescent="0.2">
      <c r="A7" s="115" t="s">
        <v>42</v>
      </c>
      <c r="B7" s="115"/>
      <c r="C7" s="115"/>
      <c r="D7" s="25">
        <v>1</v>
      </c>
      <c r="E7" s="25">
        <v>2</v>
      </c>
      <c r="F7" s="25">
        <v>3</v>
      </c>
      <c r="G7" s="25">
        <v>4</v>
      </c>
    </row>
    <row r="8" spans="1:23" ht="27" customHeight="1" x14ac:dyDescent="0.2">
      <c r="A8" s="27"/>
      <c r="B8" s="27"/>
      <c r="C8" s="27"/>
      <c r="D8" s="167">
        <f>Ergebnisse!E8</f>
        <v>0</v>
      </c>
      <c r="E8" s="167">
        <f>Ergebnisse!K8</f>
        <v>0</v>
      </c>
      <c r="F8" s="167">
        <f>Ergebnisse!Q8</f>
        <v>0</v>
      </c>
      <c r="G8" s="167">
        <f>Ergebnisse!W8</f>
        <v>0</v>
      </c>
    </row>
    <row r="9" spans="1:23" s="2" customFormat="1" ht="13.6" customHeight="1" x14ac:dyDescent="0.2">
      <c r="A9" s="26"/>
      <c r="B9" s="26"/>
      <c r="C9" s="26"/>
      <c r="D9" s="131"/>
      <c r="E9" s="131"/>
      <c r="F9" s="131"/>
      <c r="G9" s="131"/>
      <c r="I9" s="189"/>
      <c r="J9" s="189"/>
      <c r="K9" s="189"/>
      <c r="L9" s="189"/>
      <c r="M9" s="189"/>
      <c r="N9" s="189"/>
      <c r="O9" s="189"/>
      <c r="P9" s="189"/>
      <c r="Q9" s="188"/>
    </row>
    <row r="10" spans="1:23" s="2" customFormat="1" ht="13.6" customHeight="1" x14ac:dyDescent="0.2">
      <c r="A10" s="114" t="s">
        <v>1</v>
      </c>
      <c r="B10" s="114"/>
      <c r="C10" s="114"/>
      <c r="D10" s="132"/>
      <c r="E10" s="132"/>
      <c r="F10" s="132"/>
      <c r="G10" s="132"/>
      <c r="I10" s="189"/>
      <c r="J10" s="189"/>
      <c r="K10" s="189"/>
      <c r="L10" s="189"/>
      <c r="M10" s="189"/>
      <c r="N10" s="189"/>
      <c r="O10" s="189"/>
      <c r="P10" s="189"/>
      <c r="Q10" s="188"/>
    </row>
    <row r="11" spans="1:23" s="2" customFormat="1" ht="13.6" customHeight="1" x14ac:dyDescent="0.2">
      <c r="A11" s="26" t="s">
        <v>664</v>
      </c>
      <c r="B11" s="26"/>
      <c r="C11" s="26" t="s">
        <v>3</v>
      </c>
      <c r="D11" s="133">
        <f>WR_Übersicht!C34</f>
        <v>0</v>
      </c>
      <c r="E11" s="133">
        <f>WR_Übersicht!D34</f>
        <v>0</v>
      </c>
      <c r="F11" s="133">
        <f>WR_Übersicht!E34</f>
        <v>0</v>
      </c>
      <c r="G11" s="133">
        <f>WR_Übersicht!F34</f>
        <v>0</v>
      </c>
      <c r="I11" s="189"/>
      <c r="J11" s="189"/>
      <c r="K11" s="189"/>
      <c r="L11" s="189"/>
      <c r="M11" s="189"/>
      <c r="N11" s="189"/>
      <c r="O11" s="189"/>
      <c r="P11" s="189"/>
      <c r="Q11" s="188"/>
    </row>
    <row r="12" spans="1:23" s="2" customFormat="1" ht="13.6" customHeight="1" x14ac:dyDescent="0.2">
      <c r="A12" s="26" t="s">
        <v>559</v>
      </c>
      <c r="B12" s="26"/>
      <c r="C12" s="26" t="s">
        <v>3</v>
      </c>
      <c r="D12" s="134">
        <f>-WR_Übersicht!C44</f>
        <v>0</v>
      </c>
      <c r="E12" s="134">
        <f>-WR_Übersicht!D44</f>
        <v>0</v>
      </c>
      <c r="F12" s="134">
        <f>-WR_Übersicht!E44</f>
        <v>0</v>
      </c>
      <c r="G12" s="134">
        <f>-WR_Übersicht!F44</f>
        <v>0</v>
      </c>
      <c r="I12" s="189"/>
      <c r="J12" s="189"/>
      <c r="K12" s="189"/>
      <c r="L12" s="189"/>
      <c r="M12" s="189"/>
      <c r="N12" s="189"/>
      <c r="O12" s="189"/>
      <c r="P12" s="189"/>
      <c r="Q12" s="188"/>
    </row>
    <row r="13" spans="1:23" s="2" customFormat="1" ht="13.6" customHeight="1" x14ac:dyDescent="0.2">
      <c r="A13" s="29"/>
      <c r="B13" s="29"/>
      <c r="C13" s="29"/>
      <c r="D13" s="133"/>
      <c r="E13" s="133"/>
      <c r="F13" s="133"/>
      <c r="G13" s="133"/>
      <c r="I13" s="189"/>
      <c r="J13" s="189"/>
      <c r="K13" s="189"/>
      <c r="L13" s="189"/>
      <c r="M13" s="189"/>
      <c r="N13" s="189"/>
      <c r="O13" s="189"/>
      <c r="P13" s="189"/>
      <c r="Q13" s="188"/>
    </row>
    <row r="14" spans="1:23" s="2" customFormat="1" ht="13.6" customHeight="1" x14ac:dyDescent="0.2">
      <c r="A14" s="114" t="s">
        <v>723</v>
      </c>
      <c r="B14" s="114"/>
      <c r="C14" s="114" t="s">
        <v>4</v>
      </c>
      <c r="D14" s="132">
        <f>SUM(D15:D18)</f>
        <v>0</v>
      </c>
      <c r="E14" s="132">
        <f>SUM(E15:E18)</f>
        <v>0</v>
      </c>
      <c r="F14" s="132">
        <f>SUM(F15:F18)</f>
        <v>0</v>
      </c>
      <c r="G14" s="132">
        <f>SUM(G15:G18)</f>
        <v>0</v>
      </c>
      <c r="I14" s="189"/>
      <c r="J14" s="189"/>
      <c r="K14" s="189"/>
      <c r="L14" s="189"/>
      <c r="M14" s="189"/>
      <c r="N14" s="189"/>
      <c r="O14" s="189"/>
      <c r="P14" s="189"/>
      <c r="Q14" s="188"/>
    </row>
    <row r="15" spans="1:23" s="2" customFormat="1" ht="13.6" customHeight="1" x14ac:dyDescent="0.2">
      <c r="A15" s="26" t="s">
        <v>739</v>
      </c>
      <c r="B15" s="26"/>
      <c r="C15" s="26" t="s">
        <v>4</v>
      </c>
      <c r="D15" s="133">
        <f>WR_Übersicht!C28</f>
        <v>0</v>
      </c>
      <c r="E15" s="133">
        <f>WR_Übersicht!D28</f>
        <v>0</v>
      </c>
      <c r="F15" s="133">
        <f>WR_Übersicht!E28</f>
        <v>0</v>
      </c>
      <c r="G15" s="133">
        <f>WR_Übersicht!F28</f>
        <v>0</v>
      </c>
      <c r="I15" s="189"/>
      <c r="J15" s="189"/>
      <c r="K15" s="189"/>
      <c r="L15" s="189"/>
      <c r="M15" s="189"/>
      <c r="N15" s="189"/>
      <c r="O15" s="189"/>
      <c r="P15" s="189"/>
      <c r="Q15" s="188"/>
    </row>
    <row r="16" spans="1:23" s="2" customFormat="1" ht="13.6" customHeight="1" x14ac:dyDescent="0.2">
      <c r="A16" s="26" t="s">
        <v>660</v>
      </c>
      <c r="B16" s="26"/>
      <c r="C16" s="26" t="s">
        <v>4</v>
      </c>
      <c r="D16" s="133">
        <f>WR_Übersicht!C25</f>
        <v>0</v>
      </c>
      <c r="E16" s="133">
        <f>WR_Übersicht!D25</f>
        <v>0</v>
      </c>
      <c r="F16" s="133">
        <f>WR_Übersicht!E25</f>
        <v>0</v>
      </c>
      <c r="G16" s="133">
        <f>WR_Übersicht!F25</f>
        <v>0</v>
      </c>
      <c r="H16" s="189"/>
      <c r="I16" s="189"/>
      <c r="J16" s="188"/>
    </row>
    <row r="17" spans="1:17" s="2" customFormat="1" ht="13.6" customHeight="1" x14ac:dyDescent="0.2">
      <c r="A17" s="26" t="s">
        <v>479</v>
      </c>
      <c r="B17" s="26"/>
      <c r="C17" s="26" t="s">
        <v>4</v>
      </c>
      <c r="D17" s="133">
        <f>WR_Übersicht!C26</f>
        <v>0</v>
      </c>
      <c r="E17" s="133">
        <f>WR_Übersicht!D26</f>
        <v>0</v>
      </c>
      <c r="F17" s="133">
        <f>WR_Übersicht!E26</f>
        <v>0</v>
      </c>
      <c r="G17" s="133">
        <f>WR_Übersicht!F26</f>
        <v>0</v>
      </c>
      <c r="H17" s="189"/>
      <c r="I17" s="189"/>
      <c r="J17" s="188"/>
    </row>
    <row r="18" spans="1:17" s="2" customFormat="1" ht="13.6" customHeight="1" x14ac:dyDescent="0.2">
      <c r="A18" s="26" t="s">
        <v>740</v>
      </c>
      <c r="B18" s="26"/>
      <c r="C18" s="26" t="s">
        <v>4</v>
      </c>
      <c r="D18" s="133">
        <f>WR_Übersicht!C29</f>
        <v>0</v>
      </c>
      <c r="E18" s="133">
        <f>WR_Übersicht!D29</f>
        <v>0</v>
      </c>
      <c r="F18" s="133">
        <f>WR_Übersicht!E29</f>
        <v>0</v>
      </c>
      <c r="G18" s="133">
        <f>WR_Übersicht!F29</f>
        <v>0</v>
      </c>
      <c r="H18" s="189"/>
      <c r="I18" s="189"/>
      <c r="J18" s="188"/>
    </row>
    <row r="19" spans="1:17" s="2" customFormat="1" ht="13.6" customHeight="1" x14ac:dyDescent="0.2">
      <c r="A19" s="26"/>
      <c r="B19" s="26"/>
      <c r="C19" s="26"/>
      <c r="D19" s="133"/>
      <c r="E19" s="133"/>
      <c r="F19" s="133"/>
      <c r="G19" s="133"/>
      <c r="H19" s="189"/>
      <c r="I19" s="189"/>
      <c r="J19" s="188"/>
    </row>
    <row r="20" spans="1:17" s="2" customFormat="1" ht="13.6" customHeight="1" thickBot="1" x14ac:dyDescent="0.25">
      <c r="A20" s="815" t="s">
        <v>478</v>
      </c>
      <c r="B20" s="815"/>
      <c r="C20" s="114" t="s">
        <v>476</v>
      </c>
      <c r="D20" s="532">
        <f>WR_Var1!$L$119</f>
        <v>0</v>
      </c>
      <c r="E20" s="532">
        <f>WR_Var2!$L$119</f>
        <v>0</v>
      </c>
      <c r="F20" s="532">
        <f>WR_Var3!$L$119</f>
        <v>0</v>
      </c>
      <c r="G20" s="532">
        <f>WR_Var4!$L$119</f>
        <v>0</v>
      </c>
      <c r="I20" s="189"/>
      <c r="J20" s="189"/>
      <c r="K20" s="814"/>
      <c r="L20" s="189"/>
      <c r="M20" s="189"/>
      <c r="N20" s="189"/>
      <c r="O20" s="189"/>
      <c r="P20" s="189"/>
      <c r="Q20" s="188"/>
    </row>
    <row r="21" spans="1:17" s="2" customFormat="1" ht="13.6" customHeight="1" thickBot="1" x14ac:dyDescent="0.25">
      <c r="A21" s="2911" t="str">
        <f>Projektdaten!$G$31</f>
        <v>Förderbeiträge berücksichtigen</v>
      </c>
      <c r="B21" s="2912"/>
      <c r="C21" s="2913"/>
      <c r="D21" s="1457"/>
      <c r="E21" s="816"/>
      <c r="F21" s="816"/>
      <c r="G21" s="816"/>
      <c r="I21" s="189"/>
      <c r="J21" s="189"/>
      <c r="K21" s="814"/>
      <c r="L21" s="189"/>
      <c r="M21" s="189"/>
      <c r="N21" s="189"/>
      <c r="O21" s="189"/>
      <c r="P21" s="189"/>
      <c r="Q21" s="188"/>
    </row>
    <row r="22" spans="1:17" s="2" customFormat="1" ht="13.6" customHeight="1" x14ac:dyDescent="0.2">
      <c r="A22" s="26" t="s">
        <v>469</v>
      </c>
      <c r="B22" s="26"/>
      <c r="C22" s="26" t="s">
        <v>476</v>
      </c>
      <c r="D22" s="531">
        <f>WR_Übersicht!C48</f>
        <v>0</v>
      </c>
      <c r="E22" s="531">
        <f>WR_Übersicht!D48</f>
        <v>0</v>
      </c>
      <c r="F22" s="531">
        <f>WR_Übersicht!E48</f>
        <v>0</v>
      </c>
      <c r="G22" s="531">
        <f>WR_Übersicht!F48</f>
        <v>0</v>
      </c>
      <c r="I22" s="189"/>
      <c r="J22" s="189"/>
      <c r="K22" s="189"/>
      <c r="L22" s="189"/>
      <c r="M22" s="189"/>
      <c r="N22" s="189"/>
      <c r="O22" s="189"/>
      <c r="P22" s="189"/>
      <c r="Q22" s="188"/>
    </row>
    <row r="23" spans="1:17" s="2" customFormat="1" ht="13.6" customHeight="1" x14ac:dyDescent="0.2">
      <c r="A23" s="26" t="s">
        <v>470</v>
      </c>
      <c r="B23" s="26"/>
      <c r="C23" s="26" t="s">
        <v>476</v>
      </c>
      <c r="D23" s="531">
        <f>WR_Übersicht!C49</f>
        <v>0</v>
      </c>
      <c r="E23" s="531">
        <f>WR_Übersicht!D49</f>
        <v>0</v>
      </c>
      <c r="F23" s="531">
        <f>WR_Übersicht!E49</f>
        <v>0</v>
      </c>
      <c r="G23" s="531">
        <f>WR_Übersicht!F49</f>
        <v>0</v>
      </c>
      <c r="H23" s="189"/>
      <c r="I23" s="189"/>
      <c r="J23" s="188"/>
    </row>
    <row r="24" spans="1:17" s="2" customFormat="1" ht="13.6" customHeight="1" x14ac:dyDescent="0.2">
      <c r="A24" s="26" t="s">
        <v>33</v>
      </c>
      <c r="B24" s="26"/>
      <c r="C24" s="26" t="s">
        <v>476</v>
      </c>
      <c r="D24" s="531">
        <f>WR_Übersicht!C50</f>
        <v>0</v>
      </c>
      <c r="E24" s="531">
        <f>WR_Übersicht!D50</f>
        <v>0</v>
      </c>
      <c r="F24" s="531">
        <f>WR_Übersicht!E50</f>
        <v>0</v>
      </c>
      <c r="G24" s="531">
        <f>WR_Übersicht!F50</f>
        <v>0</v>
      </c>
      <c r="H24" s="189"/>
      <c r="I24" s="189"/>
      <c r="J24" s="188"/>
    </row>
    <row r="25" spans="1:17" s="2" customFormat="1" ht="13.6" customHeight="1" x14ac:dyDescent="0.2">
      <c r="A25" s="26"/>
      <c r="B25" s="26"/>
      <c r="C25" s="26"/>
      <c r="D25" s="133"/>
      <c r="E25" s="133"/>
      <c r="F25" s="133"/>
      <c r="G25" s="133"/>
      <c r="H25" s="189"/>
      <c r="I25" s="189"/>
      <c r="J25" s="188"/>
    </row>
    <row r="26" spans="1:17" s="2" customFormat="1" ht="13.6" customHeight="1" x14ac:dyDescent="0.2">
      <c r="A26" s="114" t="s">
        <v>55</v>
      </c>
      <c r="B26" s="114"/>
      <c r="C26" s="114" t="s">
        <v>5</v>
      </c>
      <c r="D26" s="132">
        <f>SUM(D27:D37)</f>
        <v>0</v>
      </c>
      <c r="E26" s="132">
        <f t="shared" ref="E26:G26" si="0">SUM(E27:E37)</f>
        <v>0</v>
      </c>
      <c r="F26" s="132">
        <f t="shared" si="0"/>
        <v>0</v>
      </c>
      <c r="G26" s="132">
        <f t="shared" si="0"/>
        <v>0</v>
      </c>
      <c r="H26" s="189"/>
      <c r="I26" s="189"/>
      <c r="J26" s="188"/>
    </row>
    <row r="27" spans="1:17" s="2" customFormat="1" ht="13.6" customHeight="1" x14ac:dyDescent="0.2">
      <c r="A27" s="126" t="s">
        <v>33</v>
      </c>
      <c r="B27" s="126"/>
      <c r="C27" s="26" t="s">
        <v>5</v>
      </c>
      <c r="D27" s="133">
        <f xml:space="preserve"> IF(ISTEXT(D$8), EV_Var1!$E$67,0)</f>
        <v>0</v>
      </c>
      <c r="E27" s="133">
        <f xml:space="preserve"> IF(ISTEXT(E$8), EV_Var2!$E$67,0)</f>
        <v>0</v>
      </c>
      <c r="F27" s="133">
        <f xml:space="preserve"> IF(ISTEXT(F$8), EV_Var3!$E$67,0)</f>
        <v>0</v>
      </c>
      <c r="G27" s="133">
        <f xml:space="preserve"> IF(ISTEXT(G$8), EV_Var4!$E$67,0)</f>
        <v>0</v>
      </c>
      <c r="H27" s="189"/>
      <c r="I27" s="189"/>
      <c r="J27" s="188"/>
    </row>
    <row r="28" spans="1:17" s="2" customFormat="1" ht="13.6" customHeight="1" x14ac:dyDescent="0.2">
      <c r="A28" s="30" t="s">
        <v>54</v>
      </c>
      <c r="B28" s="30"/>
      <c r="C28" s="26" t="s">
        <v>5</v>
      </c>
      <c r="D28" s="133">
        <f xml:space="preserve"> IF(ISTEXT(D$8), SUMIF(EV_Var1!$A$10:$B$53,$A28,EV_Var1!$E$10:$E$53) + IF(EV_Var1!$A$59=$A28,EV_Var1!$E$59*IF(D$52,1-D$52/SUM(EV_Var1!$M$58,EV_Var1!$M$60),1)) + IF(EV_Var1!$A$60=$A28,EV_Var1!$E$60*IF(D$52,1-D$52/SUM(EV_Var1!$M$58,EV_Var1!$M$60),1)),0)</f>
        <v>0</v>
      </c>
      <c r="E28" s="133">
        <f xml:space="preserve"> IF(ISTEXT(E$8), SUMIF(EV_Var2!$A$10:$B$53,$A28,EV_Var2!$E$10:$E$53) + IF(EV_Var2!$A$59=$A28,EV_Var2!$E$59*IF(E$52,1-E$52/SUM(EV_Var2!$M$58,EV_Var2!$M$60),1)) + IF(EV_Var2!$A$60=$A28,EV_Var2!$E$60*IF(E$52,1-E$52/SUM(EV_Var2!$M$58,EV_Var2!$M$60),1)),0)</f>
        <v>0</v>
      </c>
      <c r="F28" s="133">
        <f xml:space="preserve"> IF(ISTEXT(F$8), SUMIF(EV_Var3!$A$10:$B$53,$A28,EV_Var3!$E$10:$E$53) + IF(EV_Var3!$A$59=$A28,EV_Var3!$E$59*IF(F$52,1-F$52/SUM(EV_Var3!$M$58,EV_Var3!$M$60),1)) + IF(EV_Var3!$A$60=$A28,EV_Var3!$E$60*IF(F$52,1-F$52/SUM(EV_Var3!$M$58,EV_Var3!$M$60),1)),0)</f>
        <v>0</v>
      </c>
      <c r="G28" s="133">
        <f xml:space="preserve"> IF(ISTEXT(G$8), SUMIF(EV_Var4!$A$10:$B$53,$A28,EV_Var4!$E$10:$E$53) + IF(EV_Var4!$A$59=$A28,EV_Var4!$E$59*IF(G$52,1-G$52/SUM(EV_Var4!$M$58,EV_Var4!$M$60),1)) + IF(EV_Var4!$A$60=$A28,EV_Var4!$E$60*IF(G$52,1-G$52/SUM(EV_Var4!$M$58,EV_Var4!$M$60),1)),0)</f>
        <v>0</v>
      </c>
      <c r="H28" s="189"/>
      <c r="I28" s="189"/>
      <c r="J28" s="188"/>
    </row>
    <row r="29" spans="1:17" s="2" customFormat="1" ht="13.6" customHeight="1" x14ac:dyDescent="0.2">
      <c r="A29" s="30" t="s">
        <v>15</v>
      </c>
      <c r="B29" s="30"/>
      <c r="C29" s="26" t="s">
        <v>5</v>
      </c>
      <c r="D29" s="133">
        <f xml:space="preserve"> IF(ISTEXT(D$8), SUMIF(EV_Var1!$A$10:$B$53,$A29,EV_Var1!$E$10:$E$53) + IF(EV_Var1!$A$59=$A29,EV_Var1!$E$59*IF(D$52,1-D$52/SUM(EV_Var1!$M$58,EV_Var1!$M$60),1)) + IF(EV_Var1!$A$60=$A29,EV_Var1!$E$60*IF(D$52,1-D$52/SUM(EV_Var1!$M$58,EV_Var1!$M$60),1)),0)</f>
        <v>0</v>
      </c>
      <c r="E29" s="133">
        <f xml:space="preserve"> IF(ISTEXT(E$8), SUMIF(EV_Var2!$A$10:$B$53,$A29,EV_Var2!$E$10:$E$53) + IF(EV_Var2!$A$59=$A29,EV_Var2!$E$59*IF(E$52,1-E$52/SUM(EV_Var2!$M$58,EV_Var2!$M$60),1)) + IF(EV_Var2!$A$60=$A29,EV_Var2!$E$60*IF(E$52,1-E$52/SUM(EV_Var2!$M$58,EV_Var2!$M$60),1)),0)</f>
        <v>0</v>
      </c>
      <c r="F29" s="133">
        <f xml:space="preserve"> IF(ISTEXT(F$8), SUMIF(EV_Var3!$A$10:$B$53,$A29,EV_Var3!$E$10:$E$53) + IF(EV_Var3!$A$59=$A29,EV_Var3!$E$59*IF(F$52,1-F$52/SUM(EV_Var3!$M$58,EV_Var3!$M$60),1)) + IF(EV_Var3!$A$60=$A29,EV_Var3!$E$60*IF(F$52,1-F$52/SUM(EV_Var3!$M$58,EV_Var3!$M$60),1)),0)</f>
        <v>0</v>
      </c>
      <c r="G29" s="133">
        <f xml:space="preserve"> IF(ISTEXT(G$8), SUMIF(EV_Var4!$A$10:$B$53,$A29,EV_Var4!$E$10:$E$53) + IF(EV_Var4!$A$59=$A29,EV_Var4!$E$59*IF(G$52,1-G$52/SUM(EV_Var4!$M$58,EV_Var4!$M$60),1)) + IF(EV_Var4!$A$60=$A29,EV_Var4!$E$60*IF(G$52,1-G$52/SUM(EV_Var4!$M$58,EV_Var4!$M$60),1)),0)</f>
        <v>0</v>
      </c>
      <c r="H29" s="189"/>
      <c r="I29" s="189"/>
      <c r="J29" s="188"/>
    </row>
    <row r="30" spans="1:17" s="2" customFormat="1" ht="13.6" customHeight="1" x14ac:dyDescent="0.2">
      <c r="A30" s="30" t="s">
        <v>45</v>
      </c>
      <c r="B30" s="30"/>
      <c r="C30" s="26" t="s">
        <v>5</v>
      </c>
      <c r="D30" s="134">
        <f xml:space="preserve"> IF(ISTEXT(D$8), SUMIF(EV_Var1!$A$10:$B$53,$A30,EV_Var1!$E$10:$E$53) + IF(EV_Var1!$A$59=$A30,EV_Var1!$E$59*IF(D$52,1-D$52/SUM(EV_Var1!$M$58,EV_Var1!$M$60),1)) + IF(EV_Var1!$A$60=$A30,EV_Var1!$E$60*IF(D$52,1-D$52/SUM(EV_Var1!$M$58,EV_Var1!$M$60),1)),0)</f>
        <v>0</v>
      </c>
      <c r="E30" s="134">
        <f xml:space="preserve"> IF(ISTEXT(E$8), SUMIF(EV_Var2!$A$10:$B$53,$A30,EV_Var2!$E$10:$E$53) + IF(EV_Var2!$A$59=$A30,EV_Var2!$E$59*IF(E$52,1-E$52/SUM(EV_Var2!$M$58,EV_Var2!$M$60),1)) + IF(EV_Var2!$A$60=$A30,EV_Var2!$E$60*IF(E$52,1-E$52/SUM(EV_Var2!$M$58,EV_Var2!$M$60),1)),0)</f>
        <v>0</v>
      </c>
      <c r="F30" s="134">
        <f xml:space="preserve">  IF(ISTEXT(F$8), SUMIF(EV_Var3!$A$10:$B$53,$A30,EV_Var3!$E$10:$E$53) + IF(EV_Var3!$A$59=$A30,EV_Var3!$E$59*IF(F$52,1-F$52/SUM(EV_Var3!$M$58,EV_Var3!$M$60),1)) + IF(EV_Var3!$A$60=$A30,EV_Var3!$E$60*IF(F$52,1-F$52/SUM(EV_Var3!$M$58,EV_Var3!$M$60),1)),0)</f>
        <v>0</v>
      </c>
      <c r="G30" s="134">
        <f xml:space="preserve"> IF(ISTEXT(G$8), SUMIF(EV_Var4!$A$10:$B$53,$A30,EV_Var4!$E$10:$E$53) + IF(EV_Var4!$A$59=$A30,EV_Var4!$E$59*IF(G$52,1-G$52/SUM(EV_Var4!$M$58,EV_Var4!$M$60),1)) + IF(EV_Var4!$A$60=$A30,EV_Var4!$E$60*IF(G$52,1-G$52/SUM(EV_Var4!$M$58,EV_Var4!$M$60),1)),0)</f>
        <v>0</v>
      </c>
      <c r="H30" s="189"/>
      <c r="I30" s="189"/>
      <c r="J30" s="188"/>
    </row>
    <row r="31" spans="1:17" s="2" customFormat="1" ht="13.6" customHeight="1" x14ac:dyDescent="0.2">
      <c r="A31" s="30" t="s">
        <v>16</v>
      </c>
      <c r="B31" s="30"/>
      <c r="C31" s="26" t="s">
        <v>5</v>
      </c>
      <c r="D31" s="133">
        <f xml:space="preserve"> IF(ISTEXT(D$8), SUMIF(EV_Var1!$A$10:$B$53,$A31,EV_Var1!$E$10:$E$53) + IF(EV_Var1!$A$59=$A31,EV_Var1!$E$59*IF(D$52,1-D$52/SUM(EV_Var1!$M$58,EV_Var1!$M$60),1)) + IF(EV_Var1!$A$60=$A31,EV_Var1!$E$60*IF(D$52,1-D$52/SUM(EV_Var1!$M$58,EV_Var1!$M$60),1)),0)</f>
        <v>0</v>
      </c>
      <c r="E31" s="133">
        <f xml:space="preserve"> IF(ISTEXT(E$8), SUMIF(EV_Var2!$A$10:$B$53,$A31,EV_Var2!$E$10:$E$53) + IF(EV_Var2!$A$59=$A31,EV_Var2!$E$59*IF(E$52,1-E$52/SUM(EV_Var2!$M$58,EV_Var2!$M$60),1)) + IF(EV_Var2!$A$60=$A31,EV_Var2!$E$60*IF(E$52,1-E$52/SUM(EV_Var2!$M$58,EV_Var2!$M$60),1)),0)</f>
        <v>0</v>
      </c>
      <c r="F31" s="133">
        <f xml:space="preserve">  IF(ISTEXT(F$8), SUMIF(EV_Var3!$A$10:$B$53,$A31,EV_Var3!$E$10:$E$53) + IF(EV_Var3!$A$59=$A31,EV_Var3!$E$59*IF(F$52,1-F$52/SUM(EV_Var3!$M$58,EV_Var3!$M$60),1)) + IF(EV_Var3!$A$60=$A31,EV_Var3!$E$60*IF(F$52,1-F$52/SUM(EV_Var3!$M$58,EV_Var3!$M$60),1)),0)</f>
        <v>0</v>
      </c>
      <c r="G31" s="133">
        <f xml:space="preserve"> IF(ISTEXT(G$8), SUMIF(EV_Var4!$A$10:$B$53,$A31,EV_Var4!$E$10:$E$53) + IF(EV_Var4!$A$59=$A31,EV_Var4!$E$59*IF(G$52,1-G$52/SUM(EV_Var4!$M$58,EV_Var4!$M$60),1)) + IF(EV_Var4!$A$60=$A31,EV_Var4!$E$60*IF(G$52,1-G$52/SUM(EV_Var4!$M$58,EV_Var4!$M$60),1)),0)</f>
        <v>0</v>
      </c>
      <c r="H31" s="189"/>
      <c r="I31" s="189"/>
      <c r="J31" s="188"/>
    </row>
    <row r="32" spans="1:17" s="2" customFormat="1" ht="13.6" customHeight="1" x14ac:dyDescent="0.2">
      <c r="A32" s="30" t="s">
        <v>43</v>
      </c>
      <c r="B32" s="30"/>
      <c r="C32" s="26" t="s">
        <v>5</v>
      </c>
      <c r="D32" s="133">
        <f xml:space="preserve"> IF(ISTEXT(D$8), SUMIF(EV_Var1!$A$10:$B$53,$A32,EV_Var1!$E$10:$E$53) + IF(EV_Var1!$A$59=$A32,EV_Var1!$E$59*IF(D$52,1-D$52/SUM(EV_Var1!$M$58,EV_Var1!$M$60),1)) + IF(EV_Var1!$A$60=$A32,EV_Var1!$E$60*IF(D$52,1-D$52/SUM(EV_Var1!$M$58,EV_Var1!$M$60),1)),0)</f>
        <v>0</v>
      </c>
      <c r="E32" s="133">
        <f xml:space="preserve"> IF(ISTEXT(E$8), SUMIF(EV_Var2!$A$10:$B$53,$A32,EV_Var2!$E$10:$E$53) + IF(EV_Var2!$A$59=$A32,EV_Var2!$E$59*IF(E$52,1-E$52/SUM(EV_Var2!$M$58,EV_Var2!$M$60),1)) + IF(EV_Var2!$A$60=$A32,EV_Var2!$E$60*IF(E$52,1-E$52/SUM(EV_Var2!$M$58,EV_Var2!$M$60),1)),0)</f>
        <v>0</v>
      </c>
      <c r="F32" s="133">
        <f xml:space="preserve"> IF(ISTEXT(F$8), SUMIF(EV_Var3!$A$10:$B$53,$A32,EV_Var3!$E$10:$E$53) + IF(EV_Var3!$A$59=$A32,EV_Var3!$E$59*IF(F$52,1-F$52/SUM(EV_Var3!$M$58,EV_Var3!$M$60),1)) + IF(EV_Var3!$A$60=$A32,EV_Var3!$E$60*IF(F$52,1-F$52/SUM(EV_Var3!$M$58,EV_Var3!$M$60),1)),0)</f>
        <v>0</v>
      </c>
      <c r="G32" s="133">
        <f xml:space="preserve"> IF(ISTEXT(G$8), SUMIF(EV_Var4!$A$10:$B$53,$A32,EV_Var4!$E$10:$E$53) + IF(EV_Var4!$A$59=$A32,EV_Var4!$E$59*IF(G$52,1-G$52/SUM(EV_Var4!$M$58,EV_Var4!$M$60),1)) + IF(EV_Var4!$A$60=$A32,EV_Var4!$E$60*IF(G$52,1-G$52/SUM(EV_Var4!$M$58,EV_Var4!$M$60),1)),0)</f>
        <v>0</v>
      </c>
      <c r="H32" s="189"/>
      <c r="I32" s="189"/>
      <c r="J32" s="188"/>
    </row>
    <row r="33" spans="1:17" s="2" customFormat="1" ht="13.6" customHeight="1" x14ac:dyDescent="0.2">
      <c r="A33" s="144" t="str">
        <f>Grunddaten!C51</f>
        <v>Brennstoff XY</v>
      </c>
      <c r="B33" s="144"/>
      <c r="C33" s="26" t="s">
        <v>5</v>
      </c>
      <c r="D33" s="133">
        <f xml:space="preserve"> IF(ISTEXT(D$8), SUMIF(EV_Var1!$A$10:$B$53,$A33,EV_Var1!$E$10:$E$53) + IF(EV_Var1!$A$59=$A33,EV_Var1!$E$59*IF(D$52,1-D$52/SUM(EV_Var1!$M$58,EV_Var1!$M$60),1)) + IF(EV_Var1!$A$60=$A33,EV_Var1!$E$60*IF(D$52,1-D$52/SUM(EV_Var1!$M$58,EV_Var1!$M$60),1)),0)</f>
        <v>0</v>
      </c>
      <c r="E33" s="133">
        <f xml:space="preserve"> IF(ISTEXT(E$8), SUMIF(EV_Var2!$A$10:$B$53,$A33,EV_Var2!$E$10:$E$53) + IF(EV_Var2!$A$59=$A33,EV_Var2!$E$59*IF(E$52,1-E$52/SUM(EV_Var2!$M$58,EV_Var2!$M$60),1)) + IF(EV_Var2!$A$60=$A33,EV_Var2!$E$60*IF(E$52,1-E$52/SUM(EV_Var2!$M$58,EV_Var2!$M$60),1)),0)</f>
        <v>0</v>
      </c>
      <c r="F33" s="133">
        <f xml:space="preserve"> IF(ISTEXT(F$8), SUMIF(EV_Var3!$A$10:$B$53,$A33,EV_Var3!$E$10:$E$53) + IF(EV_Var3!$A$59=$A33,EV_Var3!$E$59*IF(F$52,1-F$52/SUM(EV_Var3!$M$58,EV_Var3!$M$60),1)) + IF(EV_Var3!$A$60=$A33,EV_Var3!$E$60*IF(F$52,1-F$52/SUM(EV_Var3!$M$58,EV_Var3!$M$60),1)),0)</f>
        <v>0</v>
      </c>
      <c r="G33" s="133">
        <f xml:space="preserve"> IF(ISTEXT(G$8), SUMIF(EV_Var4!$A$10:$B$53,$A33,EV_Var4!$E$10:$E$53) + IF(EV_Var4!$A$59=$A33,EV_Var4!$E$59*IF(G$52,1-G$52/SUM(EV_Var4!$M$58,EV_Var4!$M$60),1)) + IF(EV_Var4!$A$60=$A33,EV_Var4!$E$60*IF(G$52,1-G$52/SUM(EV_Var4!$M$58,EV_Var4!$M$60),1)),0)</f>
        <v>0</v>
      </c>
      <c r="H33" s="189"/>
      <c r="I33" s="189"/>
      <c r="J33" s="188"/>
    </row>
    <row r="34" spans="1:17" s="2" customFormat="1" ht="13.6" customHeight="1" x14ac:dyDescent="0.2">
      <c r="A34" s="30" t="s">
        <v>46</v>
      </c>
      <c r="B34" s="30"/>
      <c r="C34" s="26" t="s">
        <v>5</v>
      </c>
      <c r="D34" s="133">
        <f xml:space="preserve"> IF( ISTEXT(D$8), SUMIF(EV_Var1!$A$10:$B$73,$A34,EV_Var1!$E$10:$E$73), 0)</f>
        <v>0</v>
      </c>
      <c r="E34" s="133">
        <f xml:space="preserve"> IF( ISTEXT(E$8), SUMIF(EV_Var2!$A$10:$B$73,$A34,EV_Var2!$E$10:$E$73), 0)</f>
        <v>0</v>
      </c>
      <c r="F34" s="133">
        <f xml:space="preserve"> IF( ISTEXT(F$8), SUMIF(EV_Var3!$A$10:$B$73,$A34,EV_Var3!$E$10:$E$73), 0)</f>
        <v>0</v>
      </c>
      <c r="G34" s="133">
        <f xml:space="preserve"> IF( ISTEXT(G$8), SUMIF(EV_Var4!$A$10:$B$73,$A34,EV_Var4!$E$10:$E$73), 0)</f>
        <v>0</v>
      </c>
      <c r="H34" s="189"/>
      <c r="I34" s="189"/>
      <c r="J34" s="188"/>
    </row>
    <row r="35" spans="1:17" s="2" customFormat="1" ht="13.6" customHeight="1" x14ac:dyDescent="0.2">
      <c r="A35" s="126" t="s">
        <v>106</v>
      </c>
      <c r="B35" s="126"/>
      <c r="C35" s="26" t="s">
        <v>5</v>
      </c>
      <c r="D35" s="133">
        <f>IF( ISTEXT(D$8), EV_Var1!$M$15+SUMIF(EV_Var1!$A$10:$B$73,EV_Var1!$AC$12,EV_Var1!$E$10:$E$73)+SUMIF(EV_Var1!$A$10:$B$73,EV_Var1!$AC$13,EV_Var1!$E$10:$E$73)+SUMIF(EV_Var1!$A$10:$B$73,EV_Var1!$AC$14,EV_Var1!$E$10:$E$73)+SUMIF(EV_Var1!$A$10:$B$73,EV_Var1!$AC$15,EV_Var1!$E$10:$E$73)+(EV_Var1!$M$70-D$53), 0)</f>
        <v>0</v>
      </c>
      <c r="E35" s="133">
        <f>IF( ISTEXT(E$8), EV_Var2!$M$15+SUMIF(EV_Var2!$A$10:$B$73,EV_Var2!$AC$12,EV_Var2!$E$10:$E$73)+SUMIF(EV_Var2!$A$10:$B$73,EV_Var2!$AC$13,EV_Var2!$E$10:$E$73)+SUMIF(EV_Var2!$A$10:$B$73,EV_Var2!$AC$14,EV_Var2!$E$10:$E$73)+SUMIF(EV_Var2!$A$10:$B$73,EV_Var2!$AC$15,EV_Var2!$E$10:$E$73)+(EV_Var2!$M$70-E$53), 0)</f>
        <v>0</v>
      </c>
      <c r="F35" s="133">
        <f>IF( ISTEXT(F$8), EV_Var3!$M$15+SUMIF(EV_Var3!$A$10:$B$73,EV_Var3!$AC$12,EV_Var3!$E$10:$E$73)+SUMIF(EV_Var3!$A$10:$B$73,EV_Var3!$AC$13,EV_Var3!$E$10:$E$73)+SUMIF(EV_Var3!$A$10:$B$73,EV_Var3!$AC$14,EV_Var3!$E$10:$E$73)+SUMIF(EV_Var3!$A$10:$B$73,EV_Var3!$AC$15,EV_Var3!$E$10:$E$73)+(EV_Var3!$M$70-F$53), 0)</f>
        <v>0</v>
      </c>
      <c r="G35" s="133">
        <f>IF( ISTEXT(G$8), EV_Var4!$M$15+SUMIF(EV_Var4!$A$10:$B$73,EV_Var4!$AC$12,EV_Var4!$E$10:$E$73)+SUMIF(EV_Var4!$A$10:$B$73,EV_Var4!$AC$13,EV_Var4!$E$10:$E$73)+SUMIF(EV_Var4!$A$10:$B$73,EV_Var4!$AC$14,EV_Var4!$E$10:$E$73)+SUMIF(EV_Var4!$A$10:$B$73,EV_Var4!$AC$15,EV_Var4!$E$10:$E$73)+(EV_Var4!$M$70-G$53), 0)</f>
        <v>0</v>
      </c>
      <c r="H35" s="189"/>
      <c r="I35" s="189"/>
      <c r="J35" s="188"/>
    </row>
    <row r="36" spans="1:17" s="2" customFormat="1" ht="13.6" customHeight="1" x14ac:dyDescent="0.2">
      <c r="A36" s="144" t="str">
        <f>Grunddaten!C55</f>
        <v>Wärmeverbund XY</v>
      </c>
      <c r="B36" s="144"/>
      <c r="C36" s="26" t="s">
        <v>5</v>
      </c>
      <c r="D36" s="133">
        <f xml:space="preserve"> IF(ISTEXT(D$8), SUMIF(EV_Var1!$A$10:$B$73,$A36,EV_Var1!$E$10:$E$73),0)</f>
        <v>0</v>
      </c>
      <c r="E36" s="133">
        <f xml:space="preserve"> IF(ISTEXT(E$8), SUMIF(EV_Var2!$A$10:$B$73,$A36,EV_Var2!$E$10:$E$73),0)</f>
        <v>0</v>
      </c>
      <c r="F36" s="133">
        <f xml:space="preserve"> IF(ISTEXT(F$8), SUMIF(EV_Var3!$A$10:$B$73,$A36,EV_Var3!$E$10:$E$73),0)</f>
        <v>0</v>
      </c>
      <c r="G36" s="133">
        <f xml:space="preserve"> IF(ISTEXT(G$8), SUMIF(EV_Var4!$A$10:$B$73,$A36,EV_Var4!$E$10:$E$73),0)</f>
        <v>0</v>
      </c>
      <c r="H36" s="189"/>
      <c r="I36" s="189"/>
      <c r="J36" s="188"/>
    </row>
    <row r="37" spans="1:17" s="2" customFormat="1" ht="13.6" customHeight="1" x14ac:dyDescent="0.2">
      <c r="A37" s="144" t="str">
        <f>Grunddaten!C56</f>
        <v>Kälteverbund XY</v>
      </c>
      <c r="B37" s="144"/>
      <c r="C37" s="26" t="s">
        <v>5</v>
      </c>
      <c r="D37" s="133">
        <f xml:space="preserve"> IF(ISTEXT(D$8), SUMIF(EV_Var1!$A$10:$B$73,$A37,EV_Var1!$E$10:$E$73),0)</f>
        <v>0</v>
      </c>
      <c r="E37" s="133">
        <f xml:space="preserve"> IF(ISTEXT(E$8), SUMIF(EV_Var2!$A$10:$B$73,$A37,EV_Var2!$E$10:$E$73),0)</f>
        <v>0</v>
      </c>
      <c r="F37" s="133">
        <f xml:space="preserve"> IF(ISTEXT(F$8), SUMIF(EV_Var3!$A$10:$B$73,$A37,EV_Var3!$E$10:$E$73),0)</f>
        <v>0</v>
      </c>
      <c r="G37" s="133">
        <f xml:space="preserve"> IF(ISTEXT(G$8), SUMIF(EV_Var4!$A$10:$B$73,$A37,EV_Var4!$E$10:$E$73),0)</f>
        <v>0</v>
      </c>
      <c r="H37" s="189"/>
      <c r="I37" s="189"/>
      <c r="J37" s="188"/>
    </row>
    <row r="38" spans="1:17" s="2" customFormat="1" ht="13.6" customHeight="1" x14ac:dyDescent="0.2">
      <c r="A38" s="29"/>
      <c r="B38" s="29"/>
      <c r="C38" s="29"/>
      <c r="D38" s="133"/>
      <c r="E38" s="133"/>
      <c r="F38" s="133"/>
      <c r="G38" s="133"/>
      <c r="H38" s="189"/>
      <c r="I38" s="189"/>
      <c r="J38" s="188"/>
    </row>
    <row r="39" spans="1:17" s="2" customFormat="1" ht="13.6" customHeight="1" x14ac:dyDescent="0.2">
      <c r="A39" s="114" t="s">
        <v>108</v>
      </c>
      <c r="B39" s="114"/>
      <c r="C39" s="114" t="s">
        <v>5</v>
      </c>
      <c r="D39" s="132">
        <f>SUM(D40:D46)</f>
        <v>0</v>
      </c>
      <c r="E39" s="132">
        <f t="shared" ref="E39:G39" si="1">SUM(E40:E46)</f>
        <v>0</v>
      </c>
      <c r="F39" s="132">
        <f t="shared" si="1"/>
        <v>0</v>
      </c>
      <c r="G39" s="132">
        <f t="shared" si="1"/>
        <v>0</v>
      </c>
      <c r="H39" s="189"/>
      <c r="I39" s="189"/>
      <c r="J39" s="188"/>
    </row>
    <row r="40" spans="1:17" s="2" customFormat="1" ht="13.6" customHeight="1" x14ac:dyDescent="0.2">
      <c r="A40" s="126" t="s">
        <v>33</v>
      </c>
      <c r="B40" s="126"/>
      <c r="C40" s="26" t="s">
        <v>5</v>
      </c>
      <c r="D40" s="133">
        <f>D$27*Grunddaten!$AE$11</f>
        <v>0</v>
      </c>
      <c r="E40" s="133">
        <f>E$27*Grunddaten!$AE$11</f>
        <v>0</v>
      </c>
      <c r="F40" s="133">
        <f>F$27*Grunddaten!$AE$11</f>
        <v>0</v>
      </c>
      <c r="G40" s="133">
        <f>G$27*Grunddaten!$AE$11</f>
        <v>0</v>
      </c>
      <c r="H40" s="189"/>
      <c r="I40" s="189"/>
      <c r="J40" s="188"/>
    </row>
    <row r="41" spans="1:17" s="2" customFormat="1" ht="13.6" customHeight="1" x14ac:dyDescent="0.2">
      <c r="A41" s="1456" t="s">
        <v>858</v>
      </c>
      <c r="B41" s="126"/>
      <c r="C41" s="26" t="s">
        <v>5</v>
      </c>
      <c r="D41" s="133">
        <f>SUM(D$28:D$30)*Grunddaten!$AE$47</f>
        <v>0</v>
      </c>
      <c r="E41" s="133">
        <f>SUM(E$28:E$30)*Grunddaten!$AE$47</f>
        <v>0</v>
      </c>
      <c r="F41" s="133">
        <f>SUM(F$28:F$30)*Grunddaten!$AE$47</f>
        <v>0</v>
      </c>
      <c r="G41" s="133">
        <f>SUM(G$28:G$30)*Grunddaten!$AE$47</f>
        <v>0</v>
      </c>
      <c r="H41" s="189"/>
      <c r="I41" s="189"/>
      <c r="J41" s="188"/>
    </row>
    <row r="42" spans="1:17" s="2" customFormat="1" ht="13.6" customHeight="1" x14ac:dyDescent="0.2">
      <c r="A42" s="126" t="s">
        <v>46</v>
      </c>
      <c r="B42" s="126"/>
      <c r="C42" s="26" t="s">
        <v>5</v>
      </c>
      <c r="D42" s="817">
        <f>D34*Grunddaten!$AE$52</f>
        <v>0</v>
      </c>
      <c r="E42" s="817">
        <f>E34*Grunddaten!$AE$52</f>
        <v>0</v>
      </c>
      <c r="F42" s="817">
        <f>F34*Grunddaten!$AE$52</f>
        <v>0</v>
      </c>
      <c r="G42" s="817">
        <f>G34*Grunddaten!$AE$52</f>
        <v>0</v>
      </c>
      <c r="H42" s="189"/>
      <c r="I42" s="189"/>
      <c r="J42" s="188"/>
    </row>
    <row r="43" spans="1:17" s="2" customFormat="1" ht="13.6" customHeight="1" x14ac:dyDescent="0.2">
      <c r="A43" s="1456" t="s">
        <v>859</v>
      </c>
      <c r="B43" s="126"/>
      <c r="C43" s="26" t="s">
        <v>5</v>
      </c>
      <c r="D43" s="133">
        <f>SUM(D$31:D$32)*Grunddaten!$AE$45</f>
        <v>0</v>
      </c>
      <c r="E43" s="133">
        <f>SUM(E$31:E$32)*Grunddaten!$AE$45</f>
        <v>0</v>
      </c>
      <c r="F43" s="133">
        <f>SUM(F$31:F$32)*Grunddaten!$AE$45</f>
        <v>0</v>
      </c>
      <c r="G43" s="133">
        <f>SUM(G$31:G$32)*Grunddaten!$AE$45</f>
        <v>0</v>
      </c>
      <c r="H43" s="189"/>
      <c r="I43" s="189"/>
      <c r="J43" s="188"/>
    </row>
    <row r="44" spans="1:17" s="2" customFormat="1" ht="13.6" customHeight="1" x14ac:dyDescent="0.2">
      <c r="A44" s="126" t="str">
        <f>Grunddaten!$C$51</f>
        <v>Brennstoff XY</v>
      </c>
      <c r="B44" s="126"/>
      <c r="C44" s="26" t="s">
        <v>5</v>
      </c>
      <c r="D44" s="133">
        <f>D$33*Grunddaten!$AE$51</f>
        <v>0</v>
      </c>
      <c r="E44" s="133">
        <f>E$33*Grunddaten!$AE$51</f>
        <v>0</v>
      </c>
      <c r="F44" s="133">
        <f>F$33*Grunddaten!$AE$51</f>
        <v>0</v>
      </c>
      <c r="G44" s="133">
        <f>G$33*Grunddaten!$AE$51</f>
        <v>0</v>
      </c>
      <c r="H44" s="189"/>
      <c r="I44" s="189"/>
      <c r="J44" s="188"/>
    </row>
    <row r="45" spans="1:17" s="2" customFormat="1" ht="13.6" customHeight="1" x14ac:dyDescent="0.2">
      <c r="A45" s="126" t="str">
        <f>Grunddaten!$C$55</f>
        <v>Wärmeverbund XY</v>
      </c>
      <c r="B45" s="126"/>
      <c r="C45" s="26" t="s">
        <v>5</v>
      </c>
      <c r="D45" s="133">
        <f>D$36*Grunddaten!$AE$55</f>
        <v>0</v>
      </c>
      <c r="E45" s="133">
        <f>E$36*Grunddaten!$AE$55</f>
        <v>0</v>
      </c>
      <c r="F45" s="133">
        <f>F$36*Grunddaten!$AE$55</f>
        <v>0</v>
      </c>
      <c r="G45" s="133">
        <f>G$36*Grunddaten!$AE$55</f>
        <v>0</v>
      </c>
      <c r="H45" s="189"/>
      <c r="I45" s="189"/>
      <c r="J45" s="188"/>
    </row>
    <row r="46" spans="1:17" s="2" customFormat="1" ht="13.6" customHeight="1" x14ac:dyDescent="0.2">
      <c r="A46" s="126" t="str">
        <f>Grunddaten!$C$56</f>
        <v>Kälteverbund XY</v>
      </c>
      <c r="B46" s="126"/>
      <c r="C46" s="26" t="s">
        <v>5</v>
      </c>
      <c r="D46" s="133">
        <f>D$37*Grunddaten!$AE$56</f>
        <v>0</v>
      </c>
      <c r="E46" s="133">
        <f>E$37*Grunddaten!$AE$56</f>
        <v>0</v>
      </c>
      <c r="F46" s="133">
        <f>F$37*Grunddaten!$AE$56</f>
        <v>0</v>
      </c>
      <c r="G46" s="133">
        <f>G$37*Grunddaten!$AE$56</f>
        <v>0</v>
      </c>
      <c r="H46" s="189"/>
      <c r="I46" s="189"/>
      <c r="J46" s="188"/>
    </row>
    <row r="47" spans="1:17" s="2" customFormat="1" ht="5.95" customHeight="1" x14ac:dyDescent="0.2">
      <c r="A47" s="126"/>
      <c r="B47" s="126"/>
      <c r="C47" s="26"/>
      <c r="D47" s="133"/>
      <c r="E47" s="133"/>
      <c r="F47" s="133"/>
      <c r="G47" s="133"/>
      <c r="I47" s="196"/>
      <c r="J47" s="189"/>
      <c r="K47" s="189"/>
      <c r="L47" s="189"/>
      <c r="M47" s="189"/>
      <c r="N47" s="189"/>
      <c r="O47" s="189"/>
      <c r="P47" s="189"/>
      <c r="Q47" s="188"/>
    </row>
    <row r="48" spans="1:17" s="2" customFormat="1" ht="13.6" customHeight="1" x14ac:dyDescent="0.2">
      <c r="A48" s="126" t="str">
        <f>CONCATENATE("Grenzwert ",Projektdaten!I59)</f>
        <v xml:space="preserve">Grenzwert </v>
      </c>
      <c r="B48" s="126"/>
      <c r="C48" s="26" t="s">
        <v>5</v>
      </c>
      <c r="D48" s="133">
        <f>IF(ISBLANK(Projektdaten!D63),0,VLOOKUP(Projektdaten!D63,Grunddaten!A108:M118,J48,FALSE))*Projektdaten!G63 + IF(ISBLANK(Projektdaten!D65),0,VLOOKUP(Projektdaten!D65,Grunddaten!A108:M118,J48,FALSE))*Projektdaten!G65 + IF(ISBLANK(Projektdaten!D67),0,VLOOKUP(Projektdaten!D67,Grunddaten!A108:M118,J48,FALSE))*Projektdaten!G67 + IF(ISBLANK(Projektdaten!D69),0,VLOOKUP(Projektdaten!D69,Grunddaten!A108:M118,J48,FALSE))*Projektdaten!G69</f>
        <v>0</v>
      </c>
      <c r="E48" s="133">
        <f>$D48</f>
        <v>0</v>
      </c>
      <c r="F48" s="133">
        <f>$D48</f>
        <v>0</v>
      </c>
      <c r="G48" s="133">
        <f>$D48</f>
        <v>0</v>
      </c>
      <c r="H48" s="328"/>
      <c r="I48" s="329" t="s">
        <v>141</v>
      </c>
      <c r="J48" s="330">
        <f>IF(Projektdaten!I59=Grunddaten!E106,5,0)+IF(Projektdaten!I59=Grunddaten!H106,8,0)+IF(Projektdaten!I59=Grunddaten!K106,11,0)</f>
        <v>0</v>
      </c>
      <c r="K48" s="189"/>
      <c r="L48" s="189"/>
      <c r="M48" s="189"/>
      <c r="N48" s="189"/>
      <c r="O48" s="189"/>
      <c r="P48" s="189"/>
      <c r="Q48" s="188"/>
    </row>
    <row r="49" spans="1:17" s="2" customFormat="1" ht="13.6" customHeight="1" x14ac:dyDescent="0.2">
      <c r="A49" s="29"/>
      <c r="B49" s="29"/>
      <c r="C49" s="29"/>
      <c r="D49" s="133"/>
      <c r="E49" s="133"/>
      <c r="F49" s="133"/>
      <c r="G49" s="133"/>
      <c r="H49" s="189"/>
      <c r="I49" s="189"/>
      <c r="J49" s="188"/>
    </row>
    <row r="50" spans="1:17" s="2" customFormat="1" ht="13.6" customHeight="1" x14ac:dyDescent="0.2">
      <c r="A50" s="114" t="s">
        <v>303</v>
      </c>
      <c r="B50" s="114"/>
      <c r="C50" s="114" t="s">
        <v>5</v>
      </c>
      <c r="D50" s="132">
        <f>EV_Var1!M73</f>
        <v>0</v>
      </c>
      <c r="E50" s="132">
        <f>EV_Var2!M73</f>
        <v>0</v>
      </c>
      <c r="F50" s="132">
        <f>EV_Var3!M73</f>
        <v>0</v>
      </c>
      <c r="G50" s="132">
        <f>EV_Var4!M73</f>
        <v>0</v>
      </c>
      <c r="H50" s="189"/>
      <c r="I50" s="189"/>
      <c r="J50" s="188"/>
    </row>
    <row r="51" spans="1:17" s="2" customFormat="1" ht="13.6" customHeight="1" x14ac:dyDescent="0.2">
      <c r="A51" s="1360" t="s">
        <v>624</v>
      </c>
      <c r="B51" s="1360" t="s">
        <v>625</v>
      </c>
      <c r="C51" s="26"/>
      <c r="D51" s="1361">
        <f>IF(EV_Var1!$A$60="",EV_Var1!$A$59,EV_Var1!$A$60)</f>
        <v>0</v>
      </c>
      <c r="E51" s="1361">
        <f>IF(EV_Var2!$A$60="",EV_Var2!$A$59,EV_Var2!$A$60)</f>
        <v>0</v>
      </c>
      <c r="F51" s="1361">
        <f>IF(EV_Var3!$A$60="",EV_Var3!$A$59,EV_Var3!$A$60)</f>
        <v>0</v>
      </c>
      <c r="G51" s="1361">
        <f>IF(EV_Var4!$A$60="",EV_Var4!$A$59,EV_Var4!$A$60)</f>
        <v>0</v>
      </c>
      <c r="H51" s="189"/>
      <c r="I51" s="189"/>
      <c r="J51" s="188"/>
    </row>
    <row r="52" spans="1:17" s="2" customFormat="1" ht="13.6" customHeight="1" x14ac:dyDescent="0.2">
      <c r="B52" s="1360" t="s">
        <v>303</v>
      </c>
      <c r="C52" s="26" t="s">
        <v>5</v>
      </c>
      <c r="D52" s="133">
        <f>IF(AND(D$50&gt;0,EV_Var1!$M$60&gt;0),MIN(EV_Var1!$M$60,EV_Var1!$M$73),0)</f>
        <v>0</v>
      </c>
      <c r="E52" s="133">
        <f>IF(AND(E$50&gt;0,EV_Var2!$M$60&gt;0),MIN(EV_Var2!$M$60,EV_Var2!$M$73),0)</f>
        <v>0</v>
      </c>
      <c r="F52" s="133">
        <f>IF(AND(F$50&gt;0,EV_Var3!$M$60&gt;0),MIN(EV_Var3!$M$60,EV_Var3!$M$73),0)</f>
        <v>0</v>
      </c>
      <c r="G52" s="133">
        <f>IF(AND(G$50&gt;0,EV_Var3!$M$60&gt;0),MIN(EV_Var3!$M$60,EV_Var3!$M$73),0)</f>
        <v>0</v>
      </c>
      <c r="H52" s="189"/>
      <c r="I52" s="189"/>
      <c r="J52" s="188"/>
    </row>
    <row r="53" spans="1:17" s="2" customFormat="1" ht="13.6" customHeight="1" x14ac:dyDescent="0.2">
      <c r="A53" s="1360" t="s">
        <v>626</v>
      </c>
      <c r="B53" s="1360" t="s">
        <v>303</v>
      </c>
      <c r="C53" s="26" t="s">
        <v>5</v>
      </c>
      <c r="D53" s="817">
        <f>EV_Var1!$M$73-D$52</f>
        <v>0</v>
      </c>
      <c r="E53" s="817">
        <f>EV_Var2!$M$73-E$52</f>
        <v>0</v>
      </c>
      <c r="F53" s="817">
        <f>EV_Var3!$M$73-F$52</f>
        <v>0</v>
      </c>
      <c r="G53" s="817">
        <f>EV_Var4!$M$73-G$52</f>
        <v>0</v>
      </c>
      <c r="H53" s="189"/>
      <c r="I53" s="189"/>
      <c r="J53" s="188"/>
      <c r="K53" s="1365"/>
    </row>
    <row r="54" spans="1:17" s="2" customFormat="1" ht="13.6" customHeight="1" x14ac:dyDescent="0.2">
      <c r="A54" s="1456" t="s">
        <v>662</v>
      </c>
      <c r="B54" s="126"/>
      <c r="C54" s="26" t="s">
        <v>5</v>
      </c>
      <c r="D54" s="817">
        <f>IF(OR(D$51=Grunddaten!$C$49,D$51=Grunddaten!$C$50),D$52,0)</f>
        <v>0</v>
      </c>
      <c r="E54" s="817">
        <f>IF(OR(E$51=Grunddaten!$C$49,E$51=Grunddaten!$C$50),E$52,0)</f>
        <v>0</v>
      </c>
      <c r="F54" s="817">
        <f>IF(OR(F$51=Grunddaten!$C$49,F$51=Grunddaten!$C$50),F$52,0)</f>
        <v>0</v>
      </c>
      <c r="G54" s="817">
        <f>IF(OR(G$51=Grunddaten!$C$49,G$51=Grunddaten!$C$50),G$52,0)</f>
        <v>0</v>
      </c>
      <c r="H54" s="189"/>
      <c r="I54" s="189"/>
      <c r="J54" s="188"/>
    </row>
    <row r="55" spans="1:17" s="2" customFormat="1" ht="13.6" customHeight="1" x14ac:dyDescent="0.2">
      <c r="A55" s="1456" t="s">
        <v>663</v>
      </c>
      <c r="B55" s="126"/>
      <c r="C55" s="26" t="s">
        <v>5</v>
      </c>
      <c r="D55" s="133">
        <f>D50-D54</f>
        <v>0</v>
      </c>
      <c r="E55" s="133">
        <f t="shared" ref="E55:G55" si="2">E50-E54</f>
        <v>0</v>
      </c>
      <c r="F55" s="133">
        <f t="shared" si="2"/>
        <v>0</v>
      </c>
      <c r="G55" s="133">
        <f t="shared" si="2"/>
        <v>0</v>
      </c>
      <c r="H55" s="189"/>
      <c r="I55" s="189"/>
      <c r="J55" s="188"/>
    </row>
    <row r="56" spans="1:17" s="2" customFormat="1" ht="13.6" customHeight="1" x14ac:dyDescent="0.2">
      <c r="A56" s="29"/>
      <c r="B56" s="29"/>
      <c r="C56" s="29"/>
      <c r="D56" s="133"/>
      <c r="E56" s="133"/>
      <c r="F56" s="133"/>
      <c r="G56" s="133"/>
      <c r="I56" s="189"/>
      <c r="J56" s="189"/>
      <c r="K56" s="189"/>
      <c r="L56" s="189"/>
      <c r="M56" s="189"/>
      <c r="N56" s="189"/>
      <c r="O56" s="189"/>
      <c r="P56" s="189"/>
      <c r="Q56" s="188"/>
    </row>
    <row r="57" spans="1:17" s="2" customFormat="1" ht="13.6" customHeight="1" x14ac:dyDescent="0.2">
      <c r="A57" s="114" t="s">
        <v>162</v>
      </c>
      <c r="B57" s="114"/>
      <c r="C57" s="114" t="s">
        <v>5</v>
      </c>
      <c r="D57" s="132">
        <f>SUM(D58:D66)</f>
        <v>0</v>
      </c>
      <c r="E57" s="132">
        <f>SUM(E58:E66)</f>
        <v>0</v>
      </c>
      <c r="F57" s="132">
        <f>SUM(F58:F66)</f>
        <v>0</v>
      </c>
      <c r="G57" s="132">
        <f>SUM(G58:G66)</f>
        <v>0</v>
      </c>
      <c r="H57" s="188"/>
    </row>
    <row r="58" spans="1:17" s="2" customFormat="1" ht="13.6" customHeight="1" x14ac:dyDescent="0.2">
      <c r="A58" s="128" t="s">
        <v>150</v>
      </c>
      <c r="B58" s="128"/>
      <c r="C58" s="26" t="s">
        <v>5</v>
      </c>
      <c r="D58" s="133">
        <f>(EV_Var1!$H$19+EV_Var1!$H$23+EV_Var1!$H$27+EV_Var1!$H$32+EV_Var1!$H$36)*Grunddaten!$O$101</f>
        <v>0</v>
      </c>
      <c r="E58" s="133">
        <f>(EV_Var2!$H$19+EV_Var2!$H$23+EV_Var2!$H$27+EV_Var2!$H$32+EV_Var2!$H$36)*Grunddaten!$O$101</f>
        <v>0</v>
      </c>
      <c r="F58" s="133">
        <f>(EV_Var3!$H$19+EV_Var3!$H$23+EV_Var3!$H$32+EV_Var3!$H$36+EV_Var3!$H$27)*Grunddaten!$O$101</f>
        <v>0</v>
      </c>
      <c r="G58" s="133">
        <f>(EV_Var4!$H$19+EV_Var4!$H$23+EV_Var4!$H$32+EV_Var4!$H$36+EV_Var4!$H$27)*Grunddaten!$O$101</f>
        <v>0</v>
      </c>
      <c r="H58" s="188"/>
    </row>
    <row r="59" spans="1:17" s="2" customFormat="1" ht="13.6" customHeight="1" x14ac:dyDescent="0.2">
      <c r="A59" s="1250" t="s">
        <v>574</v>
      </c>
      <c r="B59" s="1250"/>
      <c r="C59" s="26" t="s">
        <v>5</v>
      </c>
      <c r="D59" s="133">
        <f>IF(OR(EV_Var1!$A$31=EV_Var1!$AC$12,EV_Var1!$A$31=EV_Var1!$AC$13),EV_Var1!$H$32*Grunddaten!$O$102,0)+IF(OR(EV_Var1!$A$35=EV_Var1!$AC$12,EV_Var1!$A$35=EV_Var1!$AC$13),EV_Var1!$H$36*Grunddaten!$O$102,0)+IF(OR(EV_Var1!$A$26=EV_Var1!$AC$12,EV_Var1!$A$26=EV_Var1!$AC$13),EV_Var1!$H$27*Grunddaten!$O$102,0)</f>
        <v>0</v>
      </c>
      <c r="E59" s="133">
        <f>IF(OR(EV_Var2!$A$31=EV_Var2!$AC$12,EV_Var2!$A$31=EV_Var2!$AC$13),EV_Var2!$H$32*Grunddaten!$O$102,0)+IF(OR(EV_Var2!$A$35=EV_Var2!$AC$12,EV_Var2!$A$35=EV_Var2!$AC$13),EV_Var2!$H$36*Grunddaten!$O$102,0)+IF(OR(EV_Var2!$A$26=EV_Var2!$AC$12,EV_Var2!$A$26=EV_Var2!$AC$13),EV_Var2!$H$27*Grunddaten!$O$102,0)</f>
        <v>0</v>
      </c>
      <c r="F59" s="133">
        <f>IF(OR(EV_Var3!$A$31=EV_Var3!$AC$12,EV_Var3!$A$31=EV_Var3!$AC$13),EV_Var3!$H$32*Grunddaten!$O$102,0)+IF(OR(EV_Var3!$A$35=EV_Var3!$AC$12,EV_Var3!$A$35=EV_Var3!$AC$13),EV_Var3!$H$36*Grunddaten!$O$102,0)+IF(OR(EV_Var3!$A$26=EV_Var3!$AC$12,EV_Var3!$A$26=EV_Var3!$AC$13),EV_Var3!$H$27*Grunddaten!$O$102,0)</f>
        <v>0</v>
      </c>
      <c r="G59" s="133">
        <f>IF(OR(EV_Var4!$A$31=EV_Var4!$AC$12,EV_Var4!$A$31=EV_Var4!$AC$13),EV_Var4!$H$32*Grunddaten!$O$102,0)+IF(OR(EV_Var4!$A$35=EV_Var4!$AC$12,EV_Var4!$A$35=EV_Var4!$AC$13),EV_Var4!$H$36*Grunddaten!$O$102,0)+IF(OR(EV_Var4!$A$26=EV_Var4!$AC$12,EV_Var4!$A$26=EV_Var4!$AC$13),EV_Var4!$H$27*Grunddaten!$O$102,0)</f>
        <v>0</v>
      </c>
      <c r="H59" s="188"/>
    </row>
    <row r="60" spans="1:17" s="2" customFormat="1" ht="13.6" customHeight="1" x14ac:dyDescent="0.2">
      <c r="A60" s="128" t="s">
        <v>83</v>
      </c>
      <c r="B60" s="128"/>
      <c r="C60" s="26" t="s">
        <v>5</v>
      </c>
      <c r="D60" s="133">
        <f>EV_Var1!$H$15*Grunddaten!$O$103</f>
        <v>0</v>
      </c>
      <c r="E60" s="133">
        <f>EV_Var2!$H$15*Grunddaten!$O$103</f>
        <v>0</v>
      </c>
      <c r="F60" s="133">
        <f>EV_Var3!$H$15*Grunddaten!$O$103</f>
        <v>0</v>
      </c>
      <c r="G60" s="133">
        <f>EV_Var4!$H$15*Grunddaten!$O$103</f>
        <v>0</v>
      </c>
      <c r="H60" s="188"/>
    </row>
    <row r="61" spans="1:17" s="2" customFormat="1" ht="13.6" customHeight="1" x14ac:dyDescent="0.2">
      <c r="A61" s="130" t="s">
        <v>155</v>
      </c>
      <c r="B61" s="130"/>
      <c r="C61" s="26" t="s">
        <v>5</v>
      </c>
      <c r="D61" s="133">
        <f>(EV_Var1!$H$40+EV_Var1!$H$44+EV_Var1!$H$48)*Grunddaten!$O$101</f>
        <v>0</v>
      </c>
      <c r="E61" s="133">
        <f>(EV_Var2!$H$40+EV_Var2!$H$44+EV_Var2!$H$48)*Grunddaten!$O$101</f>
        <v>0</v>
      </c>
      <c r="F61" s="133">
        <f>(EV_Var3!$H$40+EV_Var3!$H$44+EV_Var3!$H$48)*Grunddaten!$O$101</f>
        <v>0</v>
      </c>
      <c r="G61" s="133">
        <f>(EV_Var4!$H$40+EV_Var4!$H$44+EV_Var4!$H$48)*Grunddaten!$O$101</f>
        <v>0</v>
      </c>
      <c r="H61" s="188"/>
    </row>
    <row r="62" spans="1:17" s="2" customFormat="1" ht="13.6" customHeight="1" x14ac:dyDescent="0.2">
      <c r="A62" s="144" t="s">
        <v>174</v>
      </c>
      <c r="B62" s="144"/>
      <c r="C62" s="26" t="s">
        <v>5</v>
      </c>
      <c r="D62" s="133">
        <f>EV_Var1!$H$59 * Grunddaten!$O$101 * IF(D$52,1-D$52/SUM(EV_Var1!$M$58,EV_Var1!$M$60),1)</f>
        <v>0</v>
      </c>
      <c r="E62" s="133">
        <f>EV_Var2!$H$59 * Grunddaten!$O$101 * IF(E$52,1-E$52/SUM(EV_Var2!$M$58,EV_Var2!$M$60),1)</f>
        <v>0</v>
      </c>
      <c r="F62" s="133">
        <f>EV_Var3!$H$59 * Grunddaten!$O$101 * IF(F$52,1-F$52/SUM(EV_Var3!$M$58,EV_Var3!$M$60),1)</f>
        <v>0</v>
      </c>
      <c r="G62" s="133">
        <f>EV_Var4!$H$59 * Grunddaten!$O$101 * IF(G$52,1-G$52/SUM(EV_Var4!$M$58,EV_Var4!$M$60),1)</f>
        <v>0</v>
      </c>
      <c r="H62" s="188"/>
    </row>
    <row r="63" spans="1:17" s="2" customFormat="1" ht="13.6" customHeight="1" x14ac:dyDescent="0.2">
      <c r="A63" s="128" t="s">
        <v>95</v>
      </c>
      <c r="B63" s="128"/>
      <c r="C63" s="26" t="s">
        <v>5</v>
      </c>
      <c r="D63" s="133">
        <f xml:space="preserve"> EV_Var1!$H$70 * Grunddaten!$O$100 * IF(D$53,1-D$53/EV_Var1!$M$70,1)</f>
        <v>0</v>
      </c>
      <c r="E63" s="133">
        <f xml:space="preserve"> EV_Var2!$H$70 * Grunddaten!$O$100 * IF(E$53,1-E$53/EV_Var2!$M$70,1)</f>
        <v>0</v>
      </c>
      <c r="F63" s="133">
        <f xml:space="preserve"> EV_Var3!$H$70 * Grunddaten!$O$100 * IF(F$53,1-F$53/EV_Var3!$M$70,1)</f>
        <v>0</v>
      </c>
      <c r="G63" s="133">
        <f xml:space="preserve"> EV_Var4!$H$70 * Grunddaten!$O$100 * IF(G$53,1-G$53/EV_Var4!$M$70,1)</f>
        <v>0</v>
      </c>
      <c r="H63" s="188"/>
    </row>
    <row r="64" spans="1:17" s="2" customFormat="1" ht="13.6" customHeight="1" x14ac:dyDescent="0.2">
      <c r="A64" s="129" t="s">
        <v>151</v>
      </c>
      <c r="B64" s="129"/>
      <c r="C64" s="26" t="s">
        <v>5</v>
      </c>
      <c r="D64" s="133">
        <f>EV_Var1!$C$82*Grunddaten!$O$97+2*EV_Var1!$I$82*Grunddaten!$O$99+2*(EV_Var1!$N$82+EV_Var1!$S$82)*Grunddaten!$O$98</f>
        <v>0</v>
      </c>
      <c r="E64" s="133">
        <f>EV_Var2!$C$82*Grunddaten!$O$97+2*EV_Var2!$I$82*Grunddaten!$O$99+2*(EV_Var2!$N$82+EV_Var2!$S$82)*Grunddaten!$O$98</f>
        <v>0</v>
      </c>
      <c r="F64" s="133">
        <f>EV_Var3!$C$82*Grunddaten!$O$97+2*EV_Var3!$I$82*Grunddaten!$O$99+2*(EV_Var3!$N$82+EV_Var3!$S$82)*Grunddaten!$O$98</f>
        <v>0</v>
      </c>
      <c r="G64" s="133">
        <f>EV_Var4!$C$82*Grunddaten!$O$97+2*EV_Var4!$I$82*Grunddaten!$O$99+2*(EV_Var4!$N$82+EV_Var4!$S$82)*Grunddaten!$O$98</f>
        <v>0</v>
      </c>
      <c r="H64" s="188"/>
    </row>
    <row r="65" spans="1:8" s="2" customFormat="1" ht="13.6" customHeight="1" x14ac:dyDescent="0.2">
      <c r="A65" s="130" t="s">
        <v>152</v>
      </c>
      <c r="B65" s="130"/>
      <c r="C65" s="26" t="s">
        <v>5</v>
      </c>
      <c r="D65" s="133">
        <f>EV_Var1!$C$83*Grunddaten!$O$97+2*EV_Var1!$I$83*Grunddaten!$O$99+2*(EV_Var1!$N$83+EV_Var1!$S$83)*Grunddaten!$O$98</f>
        <v>0</v>
      </c>
      <c r="E65" s="133">
        <f>EV_Var2!$C$83*Grunddaten!$O$97+2*EV_Var2!$I$83*Grunddaten!$O$99+2*(EV_Var2!$N$83+EV_Var2!$S$83)*Grunddaten!$O$98</f>
        <v>0</v>
      </c>
      <c r="F65" s="133">
        <f>EV_Var3!$C$83*Grunddaten!$O$97+2*EV_Var3!$I$83*Grunddaten!$O$99+2*(EV_Var3!$N$83+EV_Var3!$S$83)*Grunddaten!$O$98</f>
        <v>0</v>
      </c>
      <c r="G65" s="133">
        <f>EV_Var4!$C$83*Grunddaten!$O$97+2*EV_Var4!$I$83*Grunddaten!$O$99+2*(EV_Var4!$N$83+EV_Var4!$S$83)*Grunddaten!$O$98</f>
        <v>0</v>
      </c>
      <c r="H65" s="188"/>
    </row>
    <row r="66" spans="1:8" s="2" customFormat="1" ht="13.6" customHeight="1" x14ac:dyDescent="0.2">
      <c r="A66" s="130" t="s">
        <v>153</v>
      </c>
      <c r="B66" s="130"/>
      <c r="C66" s="26" t="s">
        <v>5</v>
      </c>
      <c r="D66" s="133">
        <f>EV_Var1!$C$84*Grunddaten!$O$97+2*EV_Var1!$I$84*Grunddaten!$O$99+2*(EV_Var1!$N$84+EV_Var1!$S$84)*Grunddaten!$O$98</f>
        <v>0</v>
      </c>
      <c r="E66" s="133">
        <f>EV_Var2!$C$84*Grunddaten!$O$97+2*EV_Var2!$I$84*Grunddaten!$O$99+2*(EV_Var2!$N$84+EV_Var2!$S$84)*Grunddaten!$O$98</f>
        <v>0</v>
      </c>
      <c r="F66" s="133">
        <f>EV_Var3!$C$84*Grunddaten!$O$97+2*EV_Var3!$I$84*Grunddaten!$O$99+2*(EV_Var3!$N$84+EV_Var3!$S$84)*Grunddaten!$O$98</f>
        <v>0</v>
      </c>
      <c r="G66" s="133">
        <f>EV_Var4!$C$84*Grunddaten!$O$97+2*EV_Var4!$I$84*Grunddaten!$O$99+2*(EV_Var4!$N$84+EV_Var4!$S$84)*Grunddaten!$O$98</f>
        <v>0</v>
      </c>
      <c r="H66" s="188"/>
    </row>
    <row r="67" spans="1:8" s="2" customFormat="1" ht="13.6" customHeight="1" x14ac:dyDescent="0.2">
      <c r="A67" s="130"/>
      <c r="B67" s="130"/>
      <c r="C67" s="26"/>
      <c r="D67" s="133"/>
      <c r="E67" s="133"/>
      <c r="F67" s="133"/>
      <c r="G67" s="133"/>
      <c r="H67" s="188"/>
    </row>
    <row r="68" spans="1:8" s="2" customFormat="1" ht="13.6" customHeight="1" x14ac:dyDescent="0.2">
      <c r="A68" s="114" t="s">
        <v>163</v>
      </c>
      <c r="B68" s="114"/>
      <c r="C68" s="114" t="s">
        <v>105</v>
      </c>
      <c r="D68" s="132">
        <f>SUM(D69:D77)</f>
        <v>0</v>
      </c>
      <c r="E68" s="132">
        <f>SUM(E69:E77)</f>
        <v>0</v>
      </c>
      <c r="F68" s="132">
        <f>SUM(F69:F77)</f>
        <v>0</v>
      </c>
      <c r="G68" s="132">
        <f>SUM(G69:G77)</f>
        <v>0</v>
      </c>
      <c r="H68" s="188"/>
    </row>
    <row r="69" spans="1:8" s="2" customFormat="1" ht="13.6" customHeight="1" x14ac:dyDescent="0.2">
      <c r="A69" s="128" t="s">
        <v>150</v>
      </c>
      <c r="B69" s="128"/>
      <c r="C69" s="26" t="s">
        <v>109</v>
      </c>
      <c r="D69" s="133">
        <f>(EV_Var1!$H$19+EV_Var1!$H$23+EV_Var1!$H$27+EV_Var1!$H$32+EV_Var1!$H$36)*Grunddaten!$R$101</f>
        <v>0</v>
      </c>
      <c r="E69" s="133">
        <f>(EV_Var2!$H$19+EV_Var2!$H$23+EV_Var2!$H$27+EV_Var2!$H$32+EV_Var2!$H$36)*Grunddaten!$R$101</f>
        <v>0</v>
      </c>
      <c r="F69" s="133">
        <f>(EV_Var3!$H$19+EV_Var3!$H$23+EV_Var3!$H$27+EV_Var3!$H$32+EV_Var3!$H$36)*Grunddaten!$R$101</f>
        <v>0</v>
      </c>
      <c r="G69" s="133">
        <f>(EV_Var4!$H$19+EV_Var4!$H$23+EV_Var4!$H$27+EV_Var4!$H$32+EV_Var4!$H$36)*Grunddaten!$R$101</f>
        <v>0</v>
      </c>
      <c r="H69" s="188"/>
    </row>
    <row r="70" spans="1:8" s="2" customFormat="1" ht="13.6" customHeight="1" x14ac:dyDescent="0.2">
      <c r="A70" s="1250" t="s">
        <v>574</v>
      </c>
      <c r="B70" s="1250"/>
      <c r="C70" s="26" t="s">
        <v>109</v>
      </c>
      <c r="D70" s="133">
        <f>IF(OR(EV_Var1!$A$31=EV_Var1!$AC$12,EV_Var1!$A$31=EV_Var1!$AC$13),EV_Var1!$H$32*Grunddaten!$R$102,0)+IF(OR(EV_Var1!$A$35=EV_Var1!$AC$12,EV_Var1!$A$35=EV_Var1!$AC$13),EV_Var1!$H$36*Grunddaten!$R$102,0)+IF(OR(EV_Var1!$A$26=EV_Var1!$AC$12,EV_Var1!$A$26=EV_Var1!$AC$13),EV_Var1!$H$27*Grunddaten!$R$102,0)</f>
        <v>0</v>
      </c>
      <c r="E70" s="133">
        <f>IF(OR(EV_Var2!$A$31=EV_Var2!$AC$12,EV_Var2!$A$31=EV_Var2!$AC$13),EV_Var2!$H$32*Grunddaten!$R$102,0)+IF(OR(EV_Var2!$A$35=EV_Var2!$AC$12,EV_Var2!$A$35=EV_Var2!$AC$13),EV_Var2!$H$36*Grunddaten!$R$102,0)+IF(OR(EV_Var2!$A$26=EV_Var2!$AC$12,EV_Var2!$A$26=EV_Var2!$AC$13),EV_Var2!$H$27*Grunddaten!$R$102,0)</f>
        <v>0</v>
      </c>
      <c r="F70" s="133">
        <f>IF(OR(EV_Var3!$A$31=EV_Var3!$AC$12,EV_Var3!$A$31=EV_Var3!$AC$13),EV_Var3!$H$32*Grunddaten!$R$102,0)+IF(OR(EV_Var3!$A$35=EV_Var3!$AC$12,EV_Var3!$A$35=EV_Var3!$AC$13),EV_Var3!$H$36*Grunddaten!$R$102,0)+IF(OR(EV_Var3!$A$26=EV_Var3!$AC$12,EV_Var3!$A$26=EV_Var3!$AC$13),EV_Var3!$H$27*Grunddaten!$R$102,0)</f>
        <v>0</v>
      </c>
      <c r="G70" s="133">
        <f>IF(OR(EV_Var4!$A$31=EV_Var4!$AC$12,EV_Var4!$A$31=EV_Var4!$AC$13),EV_Var4!$H$32*Grunddaten!$R$102,0)+IF(OR(EV_Var4!$A$35=EV_Var4!$AC$12,EV_Var4!$A$35=EV_Var4!$AC$13),EV_Var4!$H$36*Grunddaten!$R$102,0)+IF(OR(EV_Var4!$A$26=EV_Var4!$AC$12,EV_Var4!$A$26=EV_Var4!$AC$13),EV_Var4!$H$27*Grunddaten!$R$102,0)</f>
        <v>0</v>
      </c>
      <c r="H70" s="188"/>
    </row>
    <row r="71" spans="1:8" s="2" customFormat="1" ht="13.6" customHeight="1" x14ac:dyDescent="0.2">
      <c r="A71" s="128" t="s">
        <v>83</v>
      </c>
      <c r="B71" s="128"/>
      <c r="C71" s="26" t="s">
        <v>109</v>
      </c>
      <c r="D71" s="133">
        <f>EV_Var1!$H$15*Grunddaten!$R$103</f>
        <v>0</v>
      </c>
      <c r="E71" s="133">
        <f>EV_Var2!$H$15*Grunddaten!$R$103</f>
        <v>0</v>
      </c>
      <c r="F71" s="133">
        <f>EV_Var3!$H$15*Grunddaten!$R$103</f>
        <v>0</v>
      </c>
      <c r="G71" s="133">
        <f>EV_Var4!$H$15*Grunddaten!$R$103</f>
        <v>0</v>
      </c>
      <c r="H71" s="188"/>
    </row>
    <row r="72" spans="1:8" s="2" customFormat="1" ht="13.6" customHeight="1" x14ac:dyDescent="0.2">
      <c r="A72" s="130" t="s">
        <v>155</v>
      </c>
      <c r="B72" s="130"/>
      <c r="C72" s="26" t="s">
        <v>109</v>
      </c>
      <c r="D72" s="133">
        <f>(EV_Var1!$H$40+EV_Var1!$H$44+EV_Var1!$H$48)*Grunddaten!$R$101</f>
        <v>0</v>
      </c>
      <c r="E72" s="133">
        <f>(EV_Var2!$H$40+EV_Var2!$H$44+EV_Var2!$H$48)*Grunddaten!$R$101</f>
        <v>0</v>
      </c>
      <c r="F72" s="133">
        <f>(EV_Var3!$H$40+EV_Var3!$H$44+EV_Var3!$H$48)*Grunddaten!$R$101</f>
        <v>0</v>
      </c>
      <c r="G72" s="133">
        <f>(EV_Var4!$H$40+EV_Var4!$H$44+EV_Var4!$H$48)*Grunddaten!$R$101</f>
        <v>0</v>
      </c>
      <c r="H72" s="188"/>
    </row>
    <row r="73" spans="1:8" s="2" customFormat="1" ht="13.6" customHeight="1" x14ac:dyDescent="0.2">
      <c r="A73" s="144" t="s">
        <v>174</v>
      </c>
      <c r="B73" s="144"/>
      <c r="C73" s="26" t="s">
        <v>109</v>
      </c>
      <c r="D73" s="133">
        <f xml:space="preserve"> EV_Var1!$H$59 * Grunddaten!$R$101 * IF(D$52,1-D$52/SUM(EV_Var1!$M$58,EV_Var1!$M$60),1)</f>
        <v>0</v>
      </c>
      <c r="E73" s="133">
        <f xml:space="preserve"> EV_Var2!$H$59 * Grunddaten!$R$101 * IF(E$52,1-E$52/SUM(EV_Var2!$M$58,EV_Var2!$M$60),1)</f>
        <v>0</v>
      </c>
      <c r="F73" s="133">
        <f xml:space="preserve"> EV_Var3!$H$59 * Grunddaten!$R$101 * IF(F$52,1-F$52/SUM(EV_Var3!$M$58,EV_Var3!$M$60),1)</f>
        <v>0</v>
      </c>
      <c r="G73" s="133">
        <f xml:space="preserve"> EV_Var4!$H$59 * Grunddaten!$R$101 * IF(G$52,1-G$52/SUM(EV_Var4!$M$58,EV_Var4!$M$60),1)</f>
        <v>0</v>
      </c>
      <c r="H73" s="188"/>
    </row>
    <row r="74" spans="1:8" s="2" customFormat="1" ht="13.6" customHeight="1" x14ac:dyDescent="0.2">
      <c r="A74" s="128" t="s">
        <v>95</v>
      </c>
      <c r="B74" s="128"/>
      <c r="C74" s="26" t="s">
        <v>109</v>
      </c>
      <c r="D74" s="133">
        <f xml:space="preserve"> EV_Var1!$H$70 * Grunddaten!$R$100 * IF(D$53,1-D$53/EV_Var1!$M$70,1)</f>
        <v>0</v>
      </c>
      <c r="E74" s="133">
        <f xml:space="preserve"> EV_Var2!$H$70 * Grunddaten!$R$100 * IF(E$53,1-E$53/EV_Var2!$M$70,1)</f>
        <v>0</v>
      </c>
      <c r="F74" s="133">
        <f xml:space="preserve"> EV_Var3!$H$70 * Grunddaten!$R$100 * IF(F$53,1-F$53/EV_Var3!$M$70,1)</f>
        <v>0</v>
      </c>
      <c r="G74" s="133">
        <f xml:space="preserve"> EV_Var4!$H$70 * Grunddaten!$R$100 * IF(G$53,1-G$53/EV_Var4!$M$70,1)</f>
        <v>0</v>
      </c>
      <c r="H74" s="188"/>
    </row>
    <row r="75" spans="1:8" s="2" customFormat="1" ht="13.6" customHeight="1" x14ac:dyDescent="0.2">
      <c r="A75" s="129" t="s">
        <v>151</v>
      </c>
      <c r="B75" s="129"/>
      <c r="C75" s="26" t="s">
        <v>109</v>
      </c>
      <c r="D75" s="133">
        <f>EV_Var1!$C$82*Grunddaten!$R$97+2*EV_Var1!$I$82*Grunddaten!$R$99+2*(EV_Var1!$N$82+EV_Var1!$S$82)*Grunddaten!$R$98</f>
        <v>0</v>
      </c>
      <c r="E75" s="133">
        <f>EV_Var2!$C$82*Grunddaten!$R$97+2*EV_Var2!$I$82*Grunddaten!$R$99+2*(EV_Var2!$N$82+EV_Var2!$S$82)*Grunddaten!$R$98</f>
        <v>0</v>
      </c>
      <c r="F75" s="133">
        <f>EV_Var3!$C$82*Grunddaten!$R$97+2*EV_Var3!$I$82*Grunddaten!$R$99+2*(EV_Var3!$N$82+EV_Var3!$S$82)*Grunddaten!$R$98</f>
        <v>0</v>
      </c>
      <c r="G75" s="133">
        <f>EV_Var4!$C$82*Grunddaten!$R$97+2*EV_Var4!$I$82*Grunddaten!$R$99+2*(EV_Var4!$N$82+EV_Var4!$S$82)*Grunddaten!$R$98</f>
        <v>0</v>
      </c>
      <c r="H75" s="188"/>
    </row>
    <row r="76" spans="1:8" s="2" customFormat="1" ht="13.6" customHeight="1" x14ac:dyDescent="0.2">
      <c r="A76" s="130" t="s">
        <v>152</v>
      </c>
      <c r="B76" s="130"/>
      <c r="C76" s="26" t="s">
        <v>109</v>
      </c>
      <c r="D76" s="133">
        <f>EV_Var1!$C$83*Grunddaten!$R$97+2*EV_Var1!$I$83*Grunddaten!$R$99+2*(EV_Var1!$N$83+EV_Var1!$S$83)*Grunddaten!$R$98</f>
        <v>0</v>
      </c>
      <c r="E76" s="133">
        <f>EV_Var2!$C$83*Grunddaten!$R$97+2*EV_Var2!$I$83*Grunddaten!$R$99+2*(EV_Var2!$N$83+EV_Var2!$S$83)*Grunddaten!$R$98</f>
        <v>0</v>
      </c>
      <c r="F76" s="133">
        <f>EV_Var3!$C$83*Grunddaten!$R$97+2*EV_Var3!$I$83*Grunddaten!$R$99+2*(EV_Var3!$N$83+EV_Var3!$S$83)*Grunddaten!$R$98</f>
        <v>0</v>
      </c>
      <c r="G76" s="133">
        <f>EV_Var4!$C$83*Grunddaten!$R$97+2*EV_Var4!$I$83*Grunddaten!$R$99+2*(EV_Var4!$N$83+EV_Var4!$S$83)*Grunddaten!$R$98</f>
        <v>0</v>
      </c>
      <c r="H76" s="188"/>
    </row>
    <row r="77" spans="1:8" s="2" customFormat="1" ht="13.6" customHeight="1" x14ac:dyDescent="0.2">
      <c r="A77" s="130" t="s">
        <v>153</v>
      </c>
      <c r="B77" s="130"/>
      <c r="C77" s="26" t="s">
        <v>109</v>
      </c>
      <c r="D77" s="133">
        <f>EV_Var1!$C$84*Grunddaten!$R$97+2*EV_Var1!$I$84*Grunddaten!$R$99+2*(EV_Var1!$N$84+EV_Var1!$S$84)*Grunddaten!$R$98</f>
        <v>0</v>
      </c>
      <c r="E77" s="133">
        <f>EV_Var2!$C$84*Grunddaten!$R$97+2*EV_Var2!$I$84*Grunddaten!$R$99+2*(EV_Var2!$N$84+EV_Var2!$S$84)*Grunddaten!$R$98</f>
        <v>0</v>
      </c>
      <c r="F77" s="133">
        <f>EV_Var3!$C$84*Grunddaten!$R$97+2*EV_Var3!$I$84*Grunddaten!$R$99+2*(EV_Var3!$N$84+EV_Var3!$S$84)*Grunddaten!$R$98</f>
        <v>0</v>
      </c>
      <c r="G77" s="133">
        <f>EV_Var4!$C$84*Grunddaten!$R$97+2*EV_Var4!$I$84*Grunddaten!$R$99+2*(EV_Var4!$N$84+EV_Var4!$S$84)*Grunddaten!$R$98</f>
        <v>0</v>
      </c>
      <c r="H77" s="188"/>
    </row>
    <row r="78" spans="1:8" s="2" customFormat="1" ht="13.6" customHeight="1" x14ac:dyDescent="0.2">
      <c r="A78" s="130"/>
      <c r="B78" s="130"/>
      <c r="C78" s="26"/>
      <c r="D78" s="133"/>
      <c r="E78" s="133"/>
      <c r="F78" s="133"/>
      <c r="G78" s="133"/>
      <c r="H78" s="188"/>
    </row>
    <row r="79" spans="1:8" s="2" customFormat="1" ht="13.6" customHeight="1" x14ac:dyDescent="0.2">
      <c r="A79" s="114" t="s">
        <v>164</v>
      </c>
      <c r="B79" s="114"/>
      <c r="C79" s="114" t="s">
        <v>169</v>
      </c>
      <c r="D79" s="132">
        <f>SUM(D80:D88)</f>
        <v>0</v>
      </c>
      <c r="E79" s="132">
        <f>SUM(E80:E88)</f>
        <v>0</v>
      </c>
      <c r="F79" s="132">
        <f>SUM(F80:F88)</f>
        <v>0</v>
      </c>
      <c r="G79" s="132">
        <f>SUM(G80:G88)</f>
        <v>0</v>
      </c>
      <c r="H79" s="188"/>
    </row>
    <row r="80" spans="1:8" s="2" customFormat="1" ht="13.6" customHeight="1" x14ac:dyDescent="0.2">
      <c r="A80" s="128" t="s">
        <v>150</v>
      </c>
      <c r="B80" s="128"/>
      <c r="C80" s="26" t="s">
        <v>169</v>
      </c>
      <c r="D80" s="133">
        <f>(EV_Var1!$H$19+EV_Var1!$H$23+EV_Var1!$H$27+EV_Var1!$H$32+EV_Var1!$H$36)*Grunddaten!$U$101</f>
        <v>0</v>
      </c>
      <c r="E80" s="133">
        <f>(EV_Var2!$H$19+EV_Var2!$H$23+EV_Var2!$H$27+EV_Var2!$H$32+EV_Var2!$H$36)*Grunddaten!$U$101</f>
        <v>0</v>
      </c>
      <c r="F80" s="133">
        <f>(EV_Var3!$H$19+EV_Var3!$H$23+EV_Var3!$H$27+EV_Var3!$H$32+EV_Var3!$H$36)*Grunddaten!$U$101</f>
        <v>0</v>
      </c>
      <c r="G80" s="133">
        <f>(EV_Var4!$H$19+EV_Var4!$H$23+EV_Var4!$H$27+EV_Var4!$H$32+EV_Var4!$H$36)*Grunddaten!$U$101</f>
        <v>0</v>
      </c>
      <c r="H80" s="188"/>
    </row>
    <row r="81" spans="1:18" s="2" customFormat="1" ht="13.6" customHeight="1" x14ac:dyDescent="0.2">
      <c r="A81" s="1250" t="s">
        <v>574</v>
      </c>
      <c r="B81" s="1250"/>
      <c r="C81" s="26" t="s">
        <v>169</v>
      </c>
      <c r="D81" s="133">
        <f>IF(OR(EV_Var1!$A$31=EV_Var1!$AC$12,EV_Var1!$A$31=EV_Var1!$AC$13),EV_Var1!$H$32*Grunddaten!$U$102,0)+IF(OR(EV_Var1!$A$35=EV_Var1!$AC$12,EV_Var1!$A$35=EV_Var1!$AC$13),EV_Var1!$H$36*Grunddaten!$U$102,0)+IF(OR(EV_Var1!$A$26=EV_Var1!$AC$12,EV_Var1!$A$26=EV_Var1!$AC$13),EV_Var1!$H$27*Grunddaten!$U$102,0)</f>
        <v>0</v>
      </c>
      <c r="E81" s="133">
        <f>IF(OR(EV_Var2!$A$31=EV_Var2!$AC$12,EV_Var2!$A$31=EV_Var2!$AC$13),EV_Var2!$H$32*Grunddaten!$U$102,0)+IF(OR(EV_Var2!$A$35=EV_Var2!$AC$12,EV_Var2!$A$35=EV_Var2!$AC$13),EV_Var2!$H$36*Grunddaten!$U$102,0)+IF(OR(EV_Var2!$A$26=EV_Var2!$AC$12,EV_Var2!$A$26=EV_Var2!$AC$13),EV_Var2!$H$27*Grunddaten!$U$102,0)</f>
        <v>0</v>
      </c>
      <c r="F81" s="133">
        <f>IF(OR(EV_Var3!$A$31=EV_Var3!$AC$12,EV_Var3!$A$31=EV_Var3!$AC$13),EV_Var3!$H$32*Grunddaten!$U$102,0)+IF(OR(EV_Var3!$A$35=EV_Var3!$AC$12,EV_Var3!$A$35=EV_Var3!$AC$13),EV_Var3!$H$36*Grunddaten!$U$102,0)+IF(OR(EV_Var3!$A$26=EV_Var3!$AC$12,EV_Var3!$A$26=EV_Var3!$AC$13),EV_Var3!$H$27*Grunddaten!$U$102,0)</f>
        <v>0</v>
      </c>
      <c r="G81" s="133">
        <f>IF(OR(EV_Var4!$A$31=EV_Var4!$AC$12,EV_Var4!$A$31=EV_Var4!$AC$13),EV_Var4!$H$32*Grunddaten!$U$102,0)+IF(OR(EV_Var4!$A$35=EV_Var4!$AC$12,EV_Var4!$A$35=EV_Var4!$AC$13),EV_Var4!$H$36*Grunddaten!$U$102,0)+IF(OR(EV_Var4!$A$26=EV_Var4!$AC$12,EV_Var4!$A$26=EV_Var4!$AC$13),EV_Var4!$H$27*Grunddaten!$U$102,0)</f>
        <v>0</v>
      </c>
      <c r="H81" s="188"/>
    </row>
    <row r="82" spans="1:18" s="2" customFormat="1" ht="13.6" customHeight="1" x14ac:dyDescent="0.2">
      <c r="A82" s="128" t="s">
        <v>83</v>
      </c>
      <c r="B82" s="128"/>
      <c r="C82" s="26" t="s">
        <v>169</v>
      </c>
      <c r="D82" s="133">
        <f>EV_Var1!$H$15*Grunddaten!$U$103</f>
        <v>0</v>
      </c>
      <c r="E82" s="133">
        <f>EV_Var2!$H$15*Grunddaten!$U$103</f>
        <v>0</v>
      </c>
      <c r="F82" s="133">
        <f>EV_Var3!$H$15*Grunddaten!$U$103</f>
        <v>0</v>
      </c>
      <c r="G82" s="133">
        <f>EV_Var4!$H$15*Grunddaten!$U$103</f>
        <v>0</v>
      </c>
      <c r="H82" s="188"/>
      <c r="K82"/>
      <c r="L82"/>
      <c r="M82"/>
      <c r="N82"/>
      <c r="O82"/>
      <c r="P82"/>
      <c r="Q82"/>
      <c r="R82"/>
    </row>
    <row r="83" spans="1:18" s="2" customFormat="1" ht="13.6" customHeight="1" x14ac:dyDescent="0.2">
      <c r="A83" s="130" t="s">
        <v>155</v>
      </c>
      <c r="B83" s="130"/>
      <c r="C83" s="26" t="s">
        <v>169</v>
      </c>
      <c r="D83" s="133">
        <f>(EV_Var1!$H$40+EV_Var1!$H$44+EV_Var1!$H$48)*Grunddaten!$U$101</f>
        <v>0</v>
      </c>
      <c r="E83" s="133">
        <f>(EV_Var2!$H$40+EV_Var2!$H$44+EV_Var2!$H$48)*Grunddaten!$U$101</f>
        <v>0</v>
      </c>
      <c r="F83" s="133">
        <f>(EV_Var3!$H$40+EV_Var3!$H$44+EV_Var3!$H$48)*Grunddaten!$U$101</f>
        <v>0</v>
      </c>
      <c r="G83" s="133">
        <f>(EV_Var4!$H$40+EV_Var4!$H$44+EV_Var4!$H$48)*Grunddaten!$U$101</f>
        <v>0</v>
      </c>
      <c r="H83" s="188"/>
      <c r="K83"/>
      <c r="L83"/>
      <c r="M83"/>
      <c r="N83"/>
      <c r="O83"/>
      <c r="P83"/>
      <c r="Q83"/>
      <c r="R83"/>
    </row>
    <row r="84" spans="1:18" s="2" customFormat="1" ht="13.6" customHeight="1" x14ac:dyDescent="0.2">
      <c r="A84" s="144" t="s">
        <v>174</v>
      </c>
      <c r="B84" s="144"/>
      <c r="C84" s="26" t="s">
        <v>169</v>
      </c>
      <c r="D84" s="133">
        <f xml:space="preserve"> EV_Var1!$H$59 * Grunddaten!$U$101 * IF(D$52,1-D$52/SUM(EV_Var1!$M$58,EV_Var1!$M$60),1)</f>
        <v>0</v>
      </c>
      <c r="E84" s="133">
        <f xml:space="preserve"> EV_Var2!$H$59 * Grunddaten!$U$101 * IF(E$52,1-E$52/SUM(EV_Var2!$M$58,EV_Var2!$M$60),1)</f>
        <v>0</v>
      </c>
      <c r="F84" s="133">
        <f xml:space="preserve"> EV_Var3!$H$59 * Grunddaten!$U$101 * IF(F$52,1-F$52/SUM(EV_Var3!$M$58,EV_Var3!$M$60),1)</f>
        <v>0</v>
      </c>
      <c r="G84" s="133">
        <f xml:space="preserve"> EV_Var4!$H$59 * Grunddaten!$U$101 * IF(G$52,1-G$52/SUM(EV_Var4!$M$58,EV_Var4!$M$60),1)</f>
        <v>0</v>
      </c>
      <c r="H84" s="188"/>
      <c r="K84"/>
      <c r="L84"/>
      <c r="M84"/>
      <c r="N84"/>
      <c r="O84"/>
      <c r="P84"/>
      <c r="Q84"/>
      <c r="R84"/>
    </row>
    <row r="85" spans="1:18" s="2" customFormat="1" ht="13.6" customHeight="1" x14ac:dyDescent="0.2">
      <c r="A85" s="128" t="s">
        <v>95</v>
      </c>
      <c r="B85" s="128"/>
      <c r="C85" s="26" t="s">
        <v>169</v>
      </c>
      <c r="D85" s="133">
        <f xml:space="preserve"> EV_Var1!$H$70 * Grunddaten!$U$100 * IF(D$53,1-D$53/EV_Var1!$M$70,1)</f>
        <v>0</v>
      </c>
      <c r="E85" s="133">
        <f xml:space="preserve"> EV_Var2!$H$70 * Grunddaten!$U$100 * IF(E$53,1-E$53/EV_Var2!$M$70,1)</f>
        <v>0</v>
      </c>
      <c r="F85" s="133">
        <f xml:space="preserve"> EV_Var3!$H$70 * Grunddaten!$U$100 * IF(F$53,1-F$53/EV_Var3!$M$70,1)</f>
        <v>0</v>
      </c>
      <c r="G85" s="133">
        <f xml:space="preserve"> EV_Var4!$H$70 * Grunddaten!$U$100 * IF(G$53,1-G$53/EV_Var4!$M$70,1)</f>
        <v>0</v>
      </c>
      <c r="H85" s="188"/>
      <c r="K85"/>
      <c r="L85"/>
      <c r="M85"/>
      <c r="N85"/>
      <c r="O85"/>
      <c r="P85"/>
      <c r="Q85"/>
      <c r="R85"/>
    </row>
    <row r="86" spans="1:18" s="2" customFormat="1" ht="13.6" customHeight="1" x14ac:dyDescent="0.2">
      <c r="A86" s="129" t="s">
        <v>151</v>
      </c>
      <c r="B86" s="129"/>
      <c r="C86" s="26" t="s">
        <v>169</v>
      </c>
      <c r="D86" s="133">
        <f>EV_Var1!$C$82*Grunddaten!$U$97+2*EV_Var1!$I$82*Grunddaten!$U$99+2*(EV_Var1!$N$82+EV_Var1!$S$82)*Grunddaten!$U$98</f>
        <v>0</v>
      </c>
      <c r="E86" s="133">
        <f>EV_Var2!$C$82*Grunddaten!$U$97+2*EV_Var2!$I$82*Grunddaten!$U$99+2*(EV_Var2!$N$82+EV_Var2!$S$82)*Grunddaten!$U$98</f>
        <v>0</v>
      </c>
      <c r="F86" s="133">
        <f>EV_Var3!$C$82*Grunddaten!$U$97+2*EV_Var3!$I$82*Grunddaten!$U$99+2*(EV_Var3!$N$82+EV_Var3!$S$82)*Grunddaten!$U$98</f>
        <v>0</v>
      </c>
      <c r="G86" s="133">
        <f>EV_Var4!$C$82*Grunddaten!$U$97+2*EV_Var4!$I$82*Grunddaten!$U$99+2*(EV_Var4!$N$82+EV_Var4!$S$82)*Grunddaten!$U$98</f>
        <v>0</v>
      </c>
      <c r="H86" s="188"/>
      <c r="K86"/>
      <c r="L86"/>
      <c r="M86"/>
      <c r="N86"/>
      <c r="O86"/>
      <c r="P86"/>
      <c r="Q86"/>
      <c r="R86"/>
    </row>
    <row r="87" spans="1:18" s="2" customFormat="1" ht="13.6" customHeight="1" x14ac:dyDescent="0.2">
      <c r="A87" s="130" t="s">
        <v>152</v>
      </c>
      <c r="B87" s="130"/>
      <c r="C87" s="26" t="s">
        <v>169</v>
      </c>
      <c r="D87" s="133">
        <f>EV_Var1!$C$83*Grunddaten!$U$97+2*EV_Var1!$I$83*Grunddaten!$U$99+2*(EV_Var1!$N$83+EV_Var1!$S$83)*Grunddaten!$U$98</f>
        <v>0</v>
      </c>
      <c r="E87" s="133">
        <f>EV_Var2!$C$83*Grunddaten!$U$97+2*EV_Var2!$I$83*Grunddaten!$U$99+2*(EV_Var2!$N$83+EV_Var2!$S$83)*Grunddaten!$U$98</f>
        <v>0</v>
      </c>
      <c r="F87" s="133">
        <f>EV_Var3!$C$83*Grunddaten!$U$97+2*EV_Var3!$I$83*Grunddaten!$U$99+2*(EV_Var3!$N$83+EV_Var3!$S$83)*Grunddaten!$U$98</f>
        <v>0</v>
      </c>
      <c r="G87" s="133">
        <f>EV_Var4!$C$83*Grunddaten!$U$97+2*EV_Var4!$I$83*Grunddaten!$U$99+2*(EV_Var4!$N$83+EV_Var4!$S$83)*Grunddaten!$U$98</f>
        <v>0</v>
      </c>
      <c r="I87" s="195"/>
      <c r="J87" s="195"/>
      <c r="K87"/>
      <c r="L87"/>
      <c r="M87"/>
      <c r="N87"/>
      <c r="O87"/>
      <c r="P87"/>
      <c r="Q87"/>
      <c r="R87"/>
    </row>
    <row r="88" spans="1:18" s="2" customFormat="1" ht="13.6" customHeight="1" x14ac:dyDescent="0.2">
      <c r="A88" s="130" t="s">
        <v>153</v>
      </c>
      <c r="B88" s="130"/>
      <c r="C88" s="26" t="s">
        <v>169</v>
      </c>
      <c r="D88" s="133">
        <f>EV_Var1!$C$84*Grunddaten!$U$97+2*EV_Var1!$I$84*Grunddaten!$U$99+2*(EV_Var1!$N$84+EV_Var1!$S$84)*Grunddaten!$U$98</f>
        <v>0</v>
      </c>
      <c r="E88" s="133">
        <f>EV_Var2!$C$84*Grunddaten!$U$97+2*EV_Var2!$I$84*Grunddaten!$U$99+2*(EV_Var2!$N$84+EV_Var2!$S$84)*Grunddaten!$U$98</f>
        <v>0</v>
      </c>
      <c r="F88" s="133">
        <f>EV_Var3!$C$84*Grunddaten!$U$97+2*EV_Var3!$I$84*Grunddaten!$U$99+2*(EV_Var3!$N$84+EV_Var3!$S$84)*Grunddaten!$U$98</f>
        <v>0</v>
      </c>
      <c r="G88" s="133">
        <f>EV_Var4!$C$84*Grunddaten!$U$97+2*EV_Var4!$I$84*Grunddaten!$U$99+2*(EV_Var4!$N$84+EV_Var4!$S$84)*Grunddaten!$U$98</f>
        <v>0</v>
      </c>
      <c r="I88" s="195"/>
      <c r="J88" s="195"/>
      <c r="K88"/>
      <c r="L88"/>
      <c r="M88"/>
      <c r="N88"/>
      <c r="O88"/>
      <c r="P88"/>
      <c r="Q88"/>
      <c r="R88"/>
    </row>
    <row r="89" spans="1:18" s="2" customFormat="1" ht="13.6" customHeight="1" x14ac:dyDescent="0.2">
      <c r="A89" s="130"/>
      <c r="B89" s="130"/>
      <c r="C89" s="26"/>
      <c r="D89" s="133"/>
      <c r="E89" s="133"/>
      <c r="F89" s="133"/>
      <c r="G89" s="133"/>
      <c r="I89" s="195"/>
      <c r="J89" s="195"/>
      <c r="K89"/>
      <c r="L89"/>
      <c r="M89"/>
      <c r="N89"/>
      <c r="O89"/>
      <c r="P89"/>
      <c r="Q89"/>
      <c r="R89"/>
    </row>
    <row r="90" spans="1:18" s="2" customFormat="1" ht="13.6" customHeight="1" x14ac:dyDescent="0.2">
      <c r="A90" s="114" t="s">
        <v>2</v>
      </c>
      <c r="B90" s="114"/>
      <c r="C90" s="114" t="s">
        <v>5</v>
      </c>
      <c r="D90" s="132">
        <f>SUM(D91:D94)</f>
        <v>0</v>
      </c>
      <c r="E90" s="132">
        <f>SUM(E91:E94)</f>
        <v>0</v>
      </c>
      <c r="F90" s="132">
        <f>SUM(F91:F94)</f>
        <v>0</v>
      </c>
      <c r="G90" s="132">
        <f>SUM(G91:G94)</f>
        <v>0</v>
      </c>
      <c r="I90" s="195"/>
      <c r="J90" s="195"/>
      <c r="K90"/>
      <c r="L90"/>
      <c r="M90"/>
      <c r="N90"/>
      <c r="O90"/>
      <c r="P90"/>
      <c r="Q90"/>
      <c r="R90"/>
    </row>
    <row r="91" spans="1:18" s="2" customFormat="1" ht="13.6" customHeight="1" x14ac:dyDescent="0.2">
      <c r="A91" s="26" t="s">
        <v>165</v>
      </c>
      <c r="B91" s="26"/>
      <c r="C91" s="26" t="s">
        <v>5</v>
      </c>
      <c r="D91" s="133">
        <f>D57</f>
        <v>0</v>
      </c>
      <c r="E91" s="133">
        <f>E57</f>
        <v>0</v>
      </c>
      <c r="F91" s="133">
        <f>F57</f>
        <v>0</v>
      </c>
      <c r="G91" s="133">
        <f>G57</f>
        <v>0</v>
      </c>
      <c r="I91" s="195"/>
      <c r="J91" s="195"/>
      <c r="K91"/>
      <c r="L91"/>
      <c r="M91"/>
      <c r="N91"/>
      <c r="O91"/>
      <c r="P91"/>
      <c r="Q91"/>
      <c r="R91"/>
    </row>
    <row r="92" spans="1:18" s="2" customFormat="1" ht="13.6" customHeight="1" x14ac:dyDescent="0.2">
      <c r="A92" s="26" t="s">
        <v>195</v>
      </c>
      <c r="B92" s="26"/>
      <c r="C92" s="26" t="s">
        <v>5</v>
      </c>
      <c r="D92" s="134">
        <f>D$27*VLOOKUP(Projektdaten!$G$20,Grunddaten!$C$11:$AD$44,21,FALSE) + D$28*Grunddaten!$W$50 + D$29*Grunddaten!$W$49 + D$30*VLOOKUP(Projektdaten!$G$24,Grunddaten!$C$47:$AD$48,21,FALSE) + D$31*Grunddaten!$W$46 + D$32*Grunddaten!$W$45 + D$33*Grunddaten!$W$51 + D$34*VLOOKUP(Projektdaten!$G$22,Grunddaten!$C$52:$AD$54,21,FALSE) + D$36*Grunddaten!$W$55+ D$37*Grunddaten!$W$56</f>
        <v>0</v>
      </c>
      <c r="E92" s="134">
        <f>E$27*VLOOKUP(Projektdaten!$G$20,Grunddaten!$C$11:$AD$44,21,FALSE) + E$28*Grunddaten!$W$50 + E$29*Grunddaten!$W$49 + E$30*VLOOKUP(Projektdaten!$G$24,Grunddaten!$C$47:$AD$48,21,FALSE) + E$31*Grunddaten!$W$46 + E$32*Grunddaten!$W$45 + E$33*Grunddaten!$W$51 + E$34*VLOOKUP(Projektdaten!$G$22,Grunddaten!$C$52:$AD$54,21,FALSE) + E$36*Grunddaten!$W$55+ E$37*Grunddaten!$W$56</f>
        <v>0</v>
      </c>
      <c r="F92" s="134">
        <f>F$27*VLOOKUP(Projektdaten!$G$20,Grunddaten!$C$11:$AD$44,21,FALSE) + F$28*Grunddaten!$W$50 + F$29*Grunddaten!$W$49 + F$30*VLOOKUP(Projektdaten!$G$24,Grunddaten!$C$47:$AD$48,21,FALSE) + F$31*Grunddaten!$W$46 + F$32*Grunddaten!$W$45 + F$33*Grunddaten!$W$51 + F$34*VLOOKUP(Projektdaten!$G$22,Grunddaten!$C$52:$AD$54,21,FALSE) + F$36*Grunddaten!$W$55+ F$37*Grunddaten!$W$56</f>
        <v>0</v>
      </c>
      <c r="G92" s="134">
        <f>G$27*VLOOKUP(Projektdaten!$G$20,Grunddaten!$C$11:$AD$44,21,FALSE) + G$28*Grunddaten!$W$50 + G$29*Grunddaten!$W$49 + G$30*VLOOKUP(Projektdaten!$G$24,Grunddaten!$C$47:$AD$48,21,FALSE) + G$31*Grunddaten!$W$46 + G$32*Grunddaten!$W$45 + G$33*Grunddaten!$W$51 + G$34*VLOOKUP(Projektdaten!$G$22,Grunddaten!$C$52:$AD$54,21,FALSE) + G$36*Grunddaten!$W$55+ G$37*Grunddaten!$W$56</f>
        <v>0</v>
      </c>
      <c r="I92" s="195"/>
      <c r="J92" s="195"/>
      <c r="K92" s="1092"/>
      <c r="L92" s="1092"/>
      <c r="M92" s="1092"/>
      <c r="N92" s="1092"/>
      <c r="O92"/>
      <c r="P92"/>
      <c r="Q92"/>
      <c r="R92"/>
    </row>
    <row r="93" spans="1:18" s="2" customFormat="1" ht="13.6" customHeight="1" x14ac:dyDescent="0.2">
      <c r="A93" s="26" t="s">
        <v>196</v>
      </c>
      <c r="B93" s="26"/>
      <c r="C93" s="26" t="s">
        <v>5</v>
      </c>
      <c r="D93" s="134">
        <f>D$27*VLOOKUP(Projektdaten!$G$20,Grunddaten!$C$11:$AD$44,23,FALSE) + D$28*Grunddaten!$Y$50 + D$29*Grunddaten!$Y$49 + D$30*VLOOKUP(Projektdaten!$G$24,Grunddaten!$C$47:$AD$48,23,FALSE) + D$31*Grunddaten!$Y$46 + D$32*Grunddaten!$Y$45 + D$33*Grunddaten!$Y$51 + D$34*VLOOKUP(Projektdaten!$G$22,Grunddaten!$C$52:$AD$54,23,FALSE) + D$36*Grunddaten!$Y$55+ D$37*Grunddaten!$Y$56</f>
        <v>0</v>
      </c>
      <c r="E93" s="134">
        <f>E$27*VLOOKUP(Projektdaten!$G$20,Grunddaten!$C$11:$AD$44,23,FALSE) + E$28*Grunddaten!$Y$50 + E$29*Grunddaten!$Y$49 + E$30*VLOOKUP(Projektdaten!$G$24,Grunddaten!$C$47:$AD$48,23,FALSE) + E$31*Grunddaten!$Y$46 + E$32*Grunddaten!$Y$45 + E$33*Grunddaten!$Y$51 + E$34*VLOOKUP(Projektdaten!$G$22,Grunddaten!$C$52:$AD$54,23,FALSE) + E$36*Grunddaten!$Y$55+ E$37*Grunddaten!$Y$56</f>
        <v>0</v>
      </c>
      <c r="F93" s="134">
        <f>F$27*VLOOKUP(Projektdaten!$G$20,Grunddaten!$C$11:$AD$44,23,FALSE) + F$28*Grunddaten!$Y$50 + F$29*Grunddaten!$Y$49 + F$30*VLOOKUP(Projektdaten!$G$24,Grunddaten!$C$47:$AD$48,23,FALSE) + F$31*Grunddaten!$Y$46 + F$32*Grunddaten!$Y$45 + F$33*Grunddaten!$Y$51 + F$34*VLOOKUP(Projektdaten!$G$22,Grunddaten!$C$52:$AD$54,23,FALSE) + F$36*Grunddaten!$Y$55+ F$37*Grunddaten!$Y$56</f>
        <v>0</v>
      </c>
      <c r="G93" s="134">
        <f>G$27*VLOOKUP(Projektdaten!$G$20,Grunddaten!$C$11:$AD$44,23,FALSE) + G$28*Grunddaten!$Y$50 + G$29*Grunddaten!$Y$49 + G$30*VLOOKUP(Projektdaten!$G$24,Grunddaten!$C$47:$AD$48,23,FALSE) + G$31*Grunddaten!$Y$46 + G$32*Grunddaten!$Y$45 + G$33*Grunddaten!$Y$51 + G$34*VLOOKUP(Projektdaten!$G$22,Grunddaten!$C$52:$AD$54,23,FALSE) + G$36*Grunddaten!$Y$55+ G$37*Grunddaten!$Y$56</f>
        <v>0</v>
      </c>
      <c r="I93" s="195"/>
      <c r="J93" s="195"/>
      <c r="K93" s="1093"/>
      <c r="L93" s="1093"/>
      <c r="M93" s="1093"/>
      <c r="N93" s="1093"/>
      <c r="O93"/>
      <c r="P93"/>
      <c r="Q93"/>
      <c r="R93"/>
    </row>
    <row r="94" spans="1:18" s="2" customFormat="1" ht="13.6" customHeight="1" x14ac:dyDescent="0.2">
      <c r="A94" s="26" t="s">
        <v>197</v>
      </c>
      <c r="B94" s="26"/>
      <c r="C94" s="26" t="s">
        <v>5</v>
      </c>
      <c r="D94" s="133">
        <f>D35</f>
        <v>0</v>
      </c>
      <c r="E94" s="133">
        <f t="shared" ref="E94:G94" si="3">E35</f>
        <v>0</v>
      </c>
      <c r="F94" s="133">
        <f t="shared" si="3"/>
        <v>0</v>
      </c>
      <c r="G94" s="133">
        <f t="shared" si="3"/>
        <v>0</v>
      </c>
      <c r="I94" s="195"/>
      <c r="J94" s="195"/>
      <c r="K94"/>
      <c r="L94"/>
      <c r="M94"/>
      <c r="N94"/>
      <c r="O94"/>
      <c r="P94"/>
      <c r="Q94"/>
      <c r="R94"/>
    </row>
    <row r="95" spans="1:18" s="2" customFormat="1" ht="13.6" customHeight="1" x14ac:dyDescent="0.2">
      <c r="A95" s="29"/>
      <c r="B95" s="29"/>
      <c r="C95" s="29"/>
      <c r="D95" s="133"/>
      <c r="E95" s="133"/>
      <c r="F95" s="133"/>
      <c r="G95" s="133"/>
      <c r="I95" s="195"/>
      <c r="J95" s="195"/>
      <c r="K95"/>
      <c r="L95"/>
      <c r="M95"/>
      <c r="N95"/>
      <c r="O95"/>
      <c r="P95"/>
      <c r="Q95"/>
      <c r="R95"/>
    </row>
    <row r="96" spans="1:18" s="2" customFormat="1" ht="13.6" customHeight="1" x14ac:dyDescent="0.2">
      <c r="A96" s="114" t="s">
        <v>6</v>
      </c>
      <c r="B96" s="114"/>
      <c r="C96" s="114" t="s">
        <v>105</v>
      </c>
      <c r="D96" s="132">
        <f>SUM(D97:D98)</f>
        <v>0</v>
      </c>
      <c r="E96" s="132">
        <f>SUM(E97:E98)</f>
        <v>0</v>
      </c>
      <c r="F96" s="132">
        <f>SUM(F97:F98)</f>
        <v>0</v>
      </c>
      <c r="G96" s="132">
        <f>SUM(G97:G98)</f>
        <v>0</v>
      </c>
      <c r="I96" s="195"/>
      <c r="J96"/>
      <c r="K96"/>
      <c r="L96"/>
      <c r="M96"/>
      <c r="N96"/>
      <c r="O96"/>
      <c r="P96"/>
      <c r="Q96"/>
      <c r="R96"/>
    </row>
    <row r="97" spans="1:17" s="2" customFormat="1" ht="13.6" customHeight="1" x14ac:dyDescent="0.2">
      <c r="A97" s="26" t="s">
        <v>166</v>
      </c>
      <c r="B97" s="26"/>
      <c r="C97" s="26" t="s">
        <v>109</v>
      </c>
      <c r="D97" s="133">
        <f>D68</f>
        <v>0</v>
      </c>
      <c r="E97" s="133">
        <f>E68</f>
        <v>0</v>
      </c>
      <c r="F97" s="133">
        <f>F68</f>
        <v>0</v>
      </c>
      <c r="G97" s="133">
        <f>G68</f>
        <v>0</v>
      </c>
      <c r="I97" s="195"/>
      <c r="J97"/>
      <c r="K97"/>
      <c r="L97"/>
      <c r="M97"/>
      <c r="N97"/>
      <c r="O97"/>
      <c r="P97"/>
      <c r="Q97"/>
    </row>
    <row r="98" spans="1:17" s="2" customFormat="1" ht="13.6" customHeight="1" x14ac:dyDescent="0.2">
      <c r="A98" s="1279" t="s">
        <v>167</v>
      </c>
      <c r="B98" s="1279"/>
      <c r="C98" s="26" t="s">
        <v>109</v>
      </c>
      <c r="D98" s="134">
        <f>D$27*VLOOKUP(Projektdaten!$G$20,Grunddaten!$C$11:$AD$44,25,FALSE) + D$28*Grunddaten!$AA$50 + D$29*Grunddaten!$AA$49 + D$30*VLOOKUP(Projektdaten!$G$24,Grunddaten!$C$47:$AD$48,25,FALSE) + D$31*Grunddaten!$AA$46 + D$32*Grunddaten!$AA$45 + D$33*Grunddaten!$AA$51 + D$34*VLOOKUP(Projektdaten!$G$22,Grunddaten!$C$52:$AD$54,25,FALSE) + D$36*Grunddaten!$AA$55+ D$37*Grunddaten!$AA$56</f>
        <v>0</v>
      </c>
      <c r="E98" s="134">
        <f>E$27*VLOOKUP(Projektdaten!$G$20,Grunddaten!$C$11:$AD$44,25,FALSE) + E$28*Grunddaten!$AA$50 + E$29*Grunddaten!$AA$49 + E$30*VLOOKUP(Projektdaten!$G$24,Grunddaten!$C$47:$AD$48,25,FALSE) + E$31*Grunddaten!$AA$46 + E$32*Grunddaten!$AA$45 + E$33*Grunddaten!$AA$51 + E$34*VLOOKUP(Projektdaten!$G$22,Grunddaten!$C$52:$AD$54,25,FALSE) + E$36*Grunddaten!$AA$55+ E$37*Grunddaten!$AA$56</f>
        <v>0</v>
      </c>
      <c r="F98" s="134">
        <f>F$27*VLOOKUP(Projektdaten!$G$20,Grunddaten!$C$11:$AD$44,25,FALSE) + F$28*Grunddaten!$AA$50 + F$29*Grunddaten!$AA$49 + F$30*VLOOKUP(Projektdaten!$G$24,Grunddaten!$C$47:$AD$48,25,FALSE) + F$31*Grunddaten!$AA$46 + F$32*Grunddaten!$AA$45 + F$33*Grunddaten!$AA$51 + F$34*VLOOKUP(Projektdaten!$G$22,Grunddaten!$C$52:$AD$54,25,FALSE) + F$36*Grunddaten!$AA$55+ F$37*Grunddaten!$AA$56</f>
        <v>0</v>
      </c>
      <c r="G98" s="134">
        <f>G$27*VLOOKUP(Projektdaten!$G$20,Grunddaten!$C$11:$AD$44,25,FALSE) + G$28*Grunddaten!$AA$50 + G$29*Grunddaten!$AA$49 + G$30*VLOOKUP(Projektdaten!$G$24,Grunddaten!$C$47:$AD$48,25,FALSE) + G$31*Grunddaten!$AA$46 + G$32*Grunddaten!$AA$45 + G$33*Grunddaten!$AA$51 + G$34*VLOOKUP(Projektdaten!$G$22,Grunddaten!$C$52:$AD$54,25,FALSE) + G$36*Grunddaten!$AA$55+ G$37*Grunddaten!$AA$56</f>
        <v>0</v>
      </c>
      <c r="I98" s="195"/>
      <c r="J98"/>
      <c r="K98"/>
      <c r="L98"/>
      <c r="M98"/>
      <c r="N98"/>
      <c r="O98"/>
      <c r="P98"/>
      <c r="Q98"/>
    </row>
    <row r="99" spans="1:17" s="2" customFormat="1" ht="13.6" customHeight="1" x14ac:dyDescent="0.2">
      <c r="A99" s="29"/>
      <c r="B99" s="29"/>
      <c r="C99" s="29"/>
      <c r="D99" s="133"/>
      <c r="E99" s="133"/>
      <c r="F99" s="133"/>
      <c r="G99" s="133"/>
      <c r="I99" s="195"/>
      <c r="J99"/>
      <c r="K99"/>
      <c r="L99"/>
      <c r="M99"/>
      <c r="N99"/>
      <c r="O99"/>
      <c r="P99"/>
      <c r="Q99"/>
    </row>
    <row r="100" spans="1:17" s="2" customFormat="1" ht="13.6" customHeight="1" x14ac:dyDescent="0.2">
      <c r="A100" s="114" t="s">
        <v>168</v>
      </c>
      <c r="B100" s="114"/>
      <c r="C100" s="114" t="s">
        <v>169</v>
      </c>
      <c r="D100" s="132">
        <f>SUM(D101:D102)</f>
        <v>0</v>
      </c>
      <c r="E100" s="132">
        <f>SUM(E101:E102)</f>
        <v>0</v>
      </c>
      <c r="F100" s="132">
        <f>SUM(F101:F102)</f>
        <v>0</v>
      </c>
      <c r="G100" s="132">
        <f>SUM(G101:G102)</f>
        <v>0</v>
      </c>
      <c r="I100" s="195"/>
      <c r="J100"/>
      <c r="K100"/>
      <c r="L100"/>
      <c r="M100"/>
      <c r="N100"/>
      <c r="O100"/>
      <c r="P100"/>
      <c r="Q100" s="188"/>
    </row>
    <row r="101" spans="1:17" s="2" customFormat="1" ht="13.6" customHeight="1" x14ac:dyDescent="0.2">
      <c r="A101" s="26" t="s">
        <v>166</v>
      </c>
      <c r="B101" s="26"/>
      <c r="C101" s="26" t="s">
        <v>169</v>
      </c>
      <c r="D101" s="133">
        <f>D79</f>
        <v>0</v>
      </c>
      <c r="E101" s="133">
        <f>E79</f>
        <v>0</v>
      </c>
      <c r="F101" s="133">
        <f>F79</f>
        <v>0</v>
      </c>
      <c r="G101" s="133">
        <f>G79</f>
        <v>0</v>
      </c>
      <c r="I101" s="195"/>
      <c r="J101"/>
      <c r="K101"/>
      <c r="L101"/>
      <c r="M101"/>
      <c r="N101"/>
      <c r="O101"/>
      <c r="P101"/>
      <c r="Q101" s="188"/>
    </row>
    <row r="102" spans="1:17" x14ac:dyDescent="0.2">
      <c r="A102" s="1279" t="s">
        <v>167</v>
      </c>
      <c r="B102" s="1279"/>
      <c r="C102" s="26" t="s">
        <v>169</v>
      </c>
      <c r="D102" s="134">
        <f>D$27*VLOOKUP(Projektdaten!$G$20,Grunddaten!$C$11:$AD$44,27,FALSE) + D$28*Grunddaten!$AC$50 + D$29*Grunddaten!$AC$49 + D$30*VLOOKUP(Projektdaten!$G$24,Grunddaten!$C$47:$AD$48,27,FALSE) + D$31*Grunddaten!$AC$46 + D$32*Grunddaten!$AC$45 + D$33*Grunddaten!$AC$51 + D$34*VLOOKUP(Projektdaten!$G$22,Grunddaten!$C$52:$AD$54,27,FALSE) + D$36*Grunddaten!$AC$55+ D$37*Grunddaten!$AC$56</f>
        <v>0</v>
      </c>
      <c r="E102" s="134">
        <f>E$27*VLOOKUP(Projektdaten!$G$20,Grunddaten!$C$11:$AD$44,27,FALSE) + E$28*Grunddaten!$AC$50 + E$29*Grunddaten!$AC$49 + E$30*VLOOKUP(Projektdaten!$G$24,Grunddaten!$C$47:$AD$48,27,FALSE) + E$31*Grunddaten!$AC$46 + E$32*Grunddaten!$AC$45 + E$33*Grunddaten!$AC$51 + E$34*VLOOKUP(Projektdaten!$G$22,Grunddaten!$C$52:$AD$54,27,FALSE) + E$36*Grunddaten!$AC$55+ E$37*Grunddaten!$AC$56</f>
        <v>0</v>
      </c>
      <c r="F102" s="134">
        <f>F$27*VLOOKUP(Projektdaten!$G$20,Grunddaten!$C$11:$AD$44,27,FALSE) + F$28*Grunddaten!$AC$50 + F$29*Grunddaten!$AC$49 + F$30*VLOOKUP(Projektdaten!$G$24,Grunddaten!$C$47:$AD$48,27,FALSE) + F$31*Grunddaten!$AC$46 + F$32*Grunddaten!$AC$45 + F$33*Grunddaten!$AC$51 + F$34*VLOOKUP(Projektdaten!$G$22,Grunddaten!$C$52:$AD$54,27,FALSE) + F$36*Grunddaten!$AC$55+ F$37*Grunddaten!$AC$56</f>
        <v>0</v>
      </c>
      <c r="G102" s="134">
        <f>G$27*VLOOKUP(Projektdaten!$G$20,Grunddaten!$C$11:$AD$44,27,FALSE) + G$28*Grunddaten!$AC$50 + G$29*Grunddaten!$AC$49 + G$30*VLOOKUP(Projektdaten!$G$24,Grunddaten!$C$47:$AD$48,27,FALSE) + G$31*Grunddaten!$AC$46 + G$32*Grunddaten!$AC$45 + G$33*Grunddaten!$AC$51 + G$34*VLOOKUP(Projektdaten!$G$22,Grunddaten!$C$52:$AD$54,27,FALSE) + G$36*Grunddaten!$AC$55+ G$37*Grunddaten!$AC$56</f>
        <v>0</v>
      </c>
      <c r="J102"/>
      <c r="K102"/>
      <c r="L102"/>
      <c r="M102"/>
      <c r="N102"/>
      <c r="O102"/>
      <c r="P102"/>
    </row>
    <row r="103" spans="1:17" x14ac:dyDescent="0.2">
      <c r="A103" s="1458"/>
      <c r="B103" s="1458"/>
      <c r="C103" s="1459"/>
      <c r="D103" s="135"/>
      <c r="E103" s="135"/>
      <c r="F103" s="135"/>
      <c r="G103" s="135"/>
      <c r="J103"/>
      <c r="K103"/>
      <c r="L103"/>
      <c r="M103"/>
      <c r="N103"/>
      <c r="O103"/>
      <c r="P103"/>
    </row>
    <row r="104" spans="1:17" x14ac:dyDescent="0.2">
      <c r="J104"/>
      <c r="K104"/>
      <c r="L104"/>
      <c r="M104"/>
      <c r="N104"/>
      <c r="O104"/>
      <c r="P104"/>
    </row>
    <row r="105" spans="1:17" x14ac:dyDescent="0.2">
      <c r="J105"/>
      <c r="K105"/>
      <c r="L105"/>
      <c r="M105"/>
      <c r="N105"/>
      <c r="O105"/>
      <c r="P105"/>
    </row>
  </sheetData>
  <sheetProtection algorithmName="SHA-512" hashValue="Zw0ALf4gVDW3AXAugegLCzlQsykguT0NrwKAmj1FLSyzLHqXPeMI53eTGD6ecZzumCW6cuNtjPoWWKMsCqBUKw==" saltValue="x38cEIljSm/gNXNwSeAlJw==" spinCount="100000" sheet="1" objects="1" scenarios="1" selectLockedCells="1"/>
  <mergeCells count="1">
    <mergeCell ref="A21:C21"/>
  </mergeCells>
  <phoneticPr fontId="9" type="noConversion"/>
  <hyperlinks>
    <hyperlink ref="E2" location="Neu_in_Version" display="i"/>
  </hyperlinks>
  <pageMargins left="0.70866141732283472" right="0.70866141732283472" top="0.39370078740157483" bottom="0.98425196850393704" header="0.39370078740157483" footer="0.39370078740157483"/>
  <pageSetup paperSize="9" scale="92" fitToHeight="2" orientation="portrait" r:id="rId1"/>
  <headerFooter scaleWithDoc="0">
    <oddFooter>&amp;L&amp;8&amp;G&amp;CSeite &amp;P/&amp;N&amp;6
                                                          &amp;D/&amp;F&amp;R&amp;7&amp;G</oddFooter>
  </headerFooter>
  <rowBreaks count="1" manualBreakCount="1">
    <brk id="55" max="6" man="1"/>
  </rowBreaks>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0000"/>
    <pageSetUpPr fitToPage="1"/>
  </sheetPr>
  <dimension ref="A1:Q137"/>
  <sheetViews>
    <sheetView showGridLines="0" zoomScaleNormal="100" zoomScaleSheetLayoutView="100" workbookViewId="0">
      <selection activeCell="G2" sqref="G2"/>
    </sheetView>
  </sheetViews>
  <sheetFormatPr baseColWidth="10" defaultColWidth="9.25" defaultRowHeight="12.9" x14ac:dyDescent="0.2"/>
  <cols>
    <col min="1" max="2" width="9.25" style="174" customWidth="1"/>
    <col min="3" max="4" width="9.25" style="174"/>
    <col min="5" max="5" width="10.125" style="174" bestFit="1" customWidth="1"/>
    <col min="6" max="9" width="9.25" style="174"/>
    <col min="10" max="10" width="9.625" style="174" customWidth="1"/>
    <col min="11" max="16384" width="9.25" style="174"/>
  </cols>
  <sheetData>
    <row r="1" spans="1:17" ht="56.25" customHeight="1" x14ac:dyDescent="0.2">
      <c r="D1" s="175"/>
      <c r="E1" s="175"/>
      <c r="F1" s="175"/>
      <c r="G1" s="175"/>
      <c r="H1" s="151"/>
      <c r="I1" s="151"/>
      <c r="J1" s="151"/>
      <c r="K1" s="151"/>
      <c r="L1" s="151"/>
      <c r="M1" s="151"/>
      <c r="N1" s="151"/>
      <c r="O1" s="151"/>
      <c r="P1" s="151"/>
      <c r="Q1" s="151"/>
    </row>
    <row r="2" spans="1:17" ht="13.6" customHeight="1" x14ac:dyDescent="0.25">
      <c r="A2" s="156" t="str">
        <f>CONCATENATE("Variantenvergleich Energiesysteme - Version ",Versionsinfo!$B$4)</f>
        <v>Variantenvergleich Energiesysteme - Version 2.2</v>
      </c>
      <c r="B2" s="156"/>
      <c r="C2" s="156"/>
      <c r="D2" s="156"/>
      <c r="E2" s="156"/>
      <c r="F2" s="1535"/>
      <c r="G2" s="1536" t="s">
        <v>684</v>
      </c>
      <c r="H2" s="151"/>
      <c r="I2" s="151"/>
      <c r="J2" s="151"/>
      <c r="K2" s="151"/>
      <c r="L2" s="151"/>
      <c r="M2" s="151"/>
      <c r="N2" s="151"/>
      <c r="O2" s="151"/>
      <c r="P2" s="151"/>
      <c r="Q2" s="151"/>
    </row>
    <row r="3" spans="1:17" ht="12.75" customHeight="1" x14ac:dyDescent="0.2">
      <c r="A3" s="153" t="s">
        <v>178</v>
      </c>
    </row>
    <row r="4" spans="1:17" ht="22.6" customHeight="1" x14ac:dyDescent="0.2">
      <c r="A4" s="872"/>
    </row>
    <row r="5" spans="1:17" ht="32.950000000000003" customHeight="1" x14ac:dyDescent="0.2">
      <c r="A5" s="179" t="s">
        <v>0</v>
      </c>
    </row>
    <row r="6" spans="1:17" ht="18" customHeight="1" x14ac:dyDescent="0.25">
      <c r="A6" s="1907" t="s">
        <v>186</v>
      </c>
      <c r="B6" s="1907"/>
      <c r="C6" s="1907"/>
      <c r="D6" s="1907"/>
      <c r="E6" s="1907"/>
      <c r="F6" s="1907"/>
      <c r="G6" s="1907"/>
      <c r="H6" s="1907"/>
      <c r="I6" s="1907"/>
      <c r="J6" s="1907"/>
    </row>
    <row r="7" spans="1:17" ht="27.7" customHeight="1" x14ac:dyDescent="0.2">
      <c r="A7" s="1888" t="s">
        <v>187</v>
      </c>
      <c r="B7" s="1888"/>
      <c r="C7" s="1888"/>
      <c r="D7" s="1888"/>
      <c r="E7" s="1888"/>
      <c r="F7" s="1888"/>
      <c r="G7" s="1888"/>
      <c r="H7" s="1888"/>
      <c r="I7" s="1888"/>
      <c r="J7" s="1888"/>
    </row>
    <row r="8" spans="1:17" ht="12.75" customHeight="1" x14ac:dyDescent="0.2"/>
    <row r="9" spans="1:17" s="120" customFormat="1" ht="77.95" customHeight="1" x14ac:dyDescent="0.2">
      <c r="A9" s="180" t="s">
        <v>185</v>
      </c>
      <c r="C9" s="1878" t="s">
        <v>189</v>
      </c>
      <c r="D9" s="1878"/>
      <c r="E9" s="1878"/>
      <c r="F9" s="1878"/>
      <c r="G9" s="1878"/>
      <c r="H9" s="1878"/>
      <c r="I9" s="1878"/>
      <c r="J9" s="1878"/>
    </row>
    <row r="10" spans="1:17" ht="9.6999999999999993" customHeight="1" x14ac:dyDescent="0.2"/>
    <row r="11" spans="1:17" s="120" customFormat="1" ht="89.35" customHeight="1" x14ac:dyDescent="0.2">
      <c r="A11" s="180" t="s">
        <v>188</v>
      </c>
      <c r="C11" s="1878" t="s">
        <v>190</v>
      </c>
      <c r="D11" s="1878"/>
      <c r="E11" s="1878"/>
      <c r="F11" s="1878"/>
      <c r="G11" s="1878"/>
      <c r="H11" s="1878"/>
      <c r="I11" s="1878"/>
      <c r="J11" s="1878"/>
    </row>
    <row r="12" spans="1:17" ht="179.35" customHeight="1" x14ac:dyDescent="0.2">
      <c r="C12" s="1886"/>
      <c r="D12" s="1886"/>
      <c r="E12" s="1886"/>
      <c r="F12" s="1886"/>
      <c r="G12" s="1886"/>
      <c r="H12" s="1886"/>
      <c r="I12" s="1886"/>
      <c r="J12" s="1886"/>
    </row>
    <row r="13" spans="1:17" ht="9.6999999999999993" customHeight="1" x14ac:dyDescent="0.2"/>
    <row r="14" spans="1:17" s="120" customFormat="1" ht="15.8" customHeight="1" x14ac:dyDescent="0.2">
      <c r="A14" s="180" t="s">
        <v>193</v>
      </c>
      <c r="C14" s="1887" t="s">
        <v>194</v>
      </c>
      <c r="D14" s="1887"/>
      <c r="E14" s="1887"/>
      <c r="F14" s="1887"/>
      <c r="G14" s="1887"/>
      <c r="H14" s="1887"/>
      <c r="I14" s="1887"/>
      <c r="J14" s="1887"/>
    </row>
    <row r="15" spans="1:17" s="120" customFormat="1" ht="27.7" customHeight="1" x14ac:dyDescent="0.2">
      <c r="C15" s="1877" t="s">
        <v>642</v>
      </c>
      <c r="D15" s="1877"/>
      <c r="E15" s="1877"/>
      <c r="F15" s="1877"/>
      <c r="G15" s="1877"/>
      <c r="H15" s="1877"/>
      <c r="I15" s="1877"/>
      <c r="J15" s="1877"/>
    </row>
    <row r="16" spans="1:17" s="120" customFormat="1" ht="54" customHeight="1" x14ac:dyDescent="0.2">
      <c r="C16" s="1885" t="s">
        <v>722</v>
      </c>
      <c r="D16" s="1877"/>
      <c r="E16" s="1877"/>
      <c r="F16" s="1877"/>
      <c r="G16" s="1877"/>
      <c r="H16" s="1877"/>
      <c r="I16" s="1877"/>
      <c r="J16" s="1877"/>
    </row>
    <row r="17" spans="1:12" s="120" customFormat="1" ht="27.7" customHeight="1" x14ac:dyDescent="0.2">
      <c r="C17" s="1885" t="s">
        <v>646</v>
      </c>
      <c r="D17" s="1877"/>
      <c r="E17" s="1877"/>
      <c r="F17" s="1877"/>
      <c r="G17" s="1877"/>
      <c r="H17" s="1877"/>
      <c r="I17" s="1877"/>
      <c r="J17" s="1877"/>
    </row>
    <row r="18" spans="1:12" s="120" customFormat="1" ht="15.8" customHeight="1" x14ac:dyDescent="0.2">
      <c r="C18" s="1885" t="s">
        <v>647</v>
      </c>
      <c r="D18" s="1877"/>
      <c r="E18" s="1877"/>
      <c r="F18" s="1877"/>
      <c r="G18" s="1877"/>
      <c r="H18" s="1877"/>
      <c r="I18" s="1877"/>
      <c r="J18" s="1877"/>
      <c r="L18" s="184"/>
    </row>
    <row r="19" spans="1:12" s="120" customFormat="1" ht="15.8" customHeight="1" x14ac:dyDescent="0.2">
      <c r="C19" s="1885" t="s">
        <v>818</v>
      </c>
      <c r="D19" s="1877"/>
      <c r="E19" s="1877"/>
      <c r="F19" s="1877"/>
      <c r="G19" s="1877"/>
      <c r="H19" s="1877"/>
      <c r="I19" s="1877"/>
      <c r="J19" s="1877"/>
    </row>
    <row r="20" spans="1:12" s="120" customFormat="1" ht="27.7" customHeight="1" x14ac:dyDescent="0.2">
      <c r="C20" s="1885" t="s">
        <v>204</v>
      </c>
      <c r="D20" s="1877"/>
      <c r="E20" s="1877"/>
      <c r="F20" s="1877"/>
      <c r="G20" s="1877"/>
      <c r="H20" s="1877"/>
      <c r="I20" s="1877"/>
      <c r="J20" s="1877"/>
    </row>
    <row r="21" spans="1:12" s="120" customFormat="1" ht="15.8" customHeight="1" x14ac:dyDescent="0.2">
      <c r="C21" s="1885" t="s">
        <v>575</v>
      </c>
      <c r="D21" s="1877"/>
      <c r="E21" s="1877"/>
      <c r="F21" s="1877"/>
      <c r="G21" s="1877"/>
      <c r="H21" s="1877"/>
      <c r="I21" s="1877"/>
      <c r="J21" s="1877"/>
    </row>
    <row r="22" spans="1:12" s="120" customFormat="1" ht="27" customHeight="1" x14ac:dyDescent="0.2">
      <c r="A22" s="180"/>
      <c r="C22" s="1878" t="s">
        <v>198</v>
      </c>
      <c r="D22" s="1878"/>
      <c r="E22" s="1878"/>
      <c r="F22" s="1878"/>
      <c r="G22" s="1878"/>
      <c r="H22" s="1878"/>
      <c r="I22" s="1878"/>
      <c r="J22" s="1878"/>
    </row>
    <row r="23" spans="1:12" s="120" customFormat="1" ht="9.6999999999999993" customHeight="1" x14ac:dyDescent="0.2">
      <c r="A23" s="180"/>
      <c r="C23" s="183"/>
      <c r="D23" s="183"/>
      <c r="E23" s="183"/>
      <c r="F23" s="183"/>
      <c r="G23" s="183"/>
      <c r="H23" s="183"/>
      <c r="I23" s="183"/>
      <c r="J23" s="183"/>
    </row>
    <row r="24" spans="1:12" ht="14.95" customHeight="1" x14ac:dyDescent="0.2">
      <c r="A24" s="182" t="s">
        <v>191</v>
      </c>
      <c r="B24" s="2"/>
      <c r="C24" s="1876" t="s">
        <v>200</v>
      </c>
      <c r="D24" s="1876"/>
      <c r="E24" s="1876" t="s">
        <v>201</v>
      </c>
      <c r="F24" s="1876"/>
      <c r="G24" s="1876"/>
      <c r="H24" s="1876" t="s">
        <v>199</v>
      </c>
      <c r="I24" s="1876"/>
      <c r="J24" s="1876"/>
    </row>
    <row r="25" spans="1:12" s="120" customFormat="1" ht="14.95" customHeight="1" x14ac:dyDescent="0.2">
      <c r="C25" s="1872" t="s">
        <v>111</v>
      </c>
      <c r="D25" s="1873"/>
      <c r="E25" s="1895" t="s">
        <v>206</v>
      </c>
      <c r="F25" s="1895"/>
      <c r="G25" s="1895"/>
      <c r="H25" s="1891" t="s">
        <v>202</v>
      </c>
      <c r="I25" s="1892"/>
      <c r="J25" s="1892"/>
    </row>
    <row r="26" spans="1:12" ht="27.7" customHeight="1" x14ac:dyDescent="0.2">
      <c r="C26" s="1889"/>
      <c r="D26" s="1890"/>
      <c r="E26" s="1896"/>
      <c r="F26" s="1896"/>
      <c r="G26" s="1896"/>
      <c r="H26" s="1893" t="s">
        <v>203</v>
      </c>
      <c r="I26" s="1894"/>
      <c r="J26" s="1894"/>
    </row>
    <row r="27" spans="1:12" s="327" customFormat="1" ht="27.7" customHeight="1" x14ac:dyDescent="0.2">
      <c r="C27" s="325"/>
      <c r="D27" s="326"/>
      <c r="E27" s="1896"/>
      <c r="F27" s="1896"/>
      <c r="G27" s="1896"/>
      <c r="H27" s="1893" t="s">
        <v>636</v>
      </c>
      <c r="I27" s="1894"/>
      <c r="J27" s="1894"/>
    </row>
    <row r="28" spans="1:12" s="1364" customFormat="1" ht="27.7" customHeight="1" x14ac:dyDescent="0.2">
      <c r="C28" s="1362"/>
      <c r="D28" s="1363"/>
      <c r="E28" s="1896"/>
      <c r="F28" s="1896"/>
      <c r="G28" s="1896"/>
      <c r="H28" s="1893" t="s">
        <v>746</v>
      </c>
      <c r="I28" s="1894"/>
      <c r="J28" s="1894"/>
    </row>
    <row r="29" spans="1:12" s="1364" customFormat="1" ht="27.7" customHeight="1" x14ac:dyDescent="0.2">
      <c r="C29" s="1362"/>
      <c r="D29" s="1363"/>
      <c r="E29" s="1896"/>
      <c r="F29" s="1896"/>
      <c r="G29" s="1896"/>
      <c r="H29" s="1893" t="s">
        <v>637</v>
      </c>
      <c r="I29" s="1894"/>
      <c r="J29" s="1894"/>
    </row>
    <row r="30" spans="1:12" ht="27.7" customHeight="1" x14ac:dyDescent="0.2">
      <c r="C30" s="1908"/>
      <c r="D30" s="1909"/>
      <c r="E30" s="1896"/>
      <c r="F30" s="1896"/>
      <c r="G30" s="1896"/>
      <c r="H30" s="1893" t="s">
        <v>217</v>
      </c>
      <c r="I30" s="1894"/>
      <c r="J30" s="1894"/>
    </row>
    <row r="31" spans="1:12" ht="27.7" customHeight="1" x14ac:dyDescent="0.2">
      <c r="C31" s="1898"/>
      <c r="D31" s="1899"/>
      <c r="E31" s="1897"/>
      <c r="F31" s="1897"/>
      <c r="G31" s="1897"/>
      <c r="H31" s="1900" t="s">
        <v>205</v>
      </c>
      <c r="I31" s="1901"/>
      <c r="J31" s="1901"/>
    </row>
    <row r="32" spans="1:12" s="120" customFormat="1" ht="14.3" customHeight="1" x14ac:dyDescent="0.2">
      <c r="C32" s="1870" t="s">
        <v>262</v>
      </c>
      <c r="D32" s="1871"/>
      <c r="E32" s="1895" t="s">
        <v>288</v>
      </c>
      <c r="F32" s="1895"/>
      <c r="G32" s="1895"/>
      <c r="H32" s="1846" t="s">
        <v>756</v>
      </c>
      <c r="I32" s="1847"/>
      <c r="J32" s="1848"/>
    </row>
    <row r="33" spans="3:10" s="120" customFormat="1" ht="39.75" customHeight="1" x14ac:dyDescent="0.2">
      <c r="C33" s="1532"/>
      <c r="D33" s="1533"/>
      <c r="E33" s="1896"/>
      <c r="F33" s="1896"/>
      <c r="G33" s="1896"/>
      <c r="H33" s="1841"/>
      <c r="I33" s="1842"/>
      <c r="J33" s="1843"/>
    </row>
    <row r="34" spans="3:10" s="176" customFormat="1" ht="54" customHeight="1" x14ac:dyDescent="0.2">
      <c r="C34" s="1898"/>
      <c r="D34" s="1899"/>
      <c r="E34" s="1897"/>
      <c r="F34" s="1897"/>
      <c r="G34" s="1897"/>
      <c r="H34" s="1900" t="s">
        <v>648</v>
      </c>
      <c r="I34" s="1901"/>
      <c r="J34" s="1901"/>
    </row>
    <row r="35" spans="3:10" s="120" customFormat="1" ht="14.3" customHeight="1" x14ac:dyDescent="0.2">
      <c r="C35" s="1865" t="s">
        <v>208</v>
      </c>
      <c r="D35" s="1866"/>
      <c r="E35" s="1895" t="s">
        <v>207</v>
      </c>
      <c r="F35" s="1895"/>
      <c r="G35" s="1895"/>
      <c r="H35" s="1846" t="s">
        <v>214</v>
      </c>
      <c r="I35" s="1847"/>
      <c r="J35" s="1848"/>
    </row>
    <row r="36" spans="3:10" s="120" customFormat="1" ht="12.1" customHeight="1" x14ac:dyDescent="0.2">
      <c r="C36" s="1889"/>
      <c r="D36" s="1890"/>
      <c r="E36" s="1896"/>
      <c r="F36" s="1896"/>
      <c r="G36" s="1896"/>
      <c r="H36" s="1841"/>
      <c r="I36" s="1842"/>
      <c r="J36" s="1843"/>
    </row>
    <row r="37" spans="3:10" s="176" customFormat="1" ht="27.7" customHeight="1" x14ac:dyDescent="0.2">
      <c r="C37" s="1889"/>
      <c r="D37" s="1890"/>
      <c r="E37" s="1896"/>
      <c r="F37" s="1896"/>
      <c r="G37" s="1896"/>
      <c r="H37" s="1893" t="s">
        <v>209</v>
      </c>
      <c r="I37" s="1894"/>
      <c r="J37" s="1894"/>
    </row>
    <row r="38" spans="3:10" s="1364" customFormat="1" ht="27" customHeight="1" x14ac:dyDescent="0.2">
      <c r="C38" s="1889"/>
      <c r="D38" s="1890"/>
      <c r="E38" s="1896"/>
      <c r="F38" s="1896"/>
      <c r="G38" s="1896"/>
      <c r="H38" s="1893" t="s">
        <v>638</v>
      </c>
      <c r="I38" s="1894"/>
      <c r="J38" s="1894"/>
    </row>
    <row r="39" spans="3:10" s="176" customFormat="1" ht="27.7" customHeight="1" x14ac:dyDescent="0.2">
      <c r="C39" s="1898"/>
      <c r="D39" s="1899"/>
      <c r="E39" s="1897"/>
      <c r="F39" s="1897"/>
      <c r="G39" s="1897"/>
      <c r="H39" s="1900" t="s">
        <v>210</v>
      </c>
      <c r="I39" s="1901"/>
      <c r="J39" s="1901"/>
    </row>
    <row r="40" spans="3:10" s="120" customFormat="1" ht="14.95" customHeight="1" x14ac:dyDescent="0.2">
      <c r="C40" s="1857" t="s">
        <v>213</v>
      </c>
      <c r="D40" s="1858"/>
      <c r="E40" s="1895" t="s">
        <v>725</v>
      </c>
      <c r="F40" s="1895"/>
      <c r="G40" s="1895"/>
      <c r="H40" s="1846" t="s">
        <v>215</v>
      </c>
      <c r="I40" s="1847"/>
      <c r="J40" s="1848"/>
    </row>
    <row r="41" spans="3:10" s="120" customFormat="1" ht="24.8" customHeight="1" x14ac:dyDescent="0.2">
      <c r="C41" s="1889"/>
      <c r="D41" s="1890"/>
      <c r="E41" s="1896"/>
      <c r="F41" s="1896"/>
      <c r="G41" s="1896"/>
      <c r="H41" s="1841"/>
      <c r="I41" s="1842"/>
      <c r="J41" s="1843"/>
    </row>
    <row r="42" spans="3:10" s="176" customFormat="1" ht="27" customHeight="1" x14ac:dyDescent="0.2">
      <c r="C42" s="1889"/>
      <c r="D42" s="1890"/>
      <c r="E42" s="1896"/>
      <c r="F42" s="1896"/>
      <c r="G42" s="1896"/>
      <c r="H42" s="1893" t="s">
        <v>741</v>
      </c>
      <c r="I42" s="1894"/>
      <c r="J42" s="1894"/>
    </row>
    <row r="43" spans="3:10" s="176" customFormat="1" ht="15.8" customHeight="1" x14ac:dyDescent="0.2">
      <c r="C43" s="1898"/>
      <c r="D43" s="1899"/>
      <c r="E43" s="1897"/>
      <c r="F43" s="1897"/>
      <c r="G43" s="1897"/>
      <c r="H43" s="1900" t="s">
        <v>639</v>
      </c>
      <c r="I43" s="1901"/>
      <c r="J43" s="1901"/>
    </row>
    <row r="44" spans="3:10" s="120" customFormat="1" ht="14.95" customHeight="1" x14ac:dyDescent="0.2">
      <c r="C44" s="1844" t="s">
        <v>576</v>
      </c>
      <c r="D44" s="1845"/>
      <c r="E44" s="1895" t="s">
        <v>577</v>
      </c>
      <c r="F44" s="1895"/>
      <c r="G44" s="1895"/>
      <c r="H44" s="1846" t="s">
        <v>215</v>
      </c>
      <c r="I44" s="1847"/>
      <c r="J44" s="1848"/>
    </row>
    <row r="45" spans="3:10" s="120" customFormat="1" ht="24.8" customHeight="1" x14ac:dyDescent="0.2">
      <c r="C45" s="1889"/>
      <c r="D45" s="1890"/>
      <c r="E45" s="1896"/>
      <c r="F45" s="1896"/>
      <c r="G45" s="1896"/>
      <c r="H45" s="1841"/>
      <c r="I45" s="1842"/>
      <c r="J45" s="1843"/>
    </row>
    <row r="46" spans="3:10" s="1251" customFormat="1" ht="27" customHeight="1" x14ac:dyDescent="0.2">
      <c r="C46" s="1889"/>
      <c r="D46" s="1890"/>
      <c r="E46" s="1896"/>
      <c r="F46" s="1896"/>
      <c r="G46" s="1896"/>
      <c r="H46" s="1893" t="s">
        <v>741</v>
      </c>
      <c r="I46" s="1894"/>
      <c r="J46" s="1894"/>
    </row>
    <row r="47" spans="3:10" s="120" customFormat="1" ht="14.95" customHeight="1" x14ac:dyDescent="0.2">
      <c r="C47" s="1857" t="s">
        <v>211</v>
      </c>
      <c r="D47" s="1858"/>
      <c r="E47" s="1895" t="s">
        <v>212</v>
      </c>
      <c r="F47" s="1895"/>
      <c r="G47" s="1895"/>
      <c r="H47" s="1903" t="s">
        <v>220</v>
      </c>
      <c r="I47" s="1903"/>
      <c r="J47" s="1903"/>
    </row>
    <row r="48" spans="3:10" s="176" customFormat="1" ht="14.95" customHeight="1" x14ac:dyDescent="0.2">
      <c r="C48" s="1898"/>
      <c r="D48" s="1899"/>
      <c r="E48" s="1897"/>
      <c r="F48" s="1897"/>
      <c r="G48" s="1897"/>
      <c r="H48" s="1849"/>
      <c r="I48" s="1850"/>
      <c r="J48" s="1851"/>
    </row>
    <row r="49" spans="1:10" s="120" customFormat="1" ht="14.95" customHeight="1" x14ac:dyDescent="0.2">
      <c r="C49" s="1854" t="s">
        <v>193</v>
      </c>
      <c r="D49" s="1855"/>
      <c r="E49" s="1895" t="s">
        <v>248</v>
      </c>
      <c r="F49" s="1895"/>
      <c r="G49" s="1895"/>
      <c r="H49" s="1846" t="s">
        <v>649</v>
      </c>
      <c r="I49" s="1847"/>
      <c r="J49" s="1848"/>
    </row>
    <row r="50" spans="1:10" s="120" customFormat="1" ht="12.75" customHeight="1" x14ac:dyDescent="0.2">
      <c r="C50" s="1910"/>
      <c r="D50" s="1911"/>
      <c r="E50" s="1896"/>
      <c r="F50" s="1896"/>
      <c r="G50" s="1896"/>
      <c r="H50" s="1841"/>
      <c r="I50" s="1842"/>
      <c r="J50" s="1843"/>
    </row>
    <row r="51" spans="1:10" s="185" customFormat="1" ht="41.3" customHeight="1" x14ac:dyDescent="0.2">
      <c r="C51" s="1889"/>
      <c r="D51" s="1890"/>
      <c r="E51" s="1896"/>
      <c r="F51" s="1896"/>
      <c r="G51" s="1896"/>
      <c r="H51" s="1893" t="s">
        <v>218</v>
      </c>
      <c r="I51" s="1894"/>
      <c r="J51" s="1894"/>
    </row>
    <row r="52" spans="1:10" s="185" customFormat="1" ht="41.3" customHeight="1" x14ac:dyDescent="0.2">
      <c r="C52" s="1898"/>
      <c r="D52" s="1899"/>
      <c r="E52" s="1897"/>
      <c r="F52" s="1897"/>
      <c r="G52" s="1897"/>
      <c r="H52" s="1900" t="s">
        <v>219</v>
      </c>
      <c r="I52" s="1901"/>
      <c r="J52" s="1901"/>
    </row>
    <row r="53" spans="1:10" s="120" customFormat="1" ht="14.3" customHeight="1" x14ac:dyDescent="0.2">
      <c r="C53" s="1852" t="s">
        <v>107</v>
      </c>
      <c r="D53" s="1853"/>
      <c r="E53" s="1895" t="s">
        <v>221</v>
      </c>
      <c r="F53" s="1895"/>
      <c r="G53" s="1895"/>
      <c r="H53" s="1903" t="s">
        <v>220</v>
      </c>
      <c r="I53" s="1903"/>
      <c r="J53" s="1903"/>
    </row>
    <row r="54" spans="1:10" s="185" customFormat="1" ht="54" customHeight="1" x14ac:dyDescent="0.2">
      <c r="C54" s="1898"/>
      <c r="D54" s="1899"/>
      <c r="E54" s="1897"/>
      <c r="F54" s="1897"/>
      <c r="G54" s="1897"/>
      <c r="H54" s="1904" t="s">
        <v>222</v>
      </c>
      <c r="I54" s="1905"/>
      <c r="J54" s="1906"/>
    </row>
    <row r="55" spans="1:10" ht="7.5" customHeight="1" x14ac:dyDescent="0.2"/>
    <row r="56" spans="1:10" s="120" customFormat="1" ht="12.75" customHeight="1" x14ac:dyDescent="0.2">
      <c r="A56" s="180"/>
      <c r="C56" s="181" t="s">
        <v>726</v>
      </c>
    </row>
    <row r="57" spans="1:10" s="120" customFormat="1" ht="27" customHeight="1" x14ac:dyDescent="0.2">
      <c r="A57" s="180"/>
      <c r="C57" s="1877" t="s">
        <v>727</v>
      </c>
      <c r="D57" s="1877"/>
      <c r="E57" s="1877"/>
      <c r="F57" s="1877"/>
      <c r="G57" s="1877"/>
      <c r="H57" s="1877"/>
      <c r="I57" s="1877"/>
      <c r="J57" s="1877"/>
    </row>
    <row r="58" spans="1:10" s="208" customFormat="1" x14ac:dyDescent="0.2"/>
    <row r="59" spans="1:10" s="208" customFormat="1" ht="26.35" customHeight="1" x14ac:dyDescent="0.2">
      <c r="A59" s="180" t="s">
        <v>231</v>
      </c>
      <c r="B59" s="120"/>
      <c r="C59" s="1878" t="s">
        <v>247</v>
      </c>
      <c r="D59" s="1879"/>
      <c r="E59" s="1879"/>
      <c r="F59" s="1879"/>
      <c r="G59" s="1879"/>
      <c r="H59" s="1879"/>
      <c r="I59" s="1879"/>
      <c r="J59" s="1879"/>
    </row>
    <row r="60" spans="1:10" s="208" customFormat="1" ht="7.5" customHeight="1" x14ac:dyDescent="0.2"/>
    <row r="61" spans="1:10" x14ac:dyDescent="0.2">
      <c r="C61" s="202" t="s">
        <v>227</v>
      </c>
      <c r="D61" s="203"/>
      <c r="E61" s="203"/>
      <c r="F61" s="203"/>
      <c r="G61" s="127" t="s">
        <v>228</v>
      </c>
    </row>
    <row r="62" spans="1:10" x14ac:dyDescent="0.2">
      <c r="C62" s="204" t="s">
        <v>229</v>
      </c>
      <c r="D62" s="205"/>
      <c r="E62" s="205"/>
      <c r="F62" s="205"/>
      <c r="G62" s="206" t="s">
        <v>230</v>
      </c>
      <c r="H62" s="207"/>
      <c r="I62" s="207"/>
      <c r="J62" s="207"/>
    </row>
    <row r="63" spans="1:10" x14ac:dyDescent="0.2">
      <c r="C63" s="127" t="s">
        <v>232</v>
      </c>
    </row>
    <row r="64" spans="1:10" ht="7.5" customHeight="1" x14ac:dyDescent="0.2"/>
    <row r="65" spans="1:10" x14ac:dyDescent="0.2">
      <c r="C65" s="200" t="s">
        <v>234</v>
      </c>
      <c r="D65" s="201"/>
      <c r="E65" s="201"/>
      <c r="F65" s="201"/>
      <c r="G65" s="201"/>
      <c r="H65" s="201"/>
      <c r="I65" s="201"/>
    </row>
    <row r="67" spans="1:10" ht="9" customHeight="1" x14ac:dyDescent="0.2"/>
    <row r="68" spans="1:10" s="208" customFormat="1" x14ac:dyDescent="0.2"/>
    <row r="69" spans="1:10" s="208" customFormat="1" ht="50.95" customHeight="1" x14ac:dyDescent="0.2">
      <c r="A69" s="1902" t="s">
        <v>243</v>
      </c>
      <c r="B69" s="1902"/>
      <c r="C69" s="1878" t="s">
        <v>244</v>
      </c>
      <c r="D69" s="1879"/>
      <c r="E69" s="1879"/>
      <c r="F69" s="1879"/>
      <c r="G69" s="1879"/>
      <c r="H69" s="1879"/>
      <c r="I69" s="1879"/>
      <c r="J69" s="1879"/>
    </row>
    <row r="70" spans="1:10" s="208" customFormat="1" ht="7.5" customHeight="1" x14ac:dyDescent="0.2"/>
    <row r="71" spans="1:10" ht="39.1" customHeight="1" x14ac:dyDescent="0.2">
      <c r="C71" s="1878" t="s">
        <v>245</v>
      </c>
      <c r="D71" s="1879"/>
      <c r="E71" s="1879"/>
      <c r="F71" s="1879"/>
      <c r="G71" s="1879"/>
      <c r="H71" s="1879"/>
      <c r="I71" s="1879"/>
      <c r="J71" s="1879"/>
    </row>
    <row r="72" spans="1:10" ht="7.5" customHeight="1" x14ac:dyDescent="0.2"/>
    <row r="73" spans="1:10" s="208" customFormat="1" ht="39.1" customHeight="1" x14ac:dyDescent="0.2">
      <c r="C73" s="1878" t="s">
        <v>246</v>
      </c>
      <c r="D73" s="1879"/>
      <c r="E73" s="1879"/>
      <c r="F73" s="1879"/>
      <c r="G73" s="1879"/>
      <c r="H73" s="1879"/>
      <c r="I73" s="1879"/>
      <c r="J73" s="1879"/>
    </row>
    <row r="74" spans="1:10" s="1790" customFormat="1" ht="14.3" customHeight="1" x14ac:dyDescent="0.2"/>
    <row r="75" spans="1:10" s="1790" customFormat="1" ht="13.6" x14ac:dyDescent="0.25">
      <c r="A75" s="152" t="s">
        <v>839</v>
      </c>
      <c r="C75" s="1876" t="s">
        <v>200</v>
      </c>
      <c r="D75" s="1876"/>
      <c r="E75" s="1876" t="s">
        <v>182</v>
      </c>
      <c r="F75" s="1876"/>
      <c r="G75" s="1876"/>
      <c r="H75" s="1876"/>
      <c r="I75" s="1876"/>
      <c r="J75" s="1876"/>
    </row>
    <row r="76" spans="1:10" s="1838" customFormat="1" x14ac:dyDescent="0.2">
      <c r="C76" s="1872" t="s">
        <v>111</v>
      </c>
      <c r="D76" s="1873"/>
      <c r="E76" s="1841" t="s">
        <v>857</v>
      </c>
      <c r="F76" s="1842"/>
      <c r="G76" s="1842"/>
      <c r="H76" s="1842"/>
      <c r="I76" s="1842"/>
      <c r="J76" s="1843"/>
    </row>
    <row r="77" spans="1:10" s="1838" customFormat="1" ht="13.6" customHeight="1" x14ac:dyDescent="0.2">
      <c r="C77" s="1836"/>
      <c r="D77" s="1837"/>
      <c r="E77" s="1841"/>
      <c r="F77" s="1842"/>
      <c r="G77" s="1842"/>
      <c r="H77" s="1842"/>
      <c r="I77" s="1842"/>
      <c r="J77" s="1843"/>
    </row>
    <row r="78" spans="1:10" s="1790" customFormat="1" ht="13.6" customHeight="1" x14ac:dyDescent="0.2">
      <c r="C78" s="1870" t="s">
        <v>262</v>
      </c>
      <c r="D78" s="1871"/>
      <c r="E78" s="1846" t="s">
        <v>795</v>
      </c>
      <c r="F78" s="1847"/>
      <c r="G78" s="1847"/>
      <c r="H78" s="1847"/>
      <c r="I78" s="1847"/>
      <c r="J78" s="1848"/>
    </row>
    <row r="79" spans="1:10" s="1838" customFormat="1" ht="13.6" customHeight="1" x14ac:dyDescent="0.2">
      <c r="C79" s="1839"/>
      <c r="D79" s="1840"/>
      <c r="E79" s="1841" t="s">
        <v>796</v>
      </c>
      <c r="F79" s="1842"/>
      <c r="G79" s="1842"/>
      <c r="H79" s="1842"/>
      <c r="I79" s="1842"/>
      <c r="J79" s="1843"/>
    </row>
    <row r="80" spans="1:10" s="1790" customFormat="1" ht="27" customHeight="1" x14ac:dyDescent="0.2">
      <c r="C80" s="1788"/>
      <c r="D80" s="1789"/>
      <c r="E80" s="1841" t="s">
        <v>856</v>
      </c>
      <c r="F80" s="1842"/>
      <c r="G80" s="1842"/>
      <c r="H80" s="1842"/>
      <c r="I80" s="1842"/>
      <c r="J80" s="1843"/>
    </row>
    <row r="81" spans="1:10" s="1790" customFormat="1" ht="12.75" customHeight="1" x14ac:dyDescent="0.2">
      <c r="C81" s="1844" t="s">
        <v>576</v>
      </c>
      <c r="D81" s="1845"/>
      <c r="E81" s="1846" t="s">
        <v>840</v>
      </c>
      <c r="F81" s="1847"/>
      <c r="G81" s="1847"/>
      <c r="H81" s="1847"/>
      <c r="I81" s="1847"/>
      <c r="J81" s="1848"/>
    </row>
    <row r="82" spans="1:10" s="1790" customFormat="1" ht="12.75" customHeight="1" x14ac:dyDescent="0.2">
      <c r="C82" s="1788"/>
      <c r="D82" s="1789"/>
      <c r="E82" s="1841"/>
      <c r="F82" s="1842"/>
      <c r="G82" s="1842"/>
      <c r="H82" s="1842"/>
      <c r="I82" s="1842"/>
      <c r="J82" s="1843"/>
    </row>
    <row r="83" spans="1:10" s="1790" customFormat="1" ht="27" customHeight="1" x14ac:dyDescent="0.2">
      <c r="A83" s="1537"/>
      <c r="C83" s="1786"/>
      <c r="D83" s="1787"/>
      <c r="E83" s="1849" t="s">
        <v>841</v>
      </c>
      <c r="F83" s="1850"/>
      <c r="G83" s="1850"/>
      <c r="H83" s="1850"/>
      <c r="I83" s="1850"/>
      <c r="J83" s="1851"/>
    </row>
    <row r="84" spans="1:10" s="1645" customFormat="1" ht="14.3" hidden="1" customHeight="1" x14ac:dyDescent="0.2"/>
    <row r="85" spans="1:10" s="1645" customFormat="1" ht="13.6" hidden="1" x14ac:dyDescent="0.25">
      <c r="A85" s="152" t="s">
        <v>794</v>
      </c>
      <c r="C85" s="1876" t="s">
        <v>200</v>
      </c>
      <c r="D85" s="1876"/>
      <c r="E85" s="1876" t="s">
        <v>182</v>
      </c>
      <c r="F85" s="1876"/>
      <c r="G85" s="1876"/>
      <c r="H85" s="1876"/>
      <c r="I85" s="1876"/>
      <c r="J85" s="1876"/>
    </row>
    <row r="86" spans="1:10" s="1645" customFormat="1" ht="13.6" hidden="1" customHeight="1" x14ac:dyDescent="0.2">
      <c r="C86" s="1870" t="s">
        <v>262</v>
      </c>
      <c r="D86" s="1871"/>
      <c r="E86" s="1846" t="s">
        <v>795</v>
      </c>
      <c r="F86" s="1847"/>
      <c r="G86" s="1847"/>
      <c r="H86" s="1847"/>
      <c r="I86" s="1847"/>
      <c r="J86" s="1848"/>
    </row>
    <row r="87" spans="1:10" s="1645" customFormat="1" hidden="1" x14ac:dyDescent="0.2">
      <c r="C87" s="1643"/>
      <c r="D87" s="1644"/>
      <c r="E87" s="1841" t="s">
        <v>796</v>
      </c>
      <c r="F87" s="1842"/>
      <c r="G87" s="1842"/>
      <c r="H87" s="1842"/>
      <c r="I87" s="1842"/>
      <c r="J87" s="1843"/>
    </row>
    <row r="88" spans="1:10" s="1764" customFormat="1" hidden="1" x14ac:dyDescent="0.2">
      <c r="C88" s="1762"/>
      <c r="D88" s="1763"/>
      <c r="E88" s="1841" t="s">
        <v>814</v>
      </c>
      <c r="F88" s="1842"/>
      <c r="G88" s="1842"/>
      <c r="H88" s="1842"/>
      <c r="I88" s="1842"/>
      <c r="J88" s="1843"/>
    </row>
    <row r="89" spans="1:10" s="1645" customFormat="1" ht="14.3" hidden="1" customHeight="1" x14ac:dyDescent="0.2">
      <c r="C89" s="1641"/>
      <c r="D89" s="1642"/>
      <c r="E89" s="1849" t="s">
        <v>797</v>
      </c>
      <c r="F89" s="1850"/>
      <c r="G89" s="1850"/>
      <c r="H89" s="1850"/>
      <c r="I89" s="1850"/>
      <c r="J89" s="1851"/>
    </row>
    <row r="90" spans="1:10" s="1645" customFormat="1" ht="12.75" hidden="1" customHeight="1" x14ac:dyDescent="0.2">
      <c r="C90" s="1865" t="s">
        <v>208</v>
      </c>
      <c r="D90" s="1866"/>
      <c r="E90" s="1846" t="s">
        <v>813</v>
      </c>
      <c r="F90" s="1847"/>
      <c r="G90" s="1847"/>
      <c r="H90" s="1847"/>
      <c r="I90" s="1847"/>
      <c r="J90" s="1848"/>
    </row>
    <row r="91" spans="1:10" s="1645" customFormat="1" ht="40.6" hidden="1" customHeight="1" x14ac:dyDescent="0.2">
      <c r="C91" s="1641"/>
      <c r="D91" s="1642"/>
      <c r="E91" s="1849"/>
      <c r="F91" s="1850"/>
      <c r="G91" s="1850"/>
      <c r="H91" s="1850"/>
      <c r="I91" s="1850"/>
      <c r="J91" s="1851"/>
    </row>
    <row r="92" spans="1:10" s="1764" customFormat="1" ht="12.75" hidden="1" customHeight="1" x14ac:dyDescent="0.2">
      <c r="C92" s="1880" t="s">
        <v>213</v>
      </c>
      <c r="D92" s="1881"/>
      <c r="E92" s="1882" t="s">
        <v>815</v>
      </c>
      <c r="F92" s="1883"/>
      <c r="G92" s="1883"/>
      <c r="H92" s="1883"/>
      <c r="I92" s="1883"/>
      <c r="J92" s="1884"/>
    </row>
    <row r="93" spans="1:10" ht="14.3" hidden="1" customHeight="1" x14ac:dyDescent="0.2"/>
    <row r="94" spans="1:10" ht="13.6" hidden="1" x14ac:dyDescent="0.25">
      <c r="A94" s="152" t="s">
        <v>683</v>
      </c>
      <c r="C94" s="1876" t="s">
        <v>200</v>
      </c>
      <c r="D94" s="1876"/>
      <c r="E94" s="1876" t="s">
        <v>182</v>
      </c>
      <c r="F94" s="1876"/>
      <c r="G94" s="1876"/>
      <c r="H94" s="1876"/>
      <c r="I94" s="1876"/>
      <c r="J94" s="1876"/>
    </row>
    <row r="95" spans="1:10" hidden="1" x14ac:dyDescent="0.2">
      <c r="C95" s="1872" t="s">
        <v>111</v>
      </c>
      <c r="D95" s="1873"/>
      <c r="E95" s="1841" t="s">
        <v>685</v>
      </c>
      <c r="F95" s="1842"/>
      <c r="G95" s="1842"/>
      <c r="H95" s="1842"/>
      <c r="I95" s="1842"/>
      <c r="J95" s="1843"/>
    </row>
    <row r="96" spans="1:10" ht="13.6" hidden="1" customHeight="1" x14ac:dyDescent="0.2">
      <c r="C96" s="1530"/>
      <c r="D96" s="1531"/>
      <c r="E96" s="1841"/>
      <c r="F96" s="1842"/>
      <c r="G96" s="1842"/>
      <c r="H96" s="1842"/>
      <c r="I96" s="1842"/>
      <c r="J96" s="1843"/>
    </row>
    <row r="97" spans="3:10" ht="12.75" hidden="1" customHeight="1" x14ac:dyDescent="0.2">
      <c r="C97" s="1530"/>
      <c r="D97" s="1531"/>
      <c r="E97" s="1841" t="s">
        <v>686</v>
      </c>
      <c r="F97" s="1842"/>
      <c r="G97" s="1842"/>
      <c r="H97" s="1842"/>
      <c r="I97" s="1842"/>
      <c r="J97" s="1843"/>
    </row>
    <row r="98" spans="3:10" hidden="1" x14ac:dyDescent="0.2">
      <c r="C98" s="1530"/>
      <c r="D98" s="1531"/>
      <c r="E98" s="1856" t="s">
        <v>745</v>
      </c>
      <c r="F98" s="1874"/>
      <c r="G98" s="1874"/>
      <c r="H98" s="1874"/>
      <c r="I98" s="1874"/>
      <c r="J98" s="1875"/>
    </row>
    <row r="99" spans="3:10" ht="14.95" hidden="1" customHeight="1" x14ac:dyDescent="0.2">
      <c r="C99" s="1528"/>
      <c r="D99" s="1529"/>
      <c r="E99" s="1867" t="s">
        <v>687</v>
      </c>
      <c r="F99" s="1868"/>
      <c r="G99" s="1868"/>
      <c r="H99" s="1868"/>
      <c r="I99" s="1868"/>
      <c r="J99" s="1869"/>
    </row>
    <row r="100" spans="3:10" ht="13.6" hidden="1" customHeight="1" x14ac:dyDescent="0.2">
      <c r="C100" s="1870" t="s">
        <v>262</v>
      </c>
      <c r="D100" s="1871"/>
      <c r="E100" s="1846" t="s">
        <v>688</v>
      </c>
      <c r="F100" s="1847"/>
      <c r="G100" s="1847"/>
      <c r="H100" s="1847"/>
      <c r="I100" s="1847"/>
      <c r="J100" s="1848"/>
    </row>
    <row r="101" spans="3:10" s="1534" customFormat="1" hidden="1" x14ac:dyDescent="0.2">
      <c r="C101" s="1530"/>
      <c r="D101" s="1531"/>
      <c r="E101" s="1841" t="s">
        <v>689</v>
      </c>
      <c r="F101" s="1842"/>
      <c r="G101" s="1842"/>
      <c r="H101" s="1842"/>
      <c r="I101" s="1842"/>
      <c r="J101" s="1843"/>
    </row>
    <row r="102" spans="3:10" s="1534" customFormat="1" ht="13.6" hidden="1" customHeight="1" x14ac:dyDescent="0.2">
      <c r="C102" s="1530"/>
      <c r="D102" s="1531"/>
      <c r="E102" s="1841" t="s">
        <v>690</v>
      </c>
      <c r="F102" s="1842"/>
      <c r="G102" s="1842"/>
      <c r="H102" s="1842"/>
      <c r="I102" s="1842"/>
      <c r="J102" s="1843"/>
    </row>
    <row r="103" spans="3:10" s="1534" customFormat="1" ht="39.75" hidden="1" customHeight="1" x14ac:dyDescent="0.2">
      <c r="C103" s="1530"/>
      <c r="D103" s="1531"/>
      <c r="E103" s="1841" t="s">
        <v>691</v>
      </c>
      <c r="F103" s="1842"/>
      <c r="G103" s="1842"/>
      <c r="H103" s="1842"/>
      <c r="I103" s="1842"/>
      <c r="J103" s="1843"/>
    </row>
    <row r="104" spans="3:10" ht="27" hidden="1" customHeight="1" x14ac:dyDescent="0.2">
      <c r="C104" s="1530"/>
      <c r="D104" s="1531"/>
      <c r="E104" s="1841" t="s">
        <v>692</v>
      </c>
      <c r="F104" s="1842"/>
      <c r="G104" s="1842"/>
      <c r="H104" s="1842"/>
      <c r="I104" s="1842"/>
      <c r="J104" s="1843"/>
    </row>
    <row r="105" spans="3:10" ht="27" hidden="1" customHeight="1" x14ac:dyDescent="0.2">
      <c r="C105" s="1530"/>
      <c r="D105" s="1531"/>
      <c r="E105" s="1841" t="s">
        <v>697</v>
      </c>
      <c r="F105" s="1842"/>
      <c r="G105" s="1842"/>
      <c r="H105" s="1842"/>
      <c r="I105" s="1842"/>
      <c r="J105" s="1843"/>
    </row>
    <row r="106" spans="3:10" ht="13.6" hidden="1" customHeight="1" x14ac:dyDescent="0.2">
      <c r="C106" s="1530"/>
      <c r="D106" s="1531"/>
      <c r="E106" s="1841" t="s">
        <v>693</v>
      </c>
      <c r="F106" s="1842"/>
      <c r="G106" s="1842"/>
      <c r="H106" s="1842"/>
      <c r="I106" s="1842"/>
      <c r="J106" s="1843"/>
    </row>
    <row r="107" spans="3:10" ht="14.3" hidden="1" customHeight="1" x14ac:dyDescent="0.2">
      <c r="C107" s="1528"/>
      <c r="D107" s="1529"/>
      <c r="E107" s="1849" t="s">
        <v>694</v>
      </c>
      <c r="F107" s="1850"/>
      <c r="G107" s="1850"/>
      <c r="H107" s="1850"/>
      <c r="I107" s="1850"/>
      <c r="J107" s="1851"/>
    </row>
    <row r="108" spans="3:10" s="1534" customFormat="1" ht="12.75" hidden="1" customHeight="1" x14ac:dyDescent="0.2">
      <c r="C108" s="1865" t="s">
        <v>208</v>
      </c>
      <c r="D108" s="1866"/>
      <c r="E108" s="1846" t="s">
        <v>696</v>
      </c>
      <c r="F108" s="1847"/>
      <c r="G108" s="1847"/>
      <c r="H108" s="1847"/>
      <c r="I108" s="1847"/>
      <c r="J108" s="1848"/>
    </row>
    <row r="109" spans="3:10" s="1534" customFormat="1" ht="13.6" hidden="1" customHeight="1" x14ac:dyDescent="0.2">
      <c r="C109" s="1530"/>
      <c r="D109" s="1531"/>
      <c r="E109" s="1841"/>
      <c r="F109" s="1842"/>
      <c r="G109" s="1842"/>
      <c r="H109" s="1842"/>
      <c r="I109" s="1842"/>
      <c r="J109" s="1843"/>
    </row>
    <row r="110" spans="3:10" s="1534" customFormat="1" ht="39.75" hidden="1" customHeight="1" x14ac:dyDescent="0.2">
      <c r="C110" s="1530"/>
      <c r="D110" s="1531"/>
      <c r="E110" s="1841" t="s">
        <v>698</v>
      </c>
      <c r="F110" s="1842"/>
      <c r="G110" s="1842"/>
      <c r="H110" s="1842"/>
      <c r="I110" s="1842"/>
      <c r="J110" s="1843"/>
    </row>
    <row r="111" spans="3:10" s="1534" customFormat="1" ht="39.75" hidden="1" customHeight="1" x14ac:dyDescent="0.2">
      <c r="C111" s="1530"/>
      <c r="D111" s="1531"/>
      <c r="E111" s="1841" t="s">
        <v>699</v>
      </c>
      <c r="F111" s="1842"/>
      <c r="G111" s="1842"/>
      <c r="H111" s="1842"/>
      <c r="I111" s="1842"/>
      <c r="J111" s="1843"/>
    </row>
    <row r="112" spans="3:10" s="1534" customFormat="1" ht="27" hidden="1" customHeight="1" x14ac:dyDescent="0.2">
      <c r="C112" s="1530"/>
      <c r="D112" s="1531"/>
      <c r="E112" s="1841" t="s">
        <v>701</v>
      </c>
      <c r="F112" s="1842"/>
      <c r="G112" s="1842"/>
      <c r="H112" s="1842"/>
      <c r="I112" s="1842"/>
      <c r="J112" s="1843"/>
    </row>
    <row r="113" spans="3:10" s="1534" customFormat="1" ht="27" hidden="1" customHeight="1" x14ac:dyDescent="0.2">
      <c r="C113" s="1530"/>
      <c r="D113" s="1531"/>
      <c r="E113" s="1841" t="s">
        <v>700</v>
      </c>
      <c r="F113" s="1842"/>
      <c r="G113" s="1842"/>
      <c r="H113" s="1842"/>
      <c r="I113" s="1842"/>
      <c r="J113" s="1843"/>
    </row>
    <row r="114" spans="3:10" s="1534" customFormat="1" ht="27" hidden="1" customHeight="1" x14ac:dyDescent="0.2">
      <c r="C114" s="1530"/>
      <c r="D114" s="1531"/>
      <c r="E114" s="1841" t="s">
        <v>702</v>
      </c>
      <c r="F114" s="1842"/>
      <c r="G114" s="1842"/>
      <c r="H114" s="1842"/>
      <c r="I114" s="1842"/>
      <c r="J114" s="1843"/>
    </row>
    <row r="115" spans="3:10" s="1534" customFormat="1" ht="27.7" hidden="1" customHeight="1" x14ac:dyDescent="0.2">
      <c r="C115" s="1528"/>
      <c r="D115" s="1529"/>
      <c r="E115" s="1849" t="s">
        <v>703</v>
      </c>
      <c r="F115" s="1850"/>
      <c r="G115" s="1850"/>
      <c r="H115" s="1850"/>
      <c r="I115" s="1850"/>
      <c r="J115" s="1851"/>
    </row>
    <row r="116" spans="3:10" s="1534" customFormat="1" ht="12.75" hidden="1" customHeight="1" x14ac:dyDescent="0.2">
      <c r="C116" s="1857" t="s">
        <v>213</v>
      </c>
      <c r="D116" s="1858"/>
      <c r="E116" s="1846" t="s">
        <v>706</v>
      </c>
      <c r="F116" s="1847"/>
      <c r="G116" s="1847"/>
      <c r="H116" s="1847"/>
      <c r="I116" s="1847"/>
      <c r="J116" s="1848"/>
    </row>
    <row r="117" spans="3:10" s="1534" customFormat="1" ht="13.6" hidden="1" customHeight="1" x14ac:dyDescent="0.2">
      <c r="C117" s="1530"/>
      <c r="D117" s="1531"/>
      <c r="E117" s="1841"/>
      <c r="F117" s="1842"/>
      <c r="G117" s="1842"/>
      <c r="H117" s="1842"/>
      <c r="I117" s="1842"/>
      <c r="J117" s="1843"/>
    </row>
    <row r="118" spans="3:10" s="1534" customFormat="1" ht="40.6" hidden="1" customHeight="1" x14ac:dyDescent="0.2">
      <c r="C118" s="1530"/>
      <c r="D118" s="1531"/>
      <c r="E118" s="1841" t="s">
        <v>742</v>
      </c>
      <c r="F118" s="1842"/>
      <c r="G118" s="1842"/>
      <c r="H118" s="1842"/>
      <c r="I118" s="1842"/>
      <c r="J118" s="1843"/>
    </row>
    <row r="119" spans="3:10" s="1534" customFormat="1" ht="39.75" hidden="1" customHeight="1" x14ac:dyDescent="0.2">
      <c r="C119" s="1530"/>
      <c r="D119" s="1531"/>
      <c r="E119" s="1841" t="s">
        <v>728</v>
      </c>
      <c r="F119" s="1842"/>
      <c r="G119" s="1842"/>
      <c r="H119" s="1842"/>
      <c r="I119" s="1842"/>
      <c r="J119" s="1843"/>
    </row>
    <row r="120" spans="3:10" s="1534" customFormat="1" ht="39.75" hidden="1" customHeight="1" x14ac:dyDescent="0.2">
      <c r="C120" s="1530"/>
      <c r="D120" s="1531"/>
      <c r="E120" s="1841" t="s">
        <v>704</v>
      </c>
      <c r="F120" s="1842"/>
      <c r="G120" s="1842"/>
      <c r="H120" s="1842"/>
      <c r="I120" s="1842"/>
      <c r="J120" s="1843"/>
    </row>
    <row r="121" spans="3:10" s="1534" customFormat="1" ht="39.75" hidden="1" customHeight="1" x14ac:dyDescent="0.2">
      <c r="C121" s="1530"/>
      <c r="D121" s="1531"/>
      <c r="E121" s="1841" t="s">
        <v>714</v>
      </c>
      <c r="F121" s="1842"/>
      <c r="G121" s="1842"/>
      <c r="H121" s="1842"/>
      <c r="I121" s="1842"/>
      <c r="J121" s="1843"/>
    </row>
    <row r="122" spans="3:10" s="1534" customFormat="1" ht="66.099999999999994" hidden="1" customHeight="1" x14ac:dyDescent="0.2">
      <c r="C122" s="1528"/>
      <c r="D122" s="1529"/>
      <c r="E122" s="1849" t="s">
        <v>705</v>
      </c>
      <c r="F122" s="1850"/>
      <c r="G122" s="1850"/>
      <c r="H122" s="1850"/>
      <c r="I122" s="1850"/>
      <c r="J122" s="1851"/>
    </row>
    <row r="123" spans="3:10" s="1534" customFormat="1" ht="12.75" hidden="1" customHeight="1" x14ac:dyDescent="0.2">
      <c r="C123" s="1844" t="s">
        <v>576</v>
      </c>
      <c r="D123" s="1845"/>
      <c r="E123" s="1859" t="s">
        <v>709</v>
      </c>
      <c r="F123" s="1860"/>
      <c r="G123" s="1860"/>
      <c r="H123" s="1860"/>
      <c r="I123" s="1860"/>
      <c r="J123" s="1861"/>
    </row>
    <row r="124" spans="3:10" s="1534" customFormat="1" ht="27" hidden="1" customHeight="1" x14ac:dyDescent="0.2">
      <c r="C124" s="1530"/>
      <c r="D124" s="1531"/>
      <c r="E124" s="1862"/>
      <c r="F124" s="1863"/>
      <c r="G124" s="1863"/>
      <c r="H124" s="1863"/>
      <c r="I124" s="1863"/>
      <c r="J124" s="1864"/>
    </row>
    <row r="125" spans="3:10" s="1534" customFormat="1" ht="27" hidden="1" customHeight="1" x14ac:dyDescent="0.2">
      <c r="C125" s="1530"/>
      <c r="D125" s="1531"/>
      <c r="E125" s="1841" t="s">
        <v>710</v>
      </c>
      <c r="F125" s="1842"/>
      <c r="G125" s="1842"/>
      <c r="H125" s="1842"/>
      <c r="I125" s="1842"/>
      <c r="J125" s="1843"/>
    </row>
    <row r="126" spans="3:10" s="1534" customFormat="1" ht="27" hidden="1" customHeight="1" x14ac:dyDescent="0.2">
      <c r="C126" s="1530"/>
      <c r="D126" s="1531"/>
      <c r="E126" s="1841" t="s">
        <v>724</v>
      </c>
      <c r="F126" s="1842"/>
      <c r="G126" s="1842"/>
      <c r="H126" s="1842"/>
      <c r="I126" s="1842"/>
      <c r="J126" s="1843"/>
    </row>
    <row r="127" spans="3:10" s="1534" customFormat="1" ht="13.6" hidden="1" customHeight="1" x14ac:dyDescent="0.2">
      <c r="C127" s="1530"/>
      <c r="D127" s="1531"/>
      <c r="E127" s="1841" t="s">
        <v>707</v>
      </c>
      <c r="F127" s="1842"/>
      <c r="G127" s="1842"/>
      <c r="H127" s="1842"/>
      <c r="I127" s="1842"/>
      <c r="J127" s="1843"/>
    </row>
    <row r="128" spans="3:10" s="1534" customFormat="1" ht="14.3" hidden="1" customHeight="1" x14ac:dyDescent="0.2">
      <c r="C128" s="1528"/>
      <c r="D128" s="1529"/>
      <c r="E128" s="1849" t="s">
        <v>708</v>
      </c>
      <c r="F128" s="1850"/>
      <c r="G128" s="1850"/>
      <c r="H128" s="1850"/>
      <c r="I128" s="1850"/>
      <c r="J128" s="1851"/>
    </row>
    <row r="129" spans="3:10" s="1534" customFormat="1" ht="12.75" hidden="1" customHeight="1" x14ac:dyDescent="0.2">
      <c r="C129" s="1857" t="s">
        <v>211</v>
      </c>
      <c r="D129" s="1858"/>
      <c r="E129" s="1846" t="s">
        <v>712</v>
      </c>
      <c r="F129" s="1847"/>
      <c r="G129" s="1847"/>
      <c r="H129" s="1847"/>
      <c r="I129" s="1847"/>
      <c r="J129" s="1848"/>
    </row>
    <row r="130" spans="3:10" s="1534" customFormat="1" ht="14.3" hidden="1" customHeight="1" x14ac:dyDescent="0.2">
      <c r="C130" s="1530"/>
      <c r="D130" s="1531"/>
      <c r="E130" s="1841"/>
      <c r="F130" s="1842"/>
      <c r="G130" s="1842"/>
      <c r="H130" s="1842"/>
      <c r="I130" s="1842"/>
      <c r="J130" s="1843"/>
    </row>
    <row r="131" spans="3:10" s="1534" customFormat="1" ht="14.3" hidden="1" customHeight="1" x14ac:dyDescent="0.2">
      <c r="C131" s="1528"/>
      <c r="D131" s="1529"/>
      <c r="E131" s="1849" t="s">
        <v>711</v>
      </c>
      <c r="F131" s="1850"/>
      <c r="G131" s="1850"/>
      <c r="H131" s="1850"/>
      <c r="I131" s="1850"/>
      <c r="J131" s="1851"/>
    </row>
    <row r="132" spans="3:10" s="1534" customFormat="1" ht="12.75" hidden="1" customHeight="1" x14ac:dyDescent="0.2">
      <c r="C132" s="1854" t="s">
        <v>193</v>
      </c>
      <c r="D132" s="1855"/>
      <c r="E132" s="1846" t="s">
        <v>718</v>
      </c>
      <c r="F132" s="1847"/>
      <c r="G132" s="1847"/>
      <c r="H132" s="1847"/>
      <c r="I132" s="1847"/>
      <c r="J132" s="1848"/>
    </row>
    <row r="133" spans="3:10" s="1534" customFormat="1" ht="12.75" hidden="1" customHeight="1" x14ac:dyDescent="0.2">
      <c r="C133" s="1530"/>
      <c r="D133" s="1531"/>
      <c r="E133" s="1856" t="s">
        <v>715</v>
      </c>
      <c r="F133" s="1842"/>
      <c r="G133" s="1842"/>
      <c r="H133" s="1842"/>
      <c r="I133" s="1842"/>
      <c r="J133" s="1843"/>
    </row>
    <row r="134" spans="3:10" s="1534" customFormat="1" ht="14.3" hidden="1" customHeight="1" x14ac:dyDescent="0.2">
      <c r="C134" s="1530"/>
      <c r="D134" s="1531"/>
      <c r="E134" s="1856" t="s">
        <v>716</v>
      </c>
      <c r="F134" s="1842"/>
      <c r="G134" s="1842"/>
      <c r="H134" s="1842"/>
      <c r="I134" s="1842"/>
      <c r="J134" s="1843"/>
    </row>
    <row r="135" spans="3:10" s="1534" customFormat="1" ht="27" hidden="1" customHeight="1" x14ac:dyDescent="0.2">
      <c r="C135" s="1528"/>
      <c r="D135" s="1529"/>
      <c r="E135" s="1849" t="s">
        <v>717</v>
      </c>
      <c r="F135" s="1850"/>
      <c r="G135" s="1850"/>
      <c r="H135" s="1850"/>
      <c r="I135" s="1850"/>
      <c r="J135" s="1851"/>
    </row>
    <row r="136" spans="3:10" s="1534" customFormat="1" ht="12.75" hidden="1" customHeight="1" x14ac:dyDescent="0.2">
      <c r="C136" s="1852" t="s">
        <v>107</v>
      </c>
      <c r="D136" s="1853"/>
      <c r="E136" s="1846" t="s">
        <v>719</v>
      </c>
      <c r="F136" s="1847"/>
      <c r="G136" s="1847"/>
      <c r="H136" s="1847"/>
      <c r="I136" s="1847"/>
      <c r="J136" s="1848"/>
    </row>
    <row r="137" spans="3:10" s="1534" customFormat="1" ht="52.5" hidden="1" customHeight="1" x14ac:dyDescent="0.2">
      <c r="C137" s="1528"/>
      <c r="D137" s="1529"/>
      <c r="E137" s="1849"/>
      <c r="F137" s="1850"/>
      <c r="G137" s="1850"/>
      <c r="H137" s="1850"/>
      <c r="I137" s="1850"/>
      <c r="J137" s="1851"/>
    </row>
  </sheetData>
  <sheetProtection algorithmName="SHA-512" hashValue="Ll2XeBG/ybvD1ZPO/iDXXzNElmabrCggj+9KHe+OHm3GntA5p7/IlVVN45LL0r6hH1a/36pFvp5TCAS3AFHCkw==" saltValue="TSE3RXIH7N3k77Bnym8oYw==" spinCount="100000" sheet="1" objects="1" scenarios="1" selectLockedCells="1"/>
  <mergeCells count="151">
    <mergeCell ref="C76:D76"/>
    <mergeCell ref="E76:J77"/>
    <mergeCell ref="E79:J79"/>
    <mergeCell ref="C49:D49"/>
    <mergeCell ref="E49:G52"/>
    <mergeCell ref="C51:D51"/>
    <mergeCell ref="H51:J51"/>
    <mergeCell ref="C52:D52"/>
    <mergeCell ref="H52:J52"/>
    <mergeCell ref="H49:J50"/>
    <mergeCell ref="C50:D50"/>
    <mergeCell ref="C71:J71"/>
    <mergeCell ref="E78:J78"/>
    <mergeCell ref="H48:J48"/>
    <mergeCell ref="A6:J6"/>
    <mergeCell ref="C32:D32"/>
    <mergeCell ref="E32:G34"/>
    <mergeCell ref="C34:D34"/>
    <mergeCell ref="C40:D40"/>
    <mergeCell ref="E40:G43"/>
    <mergeCell ref="C42:D42"/>
    <mergeCell ref="H42:J42"/>
    <mergeCell ref="C43:D43"/>
    <mergeCell ref="H43:J43"/>
    <mergeCell ref="C41:D41"/>
    <mergeCell ref="H40:J41"/>
    <mergeCell ref="C21:J21"/>
    <mergeCell ref="C30:D30"/>
    <mergeCell ref="C31:D31"/>
    <mergeCell ref="C35:D35"/>
    <mergeCell ref="H29:J29"/>
    <mergeCell ref="H28:J28"/>
    <mergeCell ref="H35:J36"/>
    <mergeCell ref="C36:D36"/>
    <mergeCell ref="H30:J30"/>
    <mergeCell ref="H31:J31"/>
    <mergeCell ref="E35:G39"/>
    <mergeCell ref="C37:D37"/>
    <mergeCell ref="H37:J37"/>
    <mergeCell ref="C39:D39"/>
    <mergeCell ref="H39:J39"/>
    <mergeCell ref="C38:D38"/>
    <mergeCell ref="H38:J38"/>
    <mergeCell ref="H32:J33"/>
    <mergeCell ref="H34:J34"/>
    <mergeCell ref="A69:B69"/>
    <mergeCell ref="C53:D53"/>
    <mergeCell ref="E53:G54"/>
    <mergeCell ref="H53:J53"/>
    <mergeCell ref="C54:D54"/>
    <mergeCell ref="H54:J54"/>
    <mergeCell ref="C44:D44"/>
    <mergeCell ref="E44:G46"/>
    <mergeCell ref="H44:J45"/>
    <mergeCell ref="C45:D45"/>
    <mergeCell ref="C46:D46"/>
    <mergeCell ref="H46:J46"/>
    <mergeCell ref="C47:D47"/>
    <mergeCell ref="E47:G48"/>
    <mergeCell ref="H47:J47"/>
    <mergeCell ref="C48:D48"/>
    <mergeCell ref="E24:G24"/>
    <mergeCell ref="H24:J24"/>
    <mergeCell ref="C24:D24"/>
    <mergeCell ref="C25:D25"/>
    <mergeCell ref="C26:D26"/>
    <mergeCell ref="H25:J25"/>
    <mergeCell ref="H26:J26"/>
    <mergeCell ref="E25:G31"/>
    <mergeCell ref="H27:J27"/>
    <mergeCell ref="C16:J16"/>
    <mergeCell ref="C12:J12"/>
    <mergeCell ref="C14:J14"/>
    <mergeCell ref="A7:J7"/>
    <mergeCell ref="C9:J9"/>
    <mergeCell ref="C11:J11"/>
    <mergeCell ref="C15:J15"/>
    <mergeCell ref="C22:J22"/>
    <mergeCell ref="C17:J17"/>
    <mergeCell ref="C18:J18"/>
    <mergeCell ref="C20:J20"/>
    <mergeCell ref="C19:J19"/>
    <mergeCell ref="C95:D95"/>
    <mergeCell ref="E95:J96"/>
    <mergeCell ref="E97:J97"/>
    <mergeCell ref="E98:J98"/>
    <mergeCell ref="C94:D94"/>
    <mergeCell ref="E94:J94"/>
    <mergeCell ref="C57:J57"/>
    <mergeCell ref="C59:J59"/>
    <mergeCell ref="C69:J69"/>
    <mergeCell ref="C73:J73"/>
    <mergeCell ref="C85:D85"/>
    <mergeCell ref="E85:J85"/>
    <mergeCell ref="C86:D86"/>
    <mergeCell ref="E86:J86"/>
    <mergeCell ref="E87:J87"/>
    <mergeCell ref="E89:J89"/>
    <mergeCell ref="C90:D90"/>
    <mergeCell ref="E90:J91"/>
    <mergeCell ref="E88:J88"/>
    <mergeCell ref="C92:D92"/>
    <mergeCell ref="E92:J92"/>
    <mergeCell ref="C75:D75"/>
    <mergeCell ref="E75:J75"/>
    <mergeCell ref="C78:D78"/>
    <mergeCell ref="E107:J107"/>
    <mergeCell ref="E100:J100"/>
    <mergeCell ref="E104:J104"/>
    <mergeCell ref="E101:J101"/>
    <mergeCell ref="E102:J102"/>
    <mergeCell ref="E103:J103"/>
    <mergeCell ref="E99:J99"/>
    <mergeCell ref="C100:D100"/>
    <mergeCell ref="E105:J105"/>
    <mergeCell ref="E106:J106"/>
    <mergeCell ref="E121:J121"/>
    <mergeCell ref="E116:J117"/>
    <mergeCell ref="E112:J112"/>
    <mergeCell ref="E114:J114"/>
    <mergeCell ref="E115:J115"/>
    <mergeCell ref="C116:D116"/>
    <mergeCell ref="C108:D108"/>
    <mergeCell ref="E110:J110"/>
    <mergeCell ref="E111:J111"/>
    <mergeCell ref="E113:J113"/>
    <mergeCell ref="E108:J109"/>
    <mergeCell ref="E80:J80"/>
    <mergeCell ref="C81:D81"/>
    <mergeCell ref="E81:J82"/>
    <mergeCell ref="E83:J83"/>
    <mergeCell ref="E136:J137"/>
    <mergeCell ref="E135:J135"/>
    <mergeCell ref="C136:D136"/>
    <mergeCell ref="C132:D132"/>
    <mergeCell ref="E132:J132"/>
    <mergeCell ref="E133:J133"/>
    <mergeCell ref="E134:J134"/>
    <mergeCell ref="E131:J131"/>
    <mergeCell ref="E128:J128"/>
    <mergeCell ref="C129:D129"/>
    <mergeCell ref="E129:J130"/>
    <mergeCell ref="E127:J127"/>
    <mergeCell ref="E122:J122"/>
    <mergeCell ref="C123:D123"/>
    <mergeCell ref="E126:J126"/>
    <mergeCell ref="E125:J125"/>
    <mergeCell ref="E123:J124"/>
    <mergeCell ref="E118:J118"/>
    <mergeCell ref="E119:J119"/>
    <mergeCell ref="E120:J120"/>
  </mergeCells>
  <hyperlinks>
    <hyperlink ref="C35:D35" location="EV_Var1!A1" display="EV_Var1 /..2 /..3 /..4"/>
    <hyperlink ref="C47:D47" location="WR_Übersicht!A1" display="WR_Übersicht"/>
    <hyperlink ref="C40:D40" location="WR_Var1!Druckbereich" display="WR_Var1 /..2 /..3 /..4"/>
    <hyperlink ref="C32:D32" location="Grunddaten!A1" display="Grunddaten"/>
    <hyperlink ref="C49:D49" location="Ergebnisse!A1" display="Ergebnisse"/>
    <hyperlink ref="C53:D53" location="Berechnungen!A1" display="Berechnungen"/>
    <hyperlink ref="C25:D25" location="Projektdaten!A1" display="Projektdaten"/>
    <hyperlink ref="C44:D44" location="DK_Var1!Druckbereich" display="DK_Var1 /..2 /..3 /..4"/>
    <hyperlink ref="G2" location="Neu_in_Version" display="i"/>
    <hyperlink ref="C95:D95" location="Projektdaten!A1" display="Projektdaten"/>
    <hyperlink ref="C100:D100" location="Grunddaten!A1" display="Grunddaten"/>
    <hyperlink ref="C108:D108" location="EV_Var1!A1" display="EV_Var1 /..2 /..3 /..4"/>
    <hyperlink ref="C116:D116" location="WR_Var1!Druckbereich" display="WR_Var1 /..2 /..3 /..4"/>
    <hyperlink ref="C123:D123" location="DK_Var1!Druckbereich" display="DK_Var1 /..2 /..3 /..4"/>
    <hyperlink ref="C129:D129" location="WR_Übersicht!A1" display="WR_Übersicht"/>
    <hyperlink ref="C132:D132" location="Ergebnisse!A1" display="Ergebnisse"/>
    <hyperlink ref="C136:D136" location="Berechnungen!A1" display="Berechnungen"/>
    <hyperlink ref="C86:D86" location="Grunddaten!A1" display="Grunddaten"/>
    <hyperlink ref="C90:D90" location="EV_Var1!A1" display="EV_Var1 /..2 /..3 /..4"/>
    <hyperlink ref="C92:D92" location="WR_Var1!Druckbereich" display="WR_Var1 /..2 /..3 /..4"/>
    <hyperlink ref="C78:D78" location="Grunddaten!A1" display="Grunddaten"/>
    <hyperlink ref="C81:D81" location="DK_Var1!Druckbereich" display="DK_Var1 /..2 /..3 /..4"/>
    <hyperlink ref="C76:D76" location="Projektdaten!A1" display="Projektdaten"/>
  </hyperlinks>
  <pageMargins left="0.70866141732283472" right="0.70866141732283472" top="0.39370078740157483" bottom="0.98425196850393704" header="0.39370078740157483" footer="0.39370078740157483"/>
  <pageSetup paperSize="9" scale="94" fitToHeight="0" orientation="portrait" cellComments="asDisplayed" r:id="rId1"/>
  <headerFooter scaleWithDoc="0">
    <oddFooter>&amp;L&amp;8&amp;G&amp;C&amp;9Seite &amp;P/&amp;N&amp;6
                                                          &amp;D/&amp;F&amp;R&amp;7&amp;G</oddFooter>
  </headerFooter>
  <rowBreaks count="3" manualBreakCount="3">
    <brk id="23" max="9" man="1"/>
    <brk id="107" max="9" man="1"/>
    <brk id="135" max="9" man="1"/>
  </rowBreaks>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X88"/>
  <sheetViews>
    <sheetView showGridLines="0" showZeros="0" tabSelected="1" zoomScaleNormal="100" zoomScaleSheetLayoutView="100" workbookViewId="0">
      <pane ySplit="4" topLeftCell="A5" activePane="bottomLeft" state="frozen"/>
      <selection activeCell="P30" sqref="P30"/>
      <selection pane="bottomLeft" activeCell="C8" sqref="C8:E8"/>
    </sheetView>
  </sheetViews>
  <sheetFormatPr baseColWidth="10" defaultColWidth="9.25" defaultRowHeight="12.9" outlineLevelCol="1" x14ac:dyDescent="0.2"/>
  <cols>
    <col min="1" max="1" width="1" style="268" customWidth="1"/>
    <col min="2" max="2" width="8.75" style="268" customWidth="1"/>
    <col min="3" max="3" width="7.75" style="268" customWidth="1"/>
    <col min="4" max="9" width="9.75" style="268" customWidth="1"/>
    <col min="10" max="10" width="8.75" style="268" customWidth="1"/>
    <col min="11" max="11" width="1" style="268" customWidth="1"/>
    <col min="12" max="12" width="8.75" style="268" customWidth="1"/>
    <col min="13" max="13" width="1" style="268" customWidth="1"/>
    <col min="14" max="14" width="4.25" style="268" customWidth="1"/>
    <col min="15" max="17" width="14.75" style="268" customWidth="1"/>
    <col min="18" max="19" width="25.75" style="268" hidden="1" customWidth="1" outlineLevel="1"/>
    <col min="20" max="20" width="15.875" style="268" hidden="1" customWidth="1" outlineLevel="1"/>
    <col min="21" max="21" width="9.25" style="268" collapsed="1"/>
    <col min="22" max="16384" width="9.25" style="268"/>
  </cols>
  <sheetData>
    <row r="1" spans="1:24" ht="56.25" customHeight="1" x14ac:dyDescent="0.2">
      <c r="E1" s="867"/>
      <c r="F1" s="867"/>
      <c r="G1" s="867"/>
      <c r="H1" s="867"/>
      <c r="I1" s="336"/>
      <c r="J1" s="336"/>
      <c r="K1" s="336"/>
      <c r="L1" s="336"/>
      <c r="M1" s="336"/>
      <c r="N1" s="336"/>
      <c r="O1" s="336"/>
      <c r="P1" s="336"/>
      <c r="Q1" s="336"/>
      <c r="R1" s="336"/>
      <c r="S1" s="336"/>
      <c r="T1" s="336"/>
      <c r="U1" s="336"/>
      <c r="V1" s="336"/>
      <c r="W1" s="336"/>
      <c r="X1" s="336"/>
    </row>
    <row r="2" spans="1:24" ht="13.6" customHeight="1" x14ac:dyDescent="0.25">
      <c r="A2" s="1102" t="str">
        <f>CONCATENATE("Variantenvergleich Energiesysteme - Version ",Versionsinfo!$B$4)</f>
        <v>Variantenvergleich Energiesysteme - Version 2.2</v>
      </c>
      <c r="E2" s="867"/>
      <c r="F2" s="867"/>
      <c r="G2" s="1535"/>
      <c r="H2" s="1536" t="s">
        <v>684</v>
      </c>
      <c r="I2" s="336"/>
      <c r="J2" s="336"/>
      <c r="K2" s="336"/>
      <c r="L2" s="336"/>
      <c r="M2" s="336"/>
      <c r="N2" s="336"/>
      <c r="O2" s="869"/>
      <c r="P2" s="870"/>
      <c r="Q2" s="336"/>
      <c r="R2" s="336"/>
      <c r="S2" s="336"/>
      <c r="T2" s="336"/>
      <c r="U2" s="336"/>
      <c r="V2" s="336"/>
      <c r="W2" s="336"/>
      <c r="X2" s="336"/>
    </row>
    <row r="3" spans="1:24" ht="12.75" customHeight="1" x14ac:dyDescent="0.2">
      <c r="A3" s="871" t="s">
        <v>178</v>
      </c>
    </row>
    <row r="4" spans="1:24" ht="30.1" customHeight="1" x14ac:dyDescent="0.2">
      <c r="B4" s="872"/>
    </row>
    <row r="5" spans="1:24" ht="18" customHeight="1" x14ac:dyDescent="0.25">
      <c r="A5" s="873" t="s">
        <v>111</v>
      </c>
    </row>
    <row r="6" spans="1:24" x14ac:dyDescent="0.2">
      <c r="B6" s="874"/>
    </row>
    <row r="7" spans="1:24" ht="5.95" customHeight="1" x14ac:dyDescent="0.2">
      <c r="A7" s="337"/>
      <c r="B7" s="875"/>
      <c r="C7" s="337"/>
      <c r="D7" s="337"/>
      <c r="E7" s="337"/>
      <c r="F7" s="337"/>
      <c r="G7" s="337"/>
      <c r="H7" s="337"/>
      <c r="I7" s="337"/>
      <c r="J7" s="337"/>
      <c r="K7" s="337"/>
      <c r="L7" s="337"/>
      <c r="M7" s="337"/>
    </row>
    <row r="8" spans="1:24" ht="13.6" x14ac:dyDescent="0.25">
      <c r="A8" s="337"/>
      <c r="B8" s="876" t="s">
        <v>110</v>
      </c>
      <c r="C8" s="1929"/>
      <c r="D8" s="1929"/>
      <c r="E8" s="1929"/>
      <c r="F8" s="337"/>
      <c r="G8" s="877"/>
      <c r="H8" s="878" t="s">
        <v>541</v>
      </c>
      <c r="I8" s="1929"/>
      <c r="J8" s="1929"/>
      <c r="K8" s="1929"/>
      <c r="L8" s="1929"/>
      <c r="M8" s="338"/>
    </row>
    <row r="9" spans="1:24" ht="5.95" customHeight="1" x14ac:dyDescent="0.2">
      <c r="A9" s="337"/>
      <c r="B9" s="875"/>
      <c r="C9" s="337"/>
      <c r="D9" s="337"/>
      <c r="E9" s="337"/>
      <c r="F9" s="337"/>
      <c r="G9" s="337"/>
      <c r="H9" s="337"/>
      <c r="I9" s="337"/>
      <c r="J9" s="337"/>
      <c r="K9" s="337"/>
      <c r="L9" s="337"/>
      <c r="M9" s="337"/>
    </row>
    <row r="10" spans="1:24" x14ac:dyDescent="0.2">
      <c r="B10" s="874"/>
    </row>
    <row r="11" spans="1:24" x14ac:dyDescent="0.2">
      <c r="B11" s="874"/>
    </row>
    <row r="12" spans="1:24" ht="5.95" customHeight="1" x14ac:dyDescent="0.2">
      <c r="A12" s="337"/>
      <c r="B12" s="875"/>
      <c r="C12" s="337"/>
      <c r="D12" s="337"/>
      <c r="E12" s="337"/>
      <c r="F12" s="337"/>
      <c r="G12" s="337"/>
      <c r="H12" s="337"/>
      <c r="I12" s="337"/>
      <c r="J12" s="337"/>
      <c r="K12" s="337"/>
      <c r="L12" s="337"/>
      <c r="M12" s="337"/>
    </row>
    <row r="13" spans="1:24" ht="13.6" x14ac:dyDescent="0.25">
      <c r="A13" s="337"/>
      <c r="B13" s="876" t="s">
        <v>115</v>
      </c>
      <c r="C13" s="337"/>
      <c r="D13" s="337"/>
      <c r="E13" s="879" t="s">
        <v>116</v>
      </c>
      <c r="F13" s="166">
        <v>1</v>
      </c>
      <c r="G13" s="337"/>
      <c r="H13" s="879" t="s">
        <v>117</v>
      </c>
      <c r="I13" s="145">
        <f ca="1">TODAY()</f>
        <v>42459</v>
      </c>
      <c r="J13" s="337"/>
      <c r="K13" s="337"/>
      <c r="L13" s="337"/>
      <c r="M13" s="337"/>
    </row>
    <row r="14" spans="1:24" ht="5.95" customHeight="1" x14ac:dyDescent="0.2">
      <c r="A14" s="337"/>
      <c r="B14" s="875"/>
      <c r="C14" s="337"/>
      <c r="D14" s="337"/>
      <c r="E14" s="337"/>
      <c r="F14" s="337"/>
      <c r="G14" s="337"/>
      <c r="H14" s="337"/>
      <c r="I14" s="337"/>
      <c r="J14" s="337"/>
      <c r="K14" s="337"/>
      <c r="L14" s="337"/>
      <c r="M14" s="337"/>
    </row>
    <row r="15" spans="1:24" x14ac:dyDescent="0.2">
      <c r="A15" s="337"/>
      <c r="B15" s="880" t="s">
        <v>114</v>
      </c>
      <c r="C15" s="879" t="s">
        <v>112</v>
      </c>
      <c r="D15" s="1920"/>
      <c r="E15" s="1930"/>
      <c r="F15" s="1930"/>
      <c r="G15" s="337"/>
      <c r="H15" s="879" t="s">
        <v>113</v>
      </c>
      <c r="I15" s="1920"/>
      <c r="J15" s="1920"/>
      <c r="K15" s="1920"/>
      <c r="L15" s="1920"/>
      <c r="M15" s="337"/>
    </row>
    <row r="16" spans="1:24" ht="5.95" customHeight="1" x14ac:dyDescent="0.2">
      <c r="A16" s="337"/>
      <c r="B16" s="875"/>
      <c r="C16" s="337"/>
      <c r="D16" s="337"/>
      <c r="E16" s="337"/>
      <c r="F16" s="337"/>
      <c r="G16" s="337"/>
      <c r="H16" s="337"/>
      <c r="I16" s="337"/>
      <c r="J16" s="337"/>
      <c r="K16" s="337"/>
      <c r="L16" s="337"/>
      <c r="M16" s="337"/>
    </row>
    <row r="17" spans="1:20" x14ac:dyDescent="0.2">
      <c r="B17" s="874"/>
    </row>
    <row r="18" spans="1:20" x14ac:dyDescent="0.2">
      <c r="B18" s="874"/>
    </row>
    <row r="19" spans="1:20" ht="5.95" customHeight="1" x14ac:dyDescent="0.2">
      <c r="A19" s="337"/>
      <c r="B19" s="875"/>
      <c r="C19" s="337"/>
      <c r="D19" s="337"/>
      <c r="E19" s="337"/>
      <c r="F19" s="337"/>
      <c r="G19" s="337"/>
      <c r="H19" s="337"/>
      <c r="I19" s="337"/>
      <c r="J19" s="337"/>
      <c r="K19" s="337"/>
      <c r="L19" s="337"/>
      <c r="M19" s="337"/>
    </row>
    <row r="20" spans="1:20" s="874" customFormat="1" ht="13.6" x14ac:dyDescent="0.25">
      <c r="A20" s="875"/>
      <c r="B20" s="876" t="s">
        <v>292</v>
      </c>
      <c r="C20" s="875"/>
      <c r="D20" s="337"/>
      <c r="E20" s="337"/>
      <c r="F20" s="881" t="s">
        <v>543</v>
      </c>
      <c r="G20" s="1918" t="s">
        <v>820</v>
      </c>
      <c r="H20" s="1918"/>
      <c r="I20" s="1918"/>
      <c r="J20" s="1918"/>
      <c r="K20" s="1918"/>
      <c r="L20" s="1918"/>
      <c r="M20" s="875"/>
      <c r="N20" s="882"/>
    </row>
    <row r="21" spans="1:20" ht="5.95" customHeight="1" x14ac:dyDescent="0.2">
      <c r="A21" s="337"/>
      <c r="B21" s="875"/>
      <c r="C21" s="337"/>
      <c r="D21" s="337"/>
      <c r="E21" s="337"/>
      <c r="F21" s="337"/>
      <c r="G21" s="337"/>
      <c r="H21" s="337"/>
      <c r="I21" s="337"/>
      <c r="J21" s="337"/>
      <c r="K21" s="337"/>
      <c r="L21" s="337"/>
      <c r="M21" s="337"/>
    </row>
    <row r="22" spans="1:20" s="874" customFormat="1" x14ac:dyDescent="0.2">
      <c r="A22" s="875"/>
      <c r="B22" s="875"/>
      <c r="C22" s="875"/>
      <c r="D22" s="337"/>
      <c r="E22" s="337"/>
      <c r="F22" s="881" t="s">
        <v>542</v>
      </c>
      <c r="G22" s="1918" t="s">
        <v>249</v>
      </c>
      <c r="H22" s="1918"/>
      <c r="I22" s="1918"/>
      <c r="J22" s="1918"/>
      <c r="K22" s="1918"/>
      <c r="L22" s="1918"/>
      <c r="M22" s="875"/>
      <c r="N22" s="882"/>
      <c r="S22" s="1355" t="s">
        <v>619</v>
      </c>
      <c r="T22" s="1356" t="b">
        <v>1</v>
      </c>
    </row>
    <row r="23" spans="1:20" s="874" customFormat="1" ht="5.95" customHeight="1" x14ac:dyDescent="0.2">
      <c r="A23" s="875"/>
      <c r="B23" s="875"/>
      <c r="C23" s="875"/>
      <c r="D23" s="337"/>
      <c r="E23" s="337"/>
      <c r="F23" s="881"/>
      <c r="G23" s="881"/>
      <c r="H23" s="881"/>
      <c r="I23" s="881"/>
      <c r="J23" s="881"/>
      <c r="K23" s="881"/>
      <c r="L23" s="881"/>
      <c r="M23" s="875"/>
      <c r="N23" s="882"/>
      <c r="S23" s="1355"/>
      <c r="T23" s="1356"/>
    </row>
    <row r="24" spans="1:20" s="874" customFormat="1" x14ac:dyDescent="0.2">
      <c r="A24" s="875"/>
      <c r="B24" s="875"/>
      <c r="C24" s="875"/>
      <c r="D24" s="337"/>
      <c r="E24" s="337"/>
      <c r="F24" s="881" t="s">
        <v>854</v>
      </c>
      <c r="G24" s="1918" t="s">
        <v>847</v>
      </c>
      <c r="H24" s="1918"/>
      <c r="I24" s="1918"/>
      <c r="J24" s="1918"/>
      <c r="K24" s="1918"/>
      <c r="L24" s="1918"/>
      <c r="M24" s="875"/>
      <c r="N24" s="882"/>
      <c r="S24" s="1355"/>
      <c r="T24" s="1356"/>
    </row>
    <row r="25" spans="1:20" ht="5.95" customHeight="1" x14ac:dyDescent="0.2">
      <c r="A25" s="337"/>
      <c r="B25" s="875"/>
      <c r="C25" s="337"/>
      <c r="D25" s="337"/>
      <c r="E25" s="337"/>
      <c r="F25" s="337"/>
      <c r="G25" s="337"/>
      <c r="H25" s="337"/>
      <c r="I25" s="337"/>
      <c r="J25" s="337"/>
      <c r="K25" s="337"/>
      <c r="L25" s="337"/>
      <c r="M25" s="337"/>
    </row>
    <row r="26" spans="1:20" x14ac:dyDescent="0.2">
      <c r="B26" s="874"/>
    </row>
    <row r="27" spans="1:20" x14ac:dyDescent="0.2">
      <c r="B27" s="874"/>
      <c r="R27" s="1923" t="s">
        <v>544</v>
      </c>
      <c r="S27" s="1925"/>
      <c r="T27" s="1922" t="s">
        <v>484</v>
      </c>
    </row>
    <row r="28" spans="1:20" ht="5.95" customHeight="1" x14ac:dyDescent="0.2">
      <c r="A28" s="337"/>
      <c r="B28" s="875"/>
      <c r="C28" s="337"/>
      <c r="D28" s="337"/>
      <c r="E28" s="337"/>
      <c r="F28" s="337"/>
      <c r="G28" s="337"/>
      <c r="H28" s="337"/>
      <c r="I28" s="337"/>
      <c r="J28" s="337"/>
      <c r="K28" s="337"/>
      <c r="L28" s="337"/>
      <c r="M28" s="337"/>
      <c r="R28" s="1926"/>
      <c r="S28" s="1928"/>
      <c r="T28" s="1922"/>
    </row>
    <row r="29" spans="1:20" s="874" customFormat="1" ht="13.6" x14ac:dyDescent="0.25">
      <c r="A29" s="875"/>
      <c r="B29" s="876" t="s">
        <v>540</v>
      </c>
      <c r="C29" s="875"/>
      <c r="D29" s="875"/>
      <c r="E29" s="875"/>
      <c r="F29" s="881" t="s">
        <v>747</v>
      </c>
      <c r="G29" s="1920" t="s">
        <v>749</v>
      </c>
      <c r="H29" s="1920"/>
      <c r="I29" s="1920"/>
      <c r="J29" s="1920"/>
      <c r="K29" s="1920"/>
      <c r="L29" s="1920"/>
      <c r="M29" s="875"/>
      <c r="N29" s="882"/>
      <c r="R29" s="1913" t="s">
        <v>748</v>
      </c>
      <c r="S29" s="1913" t="s">
        <v>749</v>
      </c>
      <c r="T29" s="1921">
        <f>IF(G29=R29,1,0)</f>
        <v>0</v>
      </c>
    </row>
    <row r="30" spans="1:20" ht="5.95" customHeight="1" x14ac:dyDescent="0.2">
      <c r="A30" s="337"/>
      <c r="B30" s="875"/>
      <c r="C30" s="337"/>
      <c r="D30" s="337"/>
      <c r="E30" s="337"/>
      <c r="F30" s="879"/>
      <c r="G30" s="337"/>
      <c r="H30" s="337"/>
      <c r="I30" s="337"/>
      <c r="J30" s="337"/>
      <c r="K30" s="337"/>
      <c r="L30" s="337"/>
      <c r="M30" s="337"/>
      <c r="R30" s="1914"/>
      <c r="S30" s="1914"/>
      <c r="T30" s="1921"/>
    </row>
    <row r="31" spans="1:20" s="874" customFormat="1" ht="13.6" x14ac:dyDescent="0.25">
      <c r="A31" s="875"/>
      <c r="B31" s="876"/>
      <c r="C31" s="875"/>
      <c r="D31" s="875"/>
      <c r="E31" s="875"/>
      <c r="F31" s="881" t="s">
        <v>632</v>
      </c>
      <c r="G31" s="1920" t="s">
        <v>633</v>
      </c>
      <c r="H31" s="1920"/>
      <c r="I31" s="1920"/>
      <c r="J31" s="1920"/>
      <c r="K31" s="1920"/>
      <c r="L31" s="1920"/>
      <c r="M31" s="875"/>
      <c r="N31" s="882"/>
      <c r="R31" s="1913" t="s">
        <v>633</v>
      </c>
      <c r="S31" s="1913" t="s">
        <v>634</v>
      </c>
      <c r="T31" s="1921">
        <f>IF(G31=R31,1,0)</f>
        <v>1</v>
      </c>
    </row>
    <row r="32" spans="1:20" ht="5.95" customHeight="1" x14ac:dyDescent="0.2">
      <c r="A32" s="337"/>
      <c r="B32" s="875"/>
      <c r="C32" s="337"/>
      <c r="D32" s="337"/>
      <c r="E32" s="337"/>
      <c r="F32" s="337"/>
      <c r="G32" s="337"/>
      <c r="H32" s="337"/>
      <c r="I32" s="337"/>
      <c r="J32" s="337"/>
      <c r="K32" s="337"/>
      <c r="L32" s="337"/>
      <c r="M32" s="337"/>
      <c r="R32" s="1914"/>
      <c r="S32" s="1914"/>
      <c r="T32" s="1921"/>
    </row>
    <row r="33" spans="1:19" x14ac:dyDescent="0.2">
      <c r="B33" s="874"/>
    </row>
    <row r="34" spans="1:19" ht="12.75" customHeight="1" x14ac:dyDescent="0.2">
      <c r="B34" s="874"/>
    </row>
    <row r="35" spans="1:19" ht="5.95" customHeight="1" x14ac:dyDescent="0.2">
      <c r="A35" s="337"/>
      <c r="B35" s="875"/>
      <c r="C35" s="337"/>
      <c r="D35" s="337"/>
      <c r="E35" s="337"/>
      <c r="F35" s="337"/>
      <c r="G35" s="337"/>
      <c r="H35" s="337"/>
      <c r="I35" s="337"/>
      <c r="J35" s="337"/>
      <c r="K35" s="337"/>
      <c r="L35" s="337"/>
      <c r="M35" s="337"/>
      <c r="N35" s="884"/>
      <c r="O35" s="884"/>
      <c r="P35" s="884"/>
      <c r="Q35" s="884"/>
      <c r="R35" s="884"/>
      <c r="S35" s="884"/>
    </row>
    <row r="36" spans="1:19" ht="12.75" customHeight="1" x14ac:dyDescent="0.25">
      <c r="A36" s="337"/>
      <c r="B36" s="876" t="s">
        <v>142</v>
      </c>
      <c r="C36" s="337"/>
      <c r="D36" s="879" t="s">
        <v>143</v>
      </c>
      <c r="E36" s="337"/>
      <c r="F36" s="337"/>
      <c r="G36" s="337"/>
      <c r="H36" s="337"/>
      <c r="I36" s="146"/>
      <c r="J36" s="879" t="s">
        <v>5</v>
      </c>
      <c r="K36" s="337"/>
      <c r="L36" s="337"/>
      <c r="M36" s="337"/>
    </row>
    <row r="37" spans="1:19" ht="5.95" customHeight="1" x14ac:dyDescent="0.2">
      <c r="A37" s="337"/>
      <c r="B37" s="875"/>
      <c r="C37" s="337"/>
      <c r="D37" s="337"/>
      <c r="E37" s="337"/>
      <c r="F37" s="337"/>
      <c r="G37" s="337"/>
      <c r="H37" s="337"/>
      <c r="I37" s="337"/>
      <c r="J37" s="337"/>
      <c r="K37" s="337"/>
      <c r="L37" s="337"/>
      <c r="M37" s="337"/>
      <c r="O37" s="1915" t="s">
        <v>216</v>
      </c>
      <c r="P37" s="1915"/>
      <c r="Q37" s="1915"/>
    </row>
    <row r="38" spans="1:19" ht="12.75" customHeight="1" x14ac:dyDescent="0.2">
      <c r="A38" s="337"/>
      <c r="B38" s="875"/>
      <c r="C38" s="337"/>
      <c r="D38" s="879" t="s">
        <v>610</v>
      </c>
      <c r="E38" s="337"/>
      <c r="F38" s="337"/>
      <c r="G38" s="337"/>
      <c r="H38" s="337"/>
      <c r="I38" s="146"/>
      <c r="J38" s="879" t="s">
        <v>5</v>
      </c>
      <c r="K38" s="337"/>
      <c r="L38" s="337"/>
      <c r="M38" s="337"/>
      <c r="O38" s="1915"/>
      <c r="P38" s="1915"/>
      <c r="Q38" s="1915"/>
    </row>
    <row r="39" spans="1:19" ht="5.95" customHeight="1" x14ac:dyDescent="0.2">
      <c r="A39" s="337"/>
      <c r="B39" s="875"/>
      <c r="C39" s="337"/>
      <c r="D39" s="337"/>
      <c r="E39" s="337"/>
      <c r="F39" s="337"/>
      <c r="G39" s="337"/>
      <c r="H39" s="337"/>
      <c r="I39" s="337"/>
      <c r="J39" s="337"/>
      <c r="K39" s="337"/>
      <c r="L39" s="337"/>
      <c r="M39" s="337"/>
      <c r="O39" s="1915"/>
      <c r="P39" s="1915"/>
      <c r="Q39" s="1915"/>
    </row>
    <row r="40" spans="1:19" ht="12.75" customHeight="1" x14ac:dyDescent="0.2">
      <c r="A40" s="337"/>
      <c r="B40" s="875"/>
      <c r="C40" s="337"/>
      <c r="D40" s="879" t="s">
        <v>144</v>
      </c>
      <c r="E40" s="337"/>
      <c r="F40" s="337"/>
      <c r="G40" s="337"/>
      <c r="H40" s="337"/>
      <c r="I40" s="146"/>
      <c r="J40" s="879" t="s">
        <v>5</v>
      </c>
      <c r="K40" s="337"/>
      <c r="L40" s="337"/>
      <c r="M40" s="337"/>
    </row>
    <row r="41" spans="1:19" ht="5.95" customHeight="1" x14ac:dyDescent="0.2">
      <c r="A41" s="337"/>
      <c r="B41" s="875"/>
      <c r="C41" s="337"/>
      <c r="D41" s="337"/>
      <c r="E41" s="337"/>
      <c r="F41" s="337"/>
      <c r="G41" s="337"/>
      <c r="H41" s="337"/>
      <c r="I41" s="337"/>
      <c r="J41" s="337"/>
      <c r="K41" s="337"/>
      <c r="L41" s="337"/>
      <c r="M41" s="337"/>
    </row>
    <row r="42" spans="1:19" ht="12.75" customHeight="1" x14ac:dyDescent="0.2">
      <c r="A42" s="337"/>
      <c r="B42" s="875"/>
      <c r="C42" s="337"/>
      <c r="D42" s="889" t="s">
        <v>145</v>
      </c>
      <c r="E42" s="890"/>
      <c r="F42" s="890"/>
      <c r="G42" s="890"/>
      <c r="H42" s="337"/>
      <c r="I42" s="334">
        <f>I46+I48+I51+I53</f>
        <v>0</v>
      </c>
      <c r="J42" s="889" t="s">
        <v>5</v>
      </c>
      <c r="K42" s="337"/>
      <c r="L42" s="337"/>
      <c r="M42" s="337"/>
    </row>
    <row r="43" spans="1:19" ht="5.95" customHeight="1" x14ac:dyDescent="0.2">
      <c r="A43" s="337"/>
      <c r="B43" s="337"/>
      <c r="C43" s="337"/>
      <c r="D43" s="337"/>
      <c r="E43" s="337"/>
      <c r="F43" s="337"/>
      <c r="G43" s="337"/>
      <c r="H43" s="337"/>
      <c r="I43" s="891"/>
      <c r="J43" s="337"/>
      <c r="K43" s="337"/>
      <c r="L43" s="337"/>
      <c r="M43" s="337"/>
    </row>
    <row r="44" spans="1:19" ht="5.95" customHeight="1" x14ac:dyDescent="0.25">
      <c r="A44" s="337"/>
      <c r="B44" s="1912" t="s">
        <v>286</v>
      </c>
      <c r="C44" s="892"/>
      <c r="D44" s="892"/>
      <c r="E44" s="893"/>
      <c r="F44" s="893"/>
      <c r="G44" s="893"/>
      <c r="H44" s="893"/>
      <c r="I44" s="894"/>
      <c r="J44" s="893"/>
      <c r="K44" s="893"/>
      <c r="L44" s="893"/>
      <c r="M44" s="337"/>
    </row>
    <row r="45" spans="1:19" ht="5.95" customHeight="1" x14ac:dyDescent="0.2">
      <c r="A45" s="337"/>
      <c r="B45" s="1912"/>
      <c r="C45" s="1919" t="s">
        <v>285</v>
      </c>
      <c r="D45" s="895"/>
      <c r="E45" s="895"/>
      <c r="F45" s="895"/>
      <c r="G45" s="896"/>
      <c r="H45" s="896"/>
      <c r="I45" s="897"/>
      <c r="J45" s="895"/>
      <c r="K45" s="893"/>
      <c r="L45" s="893"/>
      <c r="M45" s="337"/>
    </row>
    <row r="46" spans="1:19" x14ac:dyDescent="0.2">
      <c r="A46" s="337"/>
      <c r="B46" s="1912"/>
      <c r="C46" s="1919"/>
      <c r="D46" s="896" t="s">
        <v>281</v>
      </c>
      <c r="E46" s="895"/>
      <c r="F46" s="895"/>
      <c r="G46" s="895"/>
      <c r="H46" s="895"/>
      <c r="I46" s="331"/>
      <c r="J46" s="896" t="s">
        <v>5</v>
      </c>
      <c r="K46" s="898"/>
      <c r="L46" s="898"/>
      <c r="M46" s="337"/>
      <c r="O46" s="1348"/>
      <c r="P46" s="1348"/>
      <c r="Q46" s="1348"/>
    </row>
    <row r="47" spans="1:19" ht="5.95" customHeight="1" x14ac:dyDescent="0.2">
      <c r="A47" s="337"/>
      <c r="B47" s="1912"/>
      <c r="C47" s="1919"/>
      <c r="D47" s="895"/>
      <c r="E47" s="895"/>
      <c r="F47" s="895"/>
      <c r="G47" s="895"/>
      <c r="H47" s="896"/>
      <c r="I47" s="899"/>
      <c r="J47" s="895"/>
      <c r="K47" s="893"/>
      <c r="L47" s="893"/>
      <c r="M47" s="337"/>
      <c r="O47" s="1348"/>
      <c r="P47" s="1348"/>
      <c r="Q47" s="1348"/>
    </row>
    <row r="48" spans="1:19" ht="12.75" customHeight="1" x14ac:dyDescent="0.2">
      <c r="A48" s="337"/>
      <c r="B48" s="1912"/>
      <c r="C48" s="1919"/>
      <c r="D48" s="896" t="s">
        <v>282</v>
      </c>
      <c r="E48" s="895"/>
      <c r="F48" s="895"/>
      <c r="G48" s="895"/>
      <c r="H48" s="895"/>
      <c r="I48" s="331"/>
      <c r="J48" s="896" t="s">
        <v>5</v>
      </c>
      <c r="K48" s="898"/>
      <c r="L48" s="898"/>
      <c r="M48" s="337"/>
      <c r="O48" s="1917" t="s">
        <v>216</v>
      </c>
      <c r="P48" s="1917"/>
      <c r="Q48" s="1917"/>
    </row>
    <row r="49" spans="1:20" ht="5.95" customHeight="1" x14ac:dyDescent="0.2">
      <c r="A49" s="337"/>
      <c r="B49" s="1912"/>
      <c r="C49" s="1919"/>
      <c r="D49" s="895"/>
      <c r="E49" s="895"/>
      <c r="F49" s="895"/>
      <c r="G49" s="895"/>
      <c r="H49" s="896"/>
      <c r="I49" s="899"/>
      <c r="J49" s="895"/>
      <c r="K49" s="893"/>
      <c r="L49" s="893"/>
      <c r="M49" s="337"/>
      <c r="O49" s="1917"/>
      <c r="P49" s="1917"/>
      <c r="Q49" s="1917"/>
    </row>
    <row r="50" spans="1:20" ht="5.95" customHeight="1" x14ac:dyDescent="0.2">
      <c r="A50" s="337"/>
      <c r="B50" s="1912"/>
      <c r="C50" s="893"/>
      <c r="D50" s="893"/>
      <c r="E50" s="893"/>
      <c r="F50" s="893"/>
      <c r="G50" s="893"/>
      <c r="H50" s="898"/>
      <c r="I50" s="900"/>
      <c r="J50" s="893"/>
      <c r="K50" s="893"/>
      <c r="L50" s="893"/>
      <c r="M50" s="337"/>
      <c r="O50" s="1917"/>
      <c r="P50" s="1917"/>
      <c r="Q50" s="1917"/>
    </row>
    <row r="51" spans="1:20" x14ac:dyDescent="0.2">
      <c r="A51" s="337"/>
      <c r="B51" s="1912"/>
      <c r="C51" s="893"/>
      <c r="D51" s="898" t="s">
        <v>283</v>
      </c>
      <c r="E51" s="893"/>
      <c r="F51" s="893"/>
      <c r="G51" s="893"/>
      <c r="H51" s="893"/>
      <c r="I51" s="331"/>
      <c r="J51" s="898" t="s">
        <v>5</v>
      </c>
      <c r="K51" s="898"/>
      <c r="L51" s="898"/>
      <c r="M51" s="337"/>
      <c r="O51" s="1917"/>
      <c r="P51" s="1917"/>
      <c r="Q51" s="1917"/>
    </row>
    <row r="52" spans="1:20" ht="5.95" customHeight="1" x14ac:dyDescent="0.2">
      <c r="A52" s="337"/>
      <c r="B52" s="1912"/>
      <c r="C52" s="893"/>
      <c r="D52" s="893"/>
      <c r="E52" s="893"/>
      <c r="F52" s="893"/>
      <c r="G52" s="893"/>
      <c r="H52" s="898"/>
      <c r="I52" s="900"/>
      <c r="J52" s="893"/>
      <c r="K52" s="893"/>
      <c r="L52" s="893"/>
      <c r="M52" s="337"/>
      <c r="O52" s="1348"/>
      <c r="P52" s="1348"/>
      <c r="Q52" s="1348"/>
    </row>
    <row r="53" spans="1:20" x14ac:dyDescent="0.2">
      <c r="A53" s="337"/>
      <c r="B53" s="1912"/>
      <c r="C53" s="893"/>
      <c r="D53" s="898" t="s">
        <v>284</v>
      </c>
      <c r="E53" s="893"/>
      <c r="F53" s="893"/>
      <c r="G53" s="893"/>
      <c r="H53" s="893"/>
      <c r="I53" s="332"/>
      <c r="J53" s="898" t="s">
        <v>5</v>
      </c>
      <c r="K53" s="898"/>
      <c r="L53" s="898"/>
      <c r="M53" s="337"/>
    </row>
    <row r="54" spans="1:20" ht="5.95" customHeight="1" x14ac:dyDescent="0.2">
      <c r="A54" s="337"/>
      <c r="B54" s="1912"/>
      <c r="C54" s="893"/>
      <c r="D54" s="893"/>
      <c r="E54" s="893"/>
      <c r="F54" s="893"/>
      <c r="G54" s="893"/>
      <c r="H54" s="893"/>
      <c r="I54" s="893"/>
      <c r="J54" s="893"/>
      <c r="K54" s="893"/>
      <c r="L54" s="893"/>
      <c r="M54" s="337"/>
    </row>
    <row r="55" spans="1:20" ht="5.95" customHeight="1" x14ac:dyDescent="0.2">
      <c r="A55" s="337"/>
      <c r="B55" s="337"/>
      <c r="C55" s="337"/>
      <c r="D55" s="337"/>
      <c r="E55" s="337"/>
      <c r="F55" s="337"/>
      <c r="G55" s="337"/>
      <c r="H55" s="337"/>
      <c r="I55" s="337"/>
      <c r="J55" s="337"/>
      <c r="K55" s="337"/>
      <c r="L55" s="337"/>
      <c r="M55" s="337"/>
    </row>
    <row r="57" spans="1:20" x14ac:dyDescent="0.2">
      <c r="B57" s="874"/>
    </row>
    <row r="58" spans="1:20" ht="5.95" customHeight="1" x14ac:dyDescent="0.2">
      <c r="A58" s="337"/>
      <c r="B58" s="875"/>
      <c r="C58" s="337"/>
      <c r="D58" s="337"/>
      <c r="E58" s="337"/>
      <c r="F58" s="337"/>
      <c r="G58" s="337"/>
      <c r="H58" s="337"/>
      <c r="I58" s="337"/>
      <c r="J58" s="337"/>
      <c r="K58" s="337"/>
      <c r="L58" s="337"/>
      <c r="M58" s="337"/>
      <c r="R58" s="1923" t="s">
        <v>287</v>
      </c>
      <c r="S58" s="1924"/>
      <c r="T58" s="1925"/>
    </row>
    <row r="59" spans="1:20" ht="12.75" customHeight="1" x14ac:dyDescent="0.25">
      <c r="A59" s="337"/>
      <c r="B59" s="876" t="s">
        <v>139</v>
      </c>
      <c r="C59" s="337"/>
      <c r="D59" s="337"/>
      <c r="E59" s="337"/>
      <c r="F59" s="337"/>
      <c r="G59" s="337"/>
      <c r="H59" s="879" t="s">
        <v>140</v>
      </c>
      <c r="I59" s="1916"/>
      <c r="J59" s="1916"/>
      <c r="K59" s="1916"/>
      <c r="L59" s="1916"/>
      <c r="M59" s="337"/>
      <c r="R59" s="1926"/>
      <c r="S59" s="1927"/>
      <c r="T59" s="1928"/>
    </row>
    <row r="60" spans="1:20" ht="5.95" customHeight="1" x14ac:dyDescent="0.2">
      <c r="A60" s="337"/>
      <c r="B60" s="875"/>
      <c r="C60" s="337"/>
      <c r="D60" s="337"/>
      <c r="E60" s="337"/>
      <c r="F60" s="337"/>
      <c r="G60" s="337"/>
      <c r="H60" s="337"/>
      <c r="I60" s="337"/>
      <c r="J60" s="337"/>
      <c r="K60" s="337"/>
      <c r="L60" s="337"/>
      <c r="M60" s="337"/>
      <c r="R60" s="1913" t="str">
        <f>Grunddaten!E106</f>
        <v>MINERGIE Umbau</v>
      </c>
      <c r="S60" s="1913" t="str">
        <f>Grunddaten!H106</f>
        <v>MINERGIE Neubau</v>
      </c>
      <c r="T60" s="1913" t="str">
        <f>Grunddaten!K106</f>
        <v>MINERGIE-P</v>
      </c>
    </row>
    <row r="61" spans="1:20" x14ac:dyDescent="0.2">
      <c r="A61" s="337"/>
      <c r="B61" s="875"/>
      <c r="C61" s="337"/>
      <c r="D61" s="879" t="s">
        <v>118</v>
      </c>
      <c r="E61" s="337"/>
      <c r="F61" s="337"/>
      <c r="G61" s="879" t="s">
        <v>119</v>
      </c>
      <c r="H61" s="337"/>
      <c r="I61" s="337"/>
      <c r="J61" s="337"/>
      <c r="K61" s="337"/>
      <c r="L61" s="337"/>
      <c r="M61" s="337"/>
      <c r="R61" s="1914"/>
      <c r="S61" s="1914"/>
      <c r="T61" s="1914"/>
    </row>
    <row r="62" spans="1:20" ht="4.5999999999999996" customHeight="1" x14ac:dyDescent="0.2">
      <c r="A62" s="337"/>
      <c r="B62" s="875"/>
      <c r="C62" s="337"/>
      <c r="D62" s="879"/>
      <c r="E62" s="337"/>
      <c r="F62" s="337"/>
      <c r="G62" s="879"/>
      <c r="H62" s="337"/>
      <c r="I62" s="337"/>
      <c r="J62" s="337"/>
      <c r="K62" s="337"/>
      <c r="L62" s="337"/>
      <c r="M62" s="337"/>
    </row>
    <row r="63" spans="1:20" ht="12.75" customHeight="1" x14ac:dyDescent="0.2">
      <c r="A63" s="337"/>
      <c r="B63" s="880" t="s">
        <v>120</v>
      </c>
      <c r="C63" s="337"/>
      <c r="D63" s="1916"/>
      <c r="E63" s="1916"/>
      <c r="F63" s="337"/>
      <c r="G63" s="146"/>
      <c r="H63" s="879" t="s">
        <v>60</v>
      </c>
      <c r="I63" s="337"/>
      <c r="J63" s="337"/>
      <c r="K63" s="337"/>
      <c r="L63" s="337"/>
      <c r="M63" s="337"/>
    </row>
    <row r="64" spans="1:20" ht="4.5999999999999996" customHeight="1" x14ac:dyDescent="0.2">
      <c r="A64" s="337"/>
      <c r="B64" s="875"/>
      <c r="C64" s="337"/>
      <c r="D64" s="879"/>
      <c r="E64" s="337"/>
      <c r="F64" s="337"/>
      <c r="G64" s="883"/>
      <c r="H64" s="337"/>
      <c r="I64" s="337"/>
      <c r="J64" s="337"/>
      <c r="K64" s="337"/>
      <c r="L64" s="337"/>
      <c r="M64" s="337"/>
    </row>
    <row r="65" spans="1:19" ht="12.75" customHeight="1" x14ac:dyDescent="0.2">
      <c r="A65" s="337"/>
      <c r="B65" s="880" t="s">
        <v>121</v>
      </c>
      <c r="C65" s="337"/>
      <c r="D65" s="1916"/>
      <c r="E65" s="1916"/>
      <c r="F65" s="337"/>
      <c r="G65" s="146"/>
      <c r="H65" s="879" t="s">
        <v>60</v>
      </c>
      <c r="I65" s="337"/>
      <c r="J65" s="337"/>
      <c r="K65" s="337"/>
      <c r="L65" s="337"/>
      <c r="M65" s="337"/>
    </row>
    <row r="66" spans="1:19" ht="4.5999999999999996" customHeight="1" x14ac:dyDescent="0.2">
      <c r="A66" s="337"/>
      <c r="B66" s="875"/>
      <c r="C66" s="337"/>
      <c r="D66" s="879"/>
      <c r="E66" s="337"/>
      <c r="F66" s="337"/>
      <c r="G66" s="883"/>
      <c r="H66" s="337"/>
      <c r="I66" s="337"/>
      <c r="J66" s="337"/>
      <c r="K66" s="337"/>
      <c r="L66" s="337"/>
      <c r="M66" s="337"/>
    </row>
    <row r="67" spans="1:19" ht="12.75" customHeight="1" x14ac:dyDescent="0.2">
      <c r="A67" s="337"/>
      <c r="B67" s="880" t="s">
        <v>122</v>
      </c>
      <c r="C67" s="337"/>
      <c r="D67" s="1916"/>
      <c r="E67" s="1916"/>
      <c r="F67" s="337"/>
      <c r="G67" s="146"/>
      <c r="H67" s="879" t="s">
        <v>60</v>
      </c>
      <c r="I67" s="337"/>
      <c r="J67" s="337"/>
      <c r="K67" s="337"/>
      <c r="L67" s="337"/>
      <c r="M67" s="337"/>
      <c r="N67" s="884"/>
      <c r="O67" s="884"/>
      <c r="P67" s="884"/>
      <c r="Q67" s="884"/>
      <c r="R67" s="884"/>
      <c r="S67" s="884"/>
    </row>
    <row r="68" spans="1:19" ht="4.5999999999999996" customHeight="1" x14ac:dyDescent="0.2">
      <c r="A68" s="337"/>
      <c r="B68" s="875"/>
      <c r="C68" s="337"/>
      <c r="D68" s="879"/>
      <c r="E68" s="337"/>
      <c r="F68" s="337"/>
      <c r="G68" s="883"/>
      <c r="H68" s="337"/>
      <c r="I68" s="337"/>
      <c r="J68" s="337"/>
      <c r="K68" s="337"/>
      <c r="L68" s="337"/>
      <c r="M68" s="337"/>
      <c r="N68" s="884"/>
      <c r="O68" s="884"/>
      <c r="P68" s="884"/>
      <c r="Q68" s="884"/>
      <c r="R68" s="884"/>
      <c r="S68" s="884"/>
    </row>
    <row r="69" spans="1:19" ht="12.75" customHeight="1" x14ac:dyDescent="0.2">
      <c r="A69" s="337"/>
      <c r="B69" s="880" t="s">
        <v>123</v>
      </c>
      <c r="C69" s="337"/>
      <c r="D69" s="1916"/>
      <c r="E69" s="1916"/>
      <c r="F69" s="337"/>
      <c r="G69" s="146"/>
      <c r="H69" s="879" t="s">
        <v>60</v>
      </c>
      <c r="I69" s="337"/>
      <c r="J69" s="337"/>
      <c r="K69" s="337"/>
      <c r="L69" s="337"/>
      <c r="M69" s="337"/>
      <c r="N69" s="884"/>
      <c r="O69" s="884"/>
      <c r="P69" s="884"/>
      <c r="Q69" s="884"/>
      <c r="R69" s="884"/>
      <c r="S69" s="884"/>
    </row>
    <row r="70" spans="1:19" ht="3.1" customHeight="1" x14ac:dyDescent="0.2">
      <c r="A70" s="337"/>
      <c r="B70" s="875"/>
      <c r="C70" s="337"/>
      <c r="D70" s="337"/>
      <c r="E70" s="337"/>
      <c r="F70" s="337"/>
      <c r="G70" s="885"/>
      <c r="H70" s="337"/>
      <c r="I70" s="337"/>
      <c r="J70" s="337"/>
      <c r="K70" s="337"/>
      <c r="L70" s="337"/>
      <c r="M70" s="337"/>
      <c r="N70" s="884"/>
      <c r="O70" s="886"/>
      <c r="P70" s="886"/>
      <c r="Q70" s="886"/>
      <c r="R70" s="886"/>
      <c r="S70" s="884"/>
    </row>
    <row r="71" spans="1:19" ht="3.1" customHeight="1" x14ac:dyDescent="0.2">
      <c r="A71" s="337"/>
      <c r="B71" s="875"/>
      <c r="C71" s="337"/>
      <c r="D71" s="879"/>
      <c r="E71" s="337"/>
      <c r="F71" s="337"/>
      <c r="G71" s="883"/>
      <c r="H71" s="337"/>
      <c r="I71" s="337"/>
      <c r="J71" s="337"/>
      <c r="K71" s="337"/>
      <c r="L71" s="337"/>
      <c r="M71" s="337"/>
      <c r="N71" s="884"/>
      <c r="O71" s="884"/>
      <c r="P71" s="884"/>
      <c r="Q71" s="884"/>
      <c r="R71" s="884"/>
      <c r="S71" s="884"/>
    </row>
    <row r="72" spans="1:19" ht="12.75" customHeight="1" x14ac:dyDescent="0.2">
      <c r="A72" s="337"/>
      <c r="B72" s="880" t="s">
        <v>14</v>
      </c>
      <c r="C72" s="337"/>
      <c r="D72" s="337"/>
      <c r="E72" s="337"/>
      <c r="F72" s="337"/>
      <c r="G72" s="887">
        <f>SUM(G63:G69)</f>
        <v>0</v>
      </c>
      <c r="H72" s="879" t="s">
        <v>60</v>
      </c>
      <c r="I72" s="337"/>
      <c r="J72" s="337"/>
      <c r="K72" s="337"/>
      <c r="L72" s="337"/>
      <c r="M72" s="337"/>
      <c r="N72" s="884"/>
      <c r="O72" s="884"/>
      <c r="P72" s="884"/>
      <c r="Q72" s="884"/>
      <c r="R72" s="884"/>
      <c r="S72" s="884"/>
    </row>
    <row r="73" spans="1:19" ht="5.95" customHeight="1" x14ac:dyDescent="0.2">
      <c r="A73" s="337"/>
      <c r="B73" s="875"/>
      <c r="C73" s="337"/>
      <c r="D73" s="337"/>
      <c r="E73" s="337"/>
      <c r="F73" s="337"/>
      <c r="G73" s="337"/>
      <c r="H73" s="337"/>
      <c r="I73" s="337"/>
      <c r="J73" s="337"/>
      <c r="K73" s="337"/>
      <c r="L73" s="337"/>
      <c r="M73" s="337"/>
      <c r="N73" s="884"/>
      <c r="O73" s="884"/>
      <c r="P73" s="884"/>
      <c r="Q73" s="884"/>
      <c r="R73" s="884"/>
      <c r="S73" s="884"/>
    </row>
    <row r="74" spans="1:19" ht="12.75" customHeight="1" x14ac:dyDescent="0.2">
      <c r="B74" s="888"/>
      <c r="C74" s="339"/>
      <c r="D74" s="339"/>
      <c r="E74" s="339"/>
      <c r="F74" s="339"/>
      <c r="G74" s="339"/>
      <c r="H74" s="339"/>
      <c r="I74" s="339"/>
      <c r="J74" s="339"/>
      <c r="K74" s="339"/>
      <c r="L74" s="339"/>
      <c r="M74" s="339"/>
      <c r="N74" s="884"/>
      <c r="O74" s="884"/>
      <c r="P74" s="884"/>
      <c r="Q74" s="884"/>
      <c r="R74" s="884"/>
      <c r="S74" s="884"/>
    </row>
    <row r="76" spans="1:19" x14ac:dyDescent="0.2">
      <c r="B76" s="762" t="s">
        <v>616</v>
      </c>
      <c r="C76" s="763"/>
      <c r="D76" s="764"/>
      <c r="F76" s="762" t="s">
        <v>617</v>
      </c>
      <c r="G76" s="763"/>
      <c r="H76" s="764"/>
    </row>
    <row r="77" spans="1:19" x14ac:dyDescent="0.2">
      <c r="B77" s="340" t="str">
        <f>Grunddaten!C27</f>
        <v>CH-Verbrauchermix</v>
      </c>
      <c r="C77" s="341"/>
      <c r="D77" s="765"/>
      <c r="F77" s="340" t="str">
        <f>Grunddaten!C53</f>
        <v>Durchschnitt CH (KVA)</v>
      </c>
      <c r="G77" s="341"/>
      <c r="H77" s="765"/>
    </row>
    <row r="78" spans="1:19" x14ac:dyDescent="0.2">
      <c r="B78" s="342" t="str">
        <f>Grunddaten!C11</f>
        <v>Stadt Zürich 
Verwaltungsmix</v>
      </c>
      <c r="C78" s="324"/>
      <c r="D78" s="766"/>
      <c r="F78" s="780" t="str">
        <f>Grunddaten!C52</f>
        <v>Stadt Zürich</v>
      </c>
      <c r="G78" s="781"/>
      <c r="H78" s="1354"/>
    </row>
    <row r="79" spans="1:19" x14ac:dyDescent="0.2">
      <c r="B79" s="342" t="str">
        <f>Grunddaten!C15</f>
        <v>ewz.basis</v>
      </c>
      <c r="C79" s="324"/>
      <c r="D79" s="766"/>
    </row>
    <row r="80" spans="1:19" x14ac:dyDescent="0.2">
      <c r="B80" s="342" t="str">
        <f>Grunddaten!C19</f>
        <v>ewz.ökopower</v>
      </c>
      <c r="C80" s="324"/>
      <c r="D80" s="766"/>
      <c r="F80" s="762" t="s">
        <v>618</v>
      </c>
      <c r="G80" s="763"/>
      <c r="H80" s="764"/>
    </row>
    <row r="81" spans="2:8" x14ac:dyDescent="0.2">
      <c r="B81" s="342" t="str">
        <f>Grunddaten!C23</f>
        <v>ewz.wassertop</v>
      </c>
      <c r="C81" s="324"/>
      <c r="D81" s="766"/>
      <c r="F81" s="340" t="str">
        <f>Grunddaten!C53</f>
        <v>Durchschnitt CH (KVA)</v>
      </c>
      <c r="G81" s="341"/>
      <c r="H81" s="765"/>
    </row>
    <row r="82" spans="2:8" x14ac:dyDescent="0.2">
      <c r="B82" s="342" t="str">
        <f>Grunddaten!C25</f>
        <v>ewz.solartop</v>
      </c>
      <c r="C82" s="324"/>
      <c r="D82" s="766"/>
      <c r="F82" s="780" t="str">
        <f>Grunddaten!C54</f>
        <v>Fernwärme XY</v>
      </c>
      <c r="G82" s="781"/>
      <c r="H82" s="1354"/>
    </row>
    <row r="83" spans="2:8" x14ac:dyDescent="0.2">
      <c r="B83" s="1353"/>
      <c r="C83" s="1353"/>
      <c r="D83" s="1353"/>
    </row>
    <row r="84" spans="2:8" x14ac:dyDescent="0.2">
      <c r="B84" s="1699" t="s">
        <v>615</v>
      </c>
      <c r="C84" s="1700"/>
      <c r="D84" s="1701"/>
      <c r="F84" s="762" t="s">
        <v>855</v>
      </c>
      <c r="G84" s="763"/>
      <c r="H84" s="764"/>
    </row>
    <row r="85" spans="2:8" x14ac:dyDescent="0.2">
      <c r="B85" s="1702" t="str">
        <f>Grunddaten!C27</f>
        <v>CH-Verbrauchermix</v>
      </c>
      <c r="C85" s="341"/>
      <c r="D85" s="1703"/>
      <c r="F85" s="340" t="str">
        <f>Grunddaten!C47</f>
        <v>Biogas - Durchschnitt CH</v>
      </c>
      <c r="G85" s="341"/>
      <c r="H85" s="765"/>
    </row>
    <row r="86" spans="2:8" x14ac:dyDescent="0.2">
      <c r="B86" s="1704" t="str">
        <f>Grunddaten!C33</f>
        <v>Lokales Produkt A</v>
      </c>
      <c r="C86" s="324"/>
      <c r="D86" s="1705"/>
      <c r="F86" s="780" t="str">
        <f>Grunddaten!C48</f>
        <v>Biogas - Energie360° (naturemade star)</v>
      </c>
      <c r="G86" s="781"/>
      <c r="H86" s="1354"/>
    </row>
    <row r="87" spans="2:8" x14ac:dyDescent="0.2">
      <c r="B87" s="1704" t="str">
        <f>Grunddaten!C37</f>
        <v>Lokales Produkt B</v>
      </c>
      <c r="C87" s="324"/>
      <c r="D87" s="1705"/>
    </row>
    <row r="88" spans="2:8" x14ac:dyDescent="0.2">
      <c r="B88" s="1706" t="str">
        <f>Grunddaten!C41</f>
        <v>Lokales Produkt C</v>
      </c>
      <c r="C88" s="781"/>
      <c r="D88" s="1707"/>
    </row>
  </sheetData>
  <sheetProtection algorithmName="SHA-512" hashValue="R9NyBwqsS8Wz1uoHVnFTEe72aP7bicUWeDvtMT/fiSvdmLjLIlUQa2YxRJPtxrJYpnmPciBTL50XPo+P6Ty1Aw==" saltValue="Aj7gxBiegB4BXAjJOKofcw==" spinCount="100000" sheet="1" objects="1" scenarios="1" selectLockedCells="1"/>
  <mergeCells count="30">
    <mergeCell ref="C8:E8"/>
    <mergeCell ref="D15:F15"/>
    <mergeCell ref="I8:L8"/>
    <mergeCell ref="I15:L15"/>
    <mergeCell ref="S31:S32"/>
    <mergeCell ref="G20:L20"/>
    <mergeCell ref="G24:L24"/>
    <mergeCell ref="S60:S61"/>
    <mergeCell ref="T60:T61"/>
    <mergeCell ref="I59:L59"/>
    <mergeCell ref="G22:L22"/>
    <mergeCell ref="C45:C49"/>
    <mergeCell ref="G31:L31"/>
    <mergeCell ref="G29:L29"/>
    <mergeCell ref="R31:R32"/>
    <mergeCell ref="T31:T32"/>
    <mergeCell ref="T27:T28"/>
    <mergeCell ref="R58:T59"/>
    <mergeCell ref="T29:T30"/>
    <mergeCell ref="R29:R30"/>
    <mergeCell ref="S29:S30"/>
    <mergeCell ref="R27:S28"/>
    <mergeCell ref="B44:B54"/>
    <mergeCell ref="R60:R61"/>
    <mergeCell ref="O37:Q39"/>
    <mergeCell ref="D67:E67"/>
    <mergeCell ref="D69:E69"/>
    <mergeCell ref="D65:E65"/>
    <mergeCell ref="D63:E63"/>
    <mergeCell ref="O48:Q51"/>
  </mergeCells>
  <dataValidations xWindow="339" yWindow="625" count="7">
    <dataValidation type="list" allowBlank="1" showInputMessage="1" showErrorMessage="1" sqref="D63:E63 D65:E65 D67:E67 D69:E69">
      <formula1>Nutzungskategorien</formula1>
    </dataValidation>
    <dataValidation type="list" allowBlank="1" showInputMessage="1" showErrorMessage="1" sqref="I59">
      <formula1>$R$60:$T$60</formula1>
    </dataValidation>
    <dataValidation type="list" allowBlank="1" showInputMessage="1" showErrorMessage="1" sqref="G29">
      <formula1>$R$29:$S$29</formula1>
    </dataValidation>
    <dataValidation type="list" allowBlank="1" showInputMessage="1" showErrorMessage="1" sqref="G31:L31">
      <formula1>$R$31:$S$31</formula1>
    </dataValidation>
    <dataValidation type="list" allowBlank="1" showInputMessage="1" showErrorMessage="1" sqref="G22:L22">
      <formula1>IF($T$22,$F$77:$F$78,$F$81:$F$82)</formula1>
    </dataValidation>
    <dataValidation type="list" allowBlank="1" showInputMessage="1" showErrorMessage="1" promptTitle="Produktewahl Elektrizität" prompt="Nach SIA Merkblatt 2040, Ziff. 2.3.1.4 ist eine andere Wahl als &quot;CH-Verbrauchermix&quot; nur dann zulässig, wenn der Bezug des betreffenden Stromprodukts durch einen langfristigen Liefervertrag (mind. 10 Jahre) abgesichert wird." sqref="G20:L20">
      <formula1>IF($T$22,$B$77:$B$82,$B$85:$B$88)</formula1>
    </dataValidation>
    <dataValidation type="list" allowBlank="1" showInputMessage="1" showErrorMessage="1" sqref="G24:L24">
      <formula1>IF($T$22,$F$86,$F$85:$F$86)</formula1>
    </dataValidation>
  </dataValidations>
  <hyperlinks>
    <hyperlink ref="H2" location="Neu_in_Version" display="i"/>
  </hyperlinks>
  <pageMargins left="0.70866141732283472" right="0.70866141732283472" top="0.39370078740157483" bottom="0.98425196850393704" header="0.39370078740157483" footer="0.39370078740157483"/>
  <pageSetup paperSize="9" scale="93" orientation="portrait" r:id="rId1"/>
  <headerFooter scaleWithDoc="0">
    <oddFooter>&amp;L&amp;8&amp;G&amp;C&amp;9Seite &amp;P/&amp;N&amp;6
                                                          &amp;D/&amp;F&amp;R&amp;7&amp;G</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2555" r:id="rId5" name="Check Box 27">
              <controlPr defaultSize="0" autoFill="0" autoLine="0" autoPict="0">
                <anchor moveWithCells="1">
                  <from>
                    <xdr:col>3</xdr:col>
                    <xdr:colOff>0</xdr:colOff>
                    <xdr:row>19</xdr:row>
                    <xdr:rowOff>0</xdr:rowOff>
                  </from>
                  <to>
                    <xdr:col>4</xdr:col>
                    <xdr:colOff>207034</xdr:colOff>
                    <xdr:row>20</xdr:row>
                    <xdr:rowOff>60385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2" tint="-0.249977111117893"/>
  </sheetPr>
  <dimension ref="A1:DI213"/>
  <sheetViews>
    <sheetView showGridLines="0" zoomScaleNormal="100" zoomScaleSheetLayoutView="80" workbookViewId="0">
      <pane ySplit="4" topLeftCell="A5" activePane="bottomLeft" state="frozenSplit"/>
      <selection pane="bottomLeft" activeCell="V5" sqref="V5"/>
    </sheetView>
  </sheetViews>
  <sheetFormatPr baseColWidth="10" defaultColWidth="11.375" defaultRowHeight="12.9" outlineLevelCol="1" x14ac:dyDescent="0.2"/>
  <cols>
    <col min="1" max="2" width="6.75" style="31" customWidth="1"/>
    <col min="3" max="6" width="5.375" style="31" customWidth="1"/>
    <col min="7" max="7" width="5.375" style="32" customWidth="1"/>
    <col min="8" max="24" width="5.375" style="33" customWidth="1"/>
    <col min="25" max="28" width="5.375" style="32" customWidth="1"/>
    <col min="29" max="32" width="5.375" style="31" customWidth="1"/>
    <col min="33" max="33" width="2.875" style="31" customWidth="1"/>
    <col min="34" max="35" width="6.75" style="31" customWidth="1"/>
    <col min="36" max="39" width="5.375" style="31" customWidth="1" outlineLevel="1"/>
    <col min="40" max="40" width="3.125" style="31" customWidth="1" outlineLevel="1"/>
    <col min="41" max="42" width="8.75" style="31" customWidth="1" outlineLevel="1"/>
    <col min="43" max="43" width="5.75" style="31" customWidth="1" outlineLevel="1"/>
    <col min="44" max="44" width="2.875" style="31" customWidth="1" outlineLevel="1"/>
    <col min="45" max="45" width="10.125" style="31" customWidth="1" outlineLevel="1"/>
    <col min="46" max="47" width="4.75" style="31" customWidth="1" outlineLevel="1"/>
    <col min="48" max="98" width="4.75" style="403" customWidth="1" outlineLevel="1"/>
    <col min="99" max="16384" width="11.375" style="31"/>
  </cols>
  <sheetData>
    <row r="1" spans="1:98" s="242" customFormat="1" ht="56.25" customHeight="1" x14ac:dyDescent="0.2">
      <c r="A1" s="2234"/>
      <c r="B1" s="2234"/>
      <c r="C1" s="394">
        <v>1</v>
      </c>
      <c r="D1" s="550"/>
      <c r="E1" s="550"/>
      <c r="F1" s="550"/>
      <c r="G1" s="550"/>
      <c r="H1" s="550"/>
      <c r="I1" s="550"/>
      <c r="J1" s="550"/>
      <c r="K1" s="550"/>
      <c r="L1" s="550"/>
      <c r="M1" s="550"/>
      <c r="N1" s="550"/>
      <c r="O1" s="550"/>
      <c r="P1" s="550"/>
      <c r="Q1" s="550"/>
      <c r="R1" s="550"/>
      <c r="S1" s="550"/>
      <c r="T1" s="550"/>
      <c r="U1" s="550"/>
      <c r="V1" s="550"/>
      <c r="W1" s="550"/>
      <c r="X1" s="550"/>
      <c r="Y1" s="550"/>
      <c r="Z1" s="550"/>
      <c r="AA1" s="550"/>
      <c r="AB1" s="550"/>
      <c r="AC1" s="550"/>
      <c r="AD1" s="550"/>
      <c r="AE1" s="550"/>
      <c r="AF1" s="550"/>
      <c r="AG1" s="550"/>
      <c r="AH1" s="550"/>
      <c r="AI1" s="759"/>
      <c r="AJ1" s="533"/>
      <c r="AK1" s="533"/>
      <c r="AL1" s="533"/>
      <c r="AM1" s="533"/>
      <c r="AN1" s="533"/>
      <c r="AO1" s="533"/>
      <c r="AP1" s="394"/>
      <c r="AQ1" s="394"/>
      <c r="AR1" s="394"/>
      <c r="AS1" s="394"/>
      <c r="AT1" s="399"/>
      <c r="AU1" s="394"/>
      <c r="AV1" s="394"/>
      <c r="AW1" s="401"/>
      <c r="AX1" s="401"/>
      <c r="AY1" s="401"/>
      <c r="AZ1" s="401"/>
      <c r="BA1" s="401"/>
      <c r="BB1" s="401"/>
      <c r="BC1" s="401"/>
      <c r="BD1" s="401"/>
      <c r="BE1" s="401"/>
      <c r="BF1" s="401"/>
      <c r="BG1" s="401"/>
      <c r="BH1" s="401"/>
      <c r="BI1" s="401"/>
      <c r="BJ1" s="401"/>
      <c r="BK1" s="401"/>
      <c r="BL1" s="401"/>
      <c r="BM1" s="401"/>
      <c r="BN1" s="401"/>
      <c r="BO1" s="401"/>
      <c r="BP1" s="401"/>
      <c r="BQ1" s="401"/>
      <c r="BR1" s="401"/>
      <c r="BS1" s="401"/>
      <c r="BT1" s="401"/>
      <c r="BU1" s="401"/>
      <c r="BV1" s="401"/>
      <c r="BW1" s="401"/>
      <c r="BX1" s="401"/>
      <c r="BY1" s="401"/>
      <c r="BZ1" s="401"/>
      <c r="CA1" s="401"/>
      <c r="CB1" s="401"/>
      <c r="CC1" s="401"/>
      <c r="CD1" s="401"/>
      <c r="CE1" s="401"/>
      <c r="CF1" s="401"/>
      <c r="CG1" s="401"/>
      <c r="CH1" s="401"/>
      <c r="CI1" s="401"/>
      <c r="CJ1" s="401"/>
      <c r="CK1" s="401"/>
      <c r="CL1" s="401"/>
      <c r="CM1" s="401"/>
      <c r="CN1" s="401"/>
      <c r="CO1" s="401"/>
      <c r="CP1" s="401"/>
      <c r="CQ1" s="401"/>
      <c r="CR1" s="401"/>
      <c r="CS1" s="401"/>
      <c r="CT1" s="401"/>
    </row>
    <row r="2" spans="1:98" s="242" customFormat="1" ht="14.3" customHeight="1" x14ac:dyDescent="0.25">
      <c r="A2" s="156" t="str">
        <f>CONCATENATE("Variantenvergleich Energiesysteme - Version ",Versionsinfo!$B$4)</f>
        <v>Variantenvergleich Energiesysteme - Version 2.2</v>
      </c>
      <c r="D2" s="243"/>
      <c r="E2" s="243"/>
      <c r="F2" s="243"/>
      <c r="G2" s="243"/>
      <c r="H2" s="151"/>
      <c r="I2" s="151"/>
      <c r="J2" s="1535"/>
      <c r="K2" s="1536" t="s">
        <v>684</v>
      </c>
      <c r="AC2" s="269"/>
      <c r="AD2" s="267"/>
      <c r="AE2" s="267"/>
      <c r="AF2" s="335"/>
      <c r="AG2" s="267"/>
      <c r="AH2" s="267"/>
      <c r="AI2" s="333"/>
      <c r="AJ2" s="267"/>
      <c r="AT2" s="398"/>
      <c r="AV2" s="401"/>
      <c r="AW2" s="401"/>
      <c r="AX2" s="401"/>
      <c r="AY2" s="401"/>
      <c r="AZ2" s="401"/>
      <c r="BA2" s="401"/>
      <c r="BB2" s="401"/>
      <c r="BC2" s="401"/>
      <c r="BD2" s="401"/>
      <c r="BE2" s="401"/>
      <c r="BF2" s="401"/>
      <c r="BG2" s="401"/>
      <c r="BH2" s="401"/>
      <c r="BI2" s="401"/>
      <c r="BJ2" s="401"/>
      <c r="BK2" s="401"/>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1"/>
    </row>
    <row r="3" spans="1:98" s="242" customFormat="1" ht="12.75" customHeight="1" x14ac:dyDescent="0.2">
      <c r="A3" s="153" t="s">
        <v>178</v>
      </c>
      <c r="AC3" s="269"/>
      <c r="AD3" s="267"/>
      <c r="AI3" s="333"/>
      <c r="AT3" s="398"/>
      <c r="AV3" s="401"/>
      <c r="AW3" s="401"/>
      <c r="AX3" s="401"/>
      <c r="AY3" s="401"/>
      <c r="AZ3" s="401"/>
      <c r="BA3" s="401"/>
      <c r="BB3" s="401"/>
      <c r="BC3" s="401"/>
      <c r="BD3" s="401"/>
      <c r="BE3" s="401"/>
      <c r="BF3" s="401"/>
      <c r="BG3" s="401"/>
      <c r="BH3" s="401"/>
      <c r="BI3" s="401"/>
      <c r="BJ3" s="401"/>
      <c r="BK3" s="401"/>
      <c r="BL3" s="401"/>
      <c r="BM3" s="401"/>
      <c r="BN3" s="401"/>
      <c r="BO3" s="401"/>
      <c r="BP3" s="401"/>
      <c r="BQ3" s="401"/>
      <c r="BR3" s="401"/>
      <c r="BS3" s="401"/>
      <c r="BT3" s="401"/>
      <c r="BU3" s="401"/>
      <c r="BV3" s="401"/>
      <c r="BW3" s="401"/>
      <c r="BX3" s="401"/>
      <c r="BY3" s="401"/>
      <c r="BZ3" s="401"/>
      <c r="CA3" s="401"/>
      <c r="CB3" s="401"/>
      <c r="CC3" s="401"/>
      <c r="CD3" s="401"/>
      <c r="CE3" s="401"/>
      <c r="CF3" s="401"/>
      <c r="CG3" s="401"/>
      <c r="CH3" s="401"/>
      <c r="CI3" s="401"/>
      <c r="CJ3" s="401"/>
      <c r="CK3" s="401"/>
      <c r="CL3" s="401"/>
      <c r="CM3" s="401"/>
      <c r="CN3" s="401"/>
      <c r="CO3" s="401"/>
      <c r="CP3" s="401"/>
      <c r="CQ3" s="401"/>
      <c r="CR3" s="401"/>
      <c r="CS3" s="401"/>
      <c r="CT3" s="401"/>
    </row>
    <row r="4" spans="1:98" s="398" customFormat="1" ht="14.95" customHeight="1" x14ac:dyDescent="0.2">
      <c r="A4" s="153"/>
      <c r="AI4" s="333"/>
      <c r="AV4" s="401"/>
      <c r="AW4" s="401"/>
      <c r="AX4" s="401"/>
      <c r="AY4" s="401"/>
      <c r="AZ4" s="401"/>
      <c r="BA4" s="401"/>
      <c r="BB4" s="401"/>
      <c r="BC4" s="401"/>
      <c r="BD4" s="401"/>
      <c r="BE4" s="401"/>
      <c r="BF4" s="401"/>
      <c r="BG4" s="401"/>
      <c r="BH4" s="401"/>
      <c r="BI4" s="401"/>
      <c r="BJ4" s="401"/>
      <c r="BK4" s="401"/>
      <c r="BL4" s="401"/>
      <c r="BM4" s="401"/>
      <c r="BN4" s="401"/>
      <c r="BO4" s="401"/>
      <c r="BP4" s="401"/>
      <c r="BQ4" s="401"/>
      <c r="BR4" s="401"/>
      <c r="BS4" s="401"/>
      <c r="BT4" s="401"/>
      <c r="BU4" s="401"/>
      <c r="BV4" s="401"/>
      <c r="BW4" s="401"/>
      <c r="BX4" s="401"/>
      <c r="BY4" s="401"/>
      <c r="BZ4" s="401"/>
      <c r="CA4" s="401"/>
      <c r="CB4" s="401"/>
      <c r="CC4" s="401"/>
      <c r="CD4" s="401"/>
      <c r="CE4" s="401"/>
      <c r="CF4" s="401"/>
      <c r="CG4" s="401"/>
      <c r="CH4" s="401"/>
      <c r="CI4" s="401"/>
      <c r="CJ4" s="401"/>
      <c r="CK4" s="401"/>
      <c r="CL4" s="401"/>
      <c r="CM4" s="401"/>
      <c r="CN4" s="401"/>
      <c r="CO4" s="401"/>
      <c r="CP4" s="401"/>
      <c r="CQ4" s="401"/>
      <c r="CR4" s="401"/>
      <c r="CS4" s="401"/>
      <c r="CT4" s="401"/>
    </row>
    <row r="5" spans="1:98" s="242" customFormat="1" ht="13.6" customHeight="1" x14ac:dyDescent="0.2">
      <c r="A5" s="1105" t="s">
        <v>780</v>
      </c>
      <c r="B5" s="268"/>
      <c r="P5" s="1540" t="s">
        <v>750</v>
      </c>
      <c r="Q5" s="1541"/>
      <c r="R5" s="1541"/>
      <c r="S5" s="1541"/>
      <c r="T5" s="1541"/>
      <c r="U5" s="249">
        <v>2.5000000000000001E-2</v>
      </c>
      <c r="V5" s="1382"/>
      <c r="X5" s="1549" t="s">
        <v>679</v>
      </c>
      <c r="Y5" s="1550"/>
      <c r="Z5" s="1550"/>
      <c r="AA5" s="1550"/>
      <c r="AB5" s="1550"/>
      <c r="AC5" s="1550"/>
      <c r="AD5" s="1550"/>
      <c r="AE5" s="249">
        <v>0</v>
      </c>
      <c r="AF5" s="1382"/>
      <c r="AG5"/>
      <c r="AH5"/>
      <c r="AI5" s="333"/>
      <c r="AJ5"/>
      <c r="AK5"/>
      <c r="AM5"/>
      <c r="AN5"/>
      <c r="AO5"/>
      <c r="AT5" s="398"/>
      <c r="AV5" s="401"/>
      <c r="AW5" s="401"/>
      <c r="AX5" s="401"/>
      <c r="AY5" s="401"/>
      <c r="AZ5" s="401"/>
      <c r="BA5" s="401"/>
      <c r="BB5" s="401"/>
      <c r="BC5" s="401"/>
      <c r="BD5" s="401"/>
      <c r="BE5" s="401"/>
      <c r="BF5" s="401"/>
      <c r="BG5" s="401"/>
      <c r="BH5" s="401"/>
      <c r="BI5" s="401"/>
      <c r="BJ5" s="401"/>
      <c r="BK5" s="401"/>
      <c r="BL5" s="401"/>
      <c r="BM5" s="401"/>
      <c r="BN5" s="401"/>
      <c r="BO5" s="401"/>
      <c r="BP5" s="401"/>
      <c r="BQ5" s="401"/>
      <c r="BR5" s="401"/>
      <c r="BS5" s="401"/>
      <c r="BT5" s="401"/>
      <c r="BU5" s="401"/>
      <c r="BV5" s="401"/>
      <c r="BW5" s="401"/>
      <c r="BX5" s="401"/>
      <c r="BY5" s="401"/>
      <c r="BZ5" s="401"/>
      <c r="CA5" s="401"/>
      <c r="CB5" s="401"/>
      <c r="CC5" s="401"/>
      <c r="CD5" s="401"/>
      <c r="CE5" s="401"/>
      <c r="CF5" s="401"/>
      <c r="CG5" s="401"/>
      <c r="CH5" s="401"/>
      <c r="CI5" s="401"/>
      <c r="CJ5" s="401"/>
      <c r="CK5" s="401"/>
      <c r="CL5" s="401"/>
      <c r="CM5" s="401"/>
      <c r="CN5" s="401"/>
      <c r="CO5" s="401"/>
      <c r="CP5" s="401"/>
      <c r="CQ5" s="401"/>
      <c r="CR5" s="401"/>
      <c r="CS5" s="401"/>
      <c r="CT5" s="401"/>
    </row>
    <row r="6" spans="1:98" s="245" customFormat="1" ht="9.6999999999999993" customHeight="1" x14ac:dyDescent="0.2">
      <c r="W6" s="266"/>
      <c r="X6" s="266"/>
      <c r="AB6" s="246"/>
      <c r="AC6" s="246"/>
      <c r="AD6" s="266"/>
      <c r="AE6" s="266"/>
      <c r="AF6" s="266"/>
      <c r="AG6" s="266"/>
      <c r="AH6" s="266"/>
      <c r="AI6" s="266"/>
      <c r="AJ6" s="266"/>
      <c r="AK6" s="266"/>
      <c r="AT6" s="266"/>
      <c r="AV6" s="322"/>
      <c r="AW6" s="322"/>
      <c r="AX6" s="322"/>
      <c r="AY6" s="322"/>
      <c r="AZ6" s="322"/>
      <c r="BA6" s="322"/>
      <c r="BB6" s="322"/>
      <c r="BC6" s="322"/>
      <c r="BD6" s="322"/>
      <c r="BE6" s="322"/>
      <c r="BF6" s="322"/>
      <c r="BG6" s="322"/>
      <c r="BH6" s="322"/>
      <c r="BI6" s="322"/>
      <c r="BJ6" s="322"/>
      <c r="BK6" s="322"/>
      <c r="BL6" s="322"/>
      <c r="BM6" s="322"/>
      <c r="BN6" s="322"/>
      <c r="BO6" s="322"/>
      <c r="BP6" s="322"/>
      <c r="BQ6" s="322"/>
      <c r="BR6" s="322"/>
      <c r="BS6" s="322"/>
      <c r="BT6" s="322"/>
      <c r="BU6" s="322"/>
      <c r="BV6" s="322"/>
      <c r="BW6" s="322"/>
      <c r="BX6" s="322"/>
      <c r="BY6" s="322"/>
      <c r="BZ6" s="322"/>
      <c r="CA6" s="322"/>
      <c r="CB6" s="322"/>
      <c r="CC6" s="322"/>
      <c r="CD6" s="322"/>
      <c r="CE6" s="322"/>
      <c r="CF6" s="322"/>
      <c r="CG6" s="322"/>
      <c r="CH6" s="322"/>
      <c r="CI6" s="322"/>
      <c r="CJ6" s="322"/>
      <c r="CK6" s="322"/>
      <c r="CL6" s="322"/>
      <c r="CM6" s="322"/>
      <c r="CN6" s="322"/>
      <c r="CO6" s="322"/>
      <c r="CP6" s="322"/>
      <c r="CQ6" s="322"/>
      <c r="CR6" s="322"/>
      <c r="CS6" s="322"/>
      <c r="CT6" s="322"/>
    </row>
    <row r="7" spans="1:98" s="245" customFormat="1" ht="12.75" customHeight="1" x14ac:dyDescent="0.2">
      <c r="A7" s="2243" t="s">
        <v>13</v>
      </c>
      <c r="B7" s="2244"/>
      <c r="C7" s="2244"/>
      <c r="D7" s="2244"/>
      <c r="E7" s="2244"/>
      <c r="F7" s="2244"/>
      <c r="G7" s="2244"/>
      <c r="H7" s="2245"/>
      <c r="I7" s="2074" t="s">
        <v>760</v>
      </c>
      <c r="J7" s="2075"/>
      <c r="K7" s="2075"/>
      <c r="L7" s="2075"/>
      <c r="M7" s="2075"/>
      <c r="N7" s="2075"/>
      <c r="O7" s="2075"/>
      <c r="P7" s="2075"/>
      <c r="Q7" s="2075"/>
      <c r="R7" s="2075"/>
      <c r="S7" s="2075"/>
      <c r="T7" s="2075"/>
      <c r="U7" s="2075"/>
      <c r="V7" s="2076"/>
      <c r="W7" s="2074" t="s">
        <v>261</v>
      </c>
      <c r="X7" s="2075"/>
      <c r="Y7" s="2075"/>
      <c r="Z7" s="2075"/>
      <c r="AA7" s="2075"/>
      <c r="AB7" s="2075"/>
      <c r="AC7" s="2075"/>
      <c r="AD7" s="2075"/>
      <c r="AE7" s="2075"/>
      <c r="AF7" s="2076"/>
      <c r="AG7" s="760"/>
      <c r="AH7" s="2360" t="s">
        <v>280</v>
      </c>
      <c r="AI7" s="2357" t="s">
        <v>291</v>
      </c>
      <c r="AJ7" s="2348" t="s">
        <v>276</v>
      </c>
      <c r="AK7" s="2349"/>
      <c r="AL7" s="2349"/>
      <c r="AM7" s="2350"/>
      <c r="AR7" s="266"/>
      <c r="AT7" s="322"/>
      <c r="AU7" s="322"/>
      <c r="AV7" s="322"/>
      <c r="AW7" s="322"/>
      <c r="AX7" s="322"/>
      <c r="AY7" s="322"/>
      <c r="AZ7" s="322"/>
      <c r="BA7" s="322"/>
      <c r="BB7" s="322"/>
      <c r="BC7" s="322"/>
      <c r="BD7" s="322"/>
      <c r="BE7" s="322"/>
      <c r="BF7" s="322"/>
      <c r="BG7" s="322"/>
      <c r="BH7" s="322"/>
      <c r="BI7" s="322"/>
      <c r="BJ7" s="322"/>
      <c r="BK7" s="322"/>
      <c r="BL7" s="322"/>
      <c r="BM7" s="322"/>
      <c r="BN7" s="322"/>
      <c r="BO7" s="322"/>
      <c r="BP7" s="322"/>
      <c r="BQ7" s="322"/>
      <c r="BR7" s="322"/>
      <c r="BS7" s="322"/>
      <c r="BT7" s="322"/>
      <c r="BU7" s="322"/>
      <c r="BV7" s="322"/>
      <c r="BW7" s="322"/>
      <c r="BX7" s="322"/>
      <c r="BY7" s="322"/>
      <c r="BZ7" s="322"/>
      <c r="CA7" s="322"/>
      <c r="CB7" s="322"/>
      <c r="CC7" s="322"/>
      <c r="CD7" s="322"/>
      <c r="CE7" s="322"/>
      <c r="CF7" s="322"/>
      <c r="CG7" s="322"/>
      <c r="CH7" s="322"/>
      <c r="CI7" s="322"/>
      <c r="CJ7" s="322"/>
      <c r="CK7" s="322"/>
      <c r="CL7" s="322"/>
      <c r="CM7" s="322"/>
      <c r="CN7" s="322"/>
      <c r="CO7" s="322"/>
      <c r="CP7" s="322"/>
      <c r="CQ7" s="322"/>
      <c r="CR7" s="322"/>
    </row>
    <row r="8" spans="1:98" s="250" customFormat="1" ht="24.8" customHeight="1" x14ac:dyDescent="0.2">
      <c r="A8" s="251"/>
      <c r="B8" s="252"/>
      <c r="C8" s="252"/>
      <c r="D8" s="252"/>
      <c r="E8" s="252"/>
      <c r="F8" s="252"/>
      <c r="G8" s="252"/>
      <c r="H8" s="253"/>
      <c r="I8" s="2086" t="s">
        <v>518</v>
      </c>
      <c r="J8" s="2041"/>
      <c r="K8" s="2041" t="s">
        <v>316</v>
      </c>
      <c r="L8" s="2041"/>
      <c r="M8" s="2041" t="s">
        <v>853</v>
      </c>
      <c r="N8" s="2041"/>
      <c r="O8" s="2041" t="s">
        <v>317</v>
      </c>
      <c r="P8" s="2041"/>
      <c r="Q8" s="2041" t="s">
        <v>851</v>
      </c>
      <c r="R8" s="2041"/>
      <c r="S8" s="2041" t="s">
        <v>852</v>
      </c>
      <c r="T8" s="2041"/>
      <c r="U8" s="2041" t="s">
        <v>517</v>
      </c>
      <c r="V8" s="2042"/>
      <c r="W8" s="2086" t="s">
        <v>266</v>
      </c>
      <c r="X8" s="2041"/>
      <c r="Y8" s="2041" t="s">
        <v>259</v>
      </c>
      <c r="Z8" s="2041"/>
      <c r="AA8" s="2041" t="s">
        <v>263</v>
      </c>
      <c r="AB8" s="2041"/>
      <c r="AC8" s="2041" t="s">
        <v>260</v>
      </c>
      <c r="AD8" s="2041"/>
      <c r="AE8" s="2041" t="s">
        <v>265</v>
      </c>
      <c r="AF8" s="2042"/>
      <c r="AG8" s="709"/>
      <c r="AH8" s="2361"/>
      <c r="AI8" s="2358"/>
      <c r="AJ8" s="2351"/>
      <c r="AK8" s="2352"/>
      <c r="AL8" s="2352"/>
      <c r="AM8" s="2353"/>
      <c r="AN8" s="323"/>
      <c r="AO8" s="324"/>
      <c r="AP8" s="2337" t="s">
        <v>666</v>
      </c>
      <c r="AQ8" s="2338"/>
      <c r="AR8" s="396"/>
      <c r="AS8" s="420" t="s">
        <v>463</v>
      </c>
      <c r="AT8" s="405" t="s">
        <v>466</v>
      </c>
      <c r="AU8" s="406"/>
      <c r="AV8" s="406"/>
      <c r="AW8" s="406"/>
      <c r="AX8" s="406"/>
      <c r="AY8" s="406"/>
      <c r="AZ8" s="406"/>
      <c r="BA8" s="406"/>
      <c r="BB8" s="406"/>
      <c r="BC8" s="406"/>
      <c r="BD8" s="406"/>
      <c r="BE8" s="406"/>
      <c r="BF8" s="406"/>
      <c r="BG8" s="406"/>
      <c r="BH8" s="406"/>
      <c r="BI8" s="406"/>
      <c r="BJ8" s="406"/>
      <c r="BK8" s="406"/>
      <c r="BL8" s="406"/>
      <c r="BM8" s="406"/>
      <c r="BN8" s="406"/>
      <c r="BO8" s="406"/>
      <c r="BP8" s="406"/>
      <c r="BQ8" s="406"/>
      <c r="BR8" s="406"/>
      <c r="BS8" s="406"/>
      <c r="BT8" s="406"/>
      <c r="BU8" s="406"/>
      <c r="BV8" s="406"/>
      <c r="BW8" s="406"/>
      <c r="BX8" s="406"/>
      <c r="BY8" s="406"/>
      <c r="BZ8" s="406"/>
      <c r="CA8" s="406"/>
      <c r="CB8" s="406"/>
      <c r="CC8" s="406"/>
      <c r="CD8" s="406"/>
      <c r="CE8" s="406"/>
      <c r="CF8" s="406"/>
      <c r="CG8" s="406"/>
      <c r="CH8" s="406"/>
      <c r="CI8" s="406"/>
      <c r="CJ8" s="406"/>
      <c r="CK8" s="406"/>
      <c r="CL8" s="406"/>
      <c r="CM8" s="406"/>
      <c r="CN8" s="406"/>
      <c r="CO8" s="406"/>
      <c r="CP8" s="406"/>
      <c r="CQ8" s="406"/>
      <c r="CR8" s="407"/>
    </row>
    <row r="9" spans="1:98" s="707" customFormat="1" ht="12.1" customHeight="1" x14ac:dyDescent="0.2">
      <c r="A9" s="251"/>
      <c r="B9" s="252"/>
      <c r="C9" s="252"/>
      <c r="D9" s="252"/>
      <c r="E9" s="252"/>
      <c r="F9" s="252"/>
      <c r="G9" s="252"/>
      <c r="H9" s="253"/>
      <c r="I9" s="2087"/>
      <c r="J9" s="2043"/>
      <c r="K9" s="2043"/>
      <c r="L9" s="2043"/>
      <c r="M9" s="2043"/>
      <c r="N9" s="2043"/>
      <c r="O9" s="2043"/>
      <c r="P9" s="2043"/>
      <c r="Q9" s="2043"/>
      <c r="R9" s="2043"/>
      <c r="S9" s="2043"/>
      <c r="T9" s="2043"/>
      <c r="U9" s="2043"/>
      <c r="V9" s="2044"/>
      <c r="W9" s="2087"/>
      <c r="X9" s="2043"/>
      <c r="Y9" s="2043"/>
      <c r="Z9" s="2043"/>
      <c r="AA9" s="2043"/>
      <c r="AB9" s="2043"/>
      <c r="AC9" s="2043"/>
      <c r="AD9" s="2043"/>
      <c r="AE9" s="2043"/>
      <c r="AF9" s="2044"/>
      <c r="AG9" s="709"/>
      <c r="AH9" s="2361"/>
      <c r="AI9" s="2358"/>
      <c r="AJ9" s="2354"/>
      <c r="AK9" s="2355"/>
      <c r="AL9" s="2355"/>
      <c r="AM9" s="2356"/>
      <c r="AN9" s="323"/>
      <c r="AO9" s="324"/>
      <c r="AP9" s="2339"/>
      <c r="AQ9" s="2340"/>
      <c r="AS9" s="769"/>
      <c r="AT9" s="770"/>
      <c r="AU9" s="771"/>
      <c r="AV9" s="771"/>
      <c r="AW9" s="771"/>
      <c r="AX9" s="771"/>
      <c r="AY9" s="771"/>
      <c r="AZ9" s="771"/>
      <c r="BA9" s="771"/>
      <c r="BB9" s="771"/>
      <c r="BC9" s="771"/>
      <c r="BD9" s="771"/>
      <c r="BE9" s="771"/>
      <c r="BF9" s="771"/>
      <c r="BG9" s="771"/>
      <c r="BH9" s="771"/>
      <c r="BI9" s="771"/>
      <c r="BJ9" s="771"/>
      <c r="BK9" s="771"/>
      <c r="BL9" s="771"/>
      <c r="BM9" s="771"/>
      <c r="BN9" s="771"/>
      <c r="BO9" s="771"/>
      <c r="BP9" s="771"/>
      <c r="BQ9" s="771"/>
      <c r="BR9" s="771"/>
      <c r="BS9" s="771"/>
      <c r="BT9" s="771"/>
      <c r="BU9" s="771"/>
      <c r="BV9" s="771"/>
      <c r="BW9" s="771"/>
      <c r="BX9" s="771"/>
      <c r="BY9" s="771"/>
      <c r="BZ9" s="771"/>
      <c r="CA9" s="771"/>
      <c r="CB9" s="771"/>
      <c r="CC9" s="771"/>
      <c r="CD9" s="771"/>
      <c r="CE9" s="771"/>
      <c r="CF9" s="771"/>
      <c r="CG9" s="771"/>
      <c r="CH9" s="771"/>
      <c r="CI9" s="771"/>
      <c r="CJ9" s="771"/>
      <c r="CK9" s="771"/>
      <c r="CL9" s="771"/>
      <c r="CM9" s="771"/>
      <c r="CN9" s="771"/>
      <c r="CO9" s="771"/>
      <c r="CP9" s="771"/>
      <c r="CQ9" s="771"/>
      <c r="CR9" s="772"/>
    </row>
    <row r="10" spans="1:98" s="245" customFormat="1" ht="12.1" customHeight="1" x14ac:dyDescent="0.3">
      <c r="A10" s="1551"/>
      <c r="B10" s="1552"/>
      <c r="C10" s="1552"/>
      <c r="D10" s="1552"/>
      <c r="E10" s="1552"/>
      <c r="F10" s="1552"/>
      <c r="G10" s="1552"/>
      <c r="H10" s="1553"/>
      <c r="I10" s="2084" t="s">
        <v>290</v>
      </c>
      <c r="J10" s="2235"/>
      <c r="K10" s="2048" t="s">
        <v>657</v>
      </c>
      <c r="L10" s="2235"/>
      <c r="M10" s="2048" t="s">
        <v>657</v>
      </c>
      <c r="N10" s="2235"/>
      <c r="O10" s="2048" t="s">
        <v>657</v>
      </c>
      <c r="P10" s="2235"/>
      <c r="Q10" s="2048" t="s">
        <v>657</v>
      </c>
      <c r="R10" s="2048"/>
      <c r="S10" s="2048" t="s">
        <v>657</v>
      </c>
      <c r="T10" s="2048"/>
      <c r="U10" s="2048" t="s">
        <v>257</v>
      </c>
      <c r="V10" s="2049"/>
      <c r="W10" s="2084" t="s">
        <v>650</v>
      </c>
      <c r="X10" s="2048"/>
      <c r="Y10" s="2048" t="s">
        <v>650</v>
      </c>
      <c r="Z10" s="2048"/>
      <c r="AA10" s="2098" t="s">
        <v>264</v>
      </c>
      <c r="AB10" s="2098"/>
      <c r="AC10" s="2098" t="s">
        <v>643</v>
      </c>
      <c r="AD10" s="2098"/>
      <c r="AE10" s="2048" t="s">
        <v>258</v>
      </c>
      <c r="AF10" s="2049"/>
      <c r="AG10" s="710"/>
      <c r="AH10" s="2362"/>
      <c r="AI10" s="2359"/>
      <c r="AJ10" s="773" t="s">
        <v>520</v>
      </c>
      <c r="AK10" s="767" t="s">
        <v>277</v>
      </c>
      <c r="AL10" s="767" t="s">
        <v>278</v>
      </c>
      <c r="AM10" s="768" t="s">
        <v>279</v>
      </c>
      <c r="AN10" s="322"/>
      <c r="AO10" s="324"/>
      <c r="AP10" s="1467" t="b">
        <f>Projektdaten!T22</f>
        <v>1</v>
      </c>
      <c r="AQ10" s="772"/>
      <c r="AR10" s="254"/>
      <c r="AS10" s="1794">
        <v>0</v>
      </c>
      <c r="AT10" s="408">
        <f ca="1">YEAR(Projektdaten!$I$13)</f>
        <v>2016</v>
      </c>
      <c r="AU10" s="404">
        <f ca="1">AT10+1</f>
        <v>2017</v>
      </c>
      <c r="AV10" s="404">
        <f t="shared" ref="AV10:CQ10" ca="1" si="0">AU10+1</f>
        <v>2018</v>
      </c>
      <c r="AW10" s="404">
        <f t="shared" ca="1" si="0"/>
        <v>2019</v>
      </c>
      <c r="AX10" s="404">
        <f t="shared" ca="1" si="0"/>
        <v>2020</v>
      </c>
      <c r="AY10" s="404">
        <f t="shared" ca="1" si="0"/>
        <v>2021</v>
      </c>
      <c r="AZ10" s="404">
        <f t="shared" ca="1" si="0"/>
        <v>2022</v>
      </c>
      <c r="BA10" s="404">
        <f t="shared" ca="1" si="0"/>
        <v>2023</v>
      </c>
      <c r="BB10" s="404">
        <f t="shared" ca="1" si="0"/>
        <v>2024</v>
      </c>
      <c r="BC10" s="404">
        <f t="shared" ca="1" si="0"/>
        <v>2025</v>
      </c>
      <c r="BD10" s="404">
        <f t="shared" ca="1" si="0"/>
        <v>2026</v>
      </c>
      <c r="BE10" s="404">
        <f t="shared" ca="1" si="0"/>
        <v>2027</v>
      </c>
      <c r="BF10" s="404">
        <f t="shared" ca="1" si="0"/>
        <v>2028</v>
      </c>
      <c r="BG10" s="404">
        <f t="shared" ca="1" si="0"/>
        <v>2029</v>
      </c>
      <c r="BH10" s="404">
        <f t="shared" ca="1" si="0"/>
        <v>2030</v>
      </c>
      <c r="BI10" s="404">
        <f t="shared" ca="1" si="0"/>
        <v>2031</v>
      </c>
      <c r="BJ10" s="404">
        <f t="shared" ca="1" si="0"/>
        <v>2032</v>
      </c>
      <c r="BK10" s="404">
        <f t="shared" ca="1" si="0"/>
        <v>2033</v>
      </c>
      <c r="BL10" s="404">
        <f t="shared" ca="1" si="0"/>
        <v>2034</v>
      </c>
      <c r="BM10" s="404">
        <f t="shared" ca="1" si="0"/>
        <v>2035</v>
      </c>
      <c r="BN10" s="404">
        <f t="shared" ca="1" si="0"/>
        <v>2036</v>
      </c>
      <c r="BO10" s="404">
        <f t="shared" ca="1" si="0"/>
        <v>2037</v>
      </c>
      <c r="BP10" s="404">
        <f t="shared" ca="1" si="0"/>
        <v>2038</v>
      </c>
      <c r="BQ10" s="404">
        <f t="shared" ca="1" si="0"/>
        <v>2039</v>
      </c>
      <c r="BR10" s="404">
        <f t="shared" ca="1" si="0"/>
        <v>2040</v>
      </c>
      <c r="BS10" s="404">
        <f t="shared" ca="1" si="0"/>
        <v>2041</v>
      </c>
      <c r="BT10" s="404">
        <f t="shared" ca="1" si="0"/>
        <v>2042</v>
      </c>
      <c r="BU10" s="404">
        <f t="shared" ca="1" si="0"/>
        <v>2043</v>
      </c>
      <c r="BV10" s="404">
        <f t="shared" ca="1" si="0"/>
        <v>2044</v>
      </c>
      <c r="BW10" s="404">
        <f t="shared" ca="1" si="0"/>
        <v>2045</v>
      </c>
      <c r="BX10" s="404">
        <f t="shared" ca="1" si="0"/>
        <v>2046</v>
      </c>
      <c r="BY10" s="404">
        <f t="shared" ca="1" si="0"/>
        <v>2047</v>
      </c>
      <c r="BZ10" s="404">
        <f t="shared" ca="1" si="0"/>
        <v>2048</v>
      </c>
      <c r="CA10" s="404">
        <f t="shared" ca="1" si="0"/>
        <v>2049</v>
      </c>
      <c r="CB10" s="404">
        <f t="shared" ca="1" si="0"/>
        <v>2050</v>
      </c>
      <c r="CC10" s="404">
        <f t="shared" ca="1" si="0"/>
        <v>2051</v>
      </c>
      <c r="CD10" s="404">
        <f t="shared" ca="1" si="0"/>
        <v>2052</v>
      </c>
      <c r="CE10" s="404">
        <f t="shared" ca="1" si="0"/>
        <v>2053</v>
      </c>
      <c r="CF10" s="404">
        <f t="shared" ca="1" si="0"/>
        <v>2054</v>
      </c>
      <c r="CG10" s="404">
        <f t="shared" ca="1" si="0"/>
        <v>2055</v>
      </c>
      <c r="CH10" s="404">
        <f t="shared" ca="1" si="0"/>
        <v>2056</v>
      </c>
      <c r="CI10" s="404">
        <f t="shared" ca="1" si="0"/>
        <v>2057</v>
      </c>
      <c r="CJ10" s="404">
        <f t="shared" ca="1" si="0"/>
        <v>2058</v>
      </c>
      <c r="CK10" s="404">
        <f t="shared" ca="1" si="0"/>
        <v>2059</v>
      </c>
      <c r="CL10" s="404">
        <f t="shared" ca="1" si="0"/>
        <v>2060</v>
      </c>
      <c r="CM10" s="404">
        <f t="shared" ca="1" si="0"/>
        <v>2061</v>
      </c>
      <c r="CN10" s="404">
        <f t="shared" ca="1" si="0"/>
        <v>2062</v>
      </c>
      <c r="CO10" s="404">
        <f t="shared" ca="1" si="0"/>
        <v>2063</v>
      </c>
      <c r="CP10" s="404">
        <f t="shared" ca="1" si="0"/>
        <v>2064</v>
      </c>
      <c r="CQ10" s="404">
        <f t="shared" ca="1" si="0"/>
        <v>2065</v>
      </c>
      <c r="CR10" s="409">
        <f ca="1">CQ10+1</f>
        <v>2066</v>
      </c>
    </row>
    <row r="11" spans="1:98" s="250" customFormat="1" ht="11.25" customHeight="1" x14ac:dyDescent="0.2">
      <c r="A11" s="708" t="s">
        <v>33</v>
      </c>
      <c r="B11" s="1542"/>
      <c r="C11" s="2236" t="s">
        <v>820</v>
      </c>
      <c r="D11" s="2236"/>
      <c r="E11" s="2236"/>
      <c r="F11" s="1697" t="s">
        <v>252</v>
      </c>
      <c r="G11" s="1697"/>
      <c r="H11" s="1698"/>
      <c r="I11" s="2246">
        <f>10*12*0.9*1.08</f>
        <v>116.64000000000001</v>
      </c>
      <c r="J11" s="2248"/>
      <c r="K11" s="1793">
        <f>$T$63*K15+$Z$63*K19+$T$64*K23+$Z$64*K25</f>
        <v>13.41846</v>
      </c>
      <c r="L11" s="1679"/>
      <c r="M11" s="1793">
        <f>$T$63*M15+$Z$63*M19+$T$64*M23+$Z$64*M25</f>
        <v>8.1648000000000014</v>
      </c>
      <c r="N11" s="1679"/>
      <c r="O11" s="1793">
        <f>$T$63*O15+$Z$63*O19+$T$64*O23+$Z$64*O25</f>
        <v>1.4162040000000002</v>
      </c>
      <c r="P11" s="1679"/>
      <c r="Q11" s="2239">
        <f t="shared" ref="Q11:R14" si="1">$T$63*Q15+$Z$63*Q19+$T$64*Q23+$Z$64*Q25</f>
        <v>1.1082000000000001</v>
      </c>
      <c r="R11" s="2240">
        <f t="shared" si="1"/>
        <v>0</v>
      </c>
      <c r="S11" s="2069">
        <f>IF(ISBLANK(L11),K11,L11)+IF(ISBLANK(N11),M11,N11)+IF(ISBLANK(P11),O11,P11)+Q11</f>
        <v>24.107664000000003</v>
      </c>
      <c r="T11" s="2070"/>
      <c r="U11" s="2050">
        <v>1.4</v>
      </c>
      <c r="V11" s="2053"/>
      <c r="W11" s="2095">
        <f t="shared" ref="W11:AD14" si="2">$T$63*W15+$Z$63*W19+$T$64*W23+$Z$64*W25</f>
        <v>4.6199999999999998E-2</v>
      </c>
      <c r="X11" s="2090">
        <f t="shared" si="2"/>
        <v>0</v>
      </c>
      <c r="Y11" s="2089">
        <f t="shared" si="2"/>
        <v>1.1223999999999996</v>
      </c>
      <c r="Z11" s="2090">
        <f t="shared" si="2"/>
        <v>0</v>
      </c>
      <c r="AA11" s="2078">
        <f t="shared" si="2"/>
        <v>1.26967E-2</v>
      </c>
      <c r="AB11" s="2079">
        <f t="shared" si="2"/>
        <v>0</v>
      </c>
      <c r="AC11" s="2120">
        <f t="shared" si="2"/>
        <v>65.727400000000003</v>
      </c>
      <c r="AD11" s="2121">
        <f t="shared" si="2"/>
        <v>0</v>
      </c>
      <c r="AE11" s="2050">
        <v>2</v>
      </c>
      <c r="AF11" s="2114"/>
      <c r="AG11" s="761"/>
      <c r="AH11" s="782">
        <f>IF(ISBLANK(V11),U11,V11)</f>
        <v>1.4</v>
      </c>
      <c r="AI11" s="2101">
        <f>IF(ISBLANK($J11),$I11,$J11)</f>
        <v>116.64000000000001</v>
      </c>
      <c r="AJ11" s="2307">
        <f>S11</f>
        <v>24.107664000000003</v>
      </c>
      <c r="AK11" s="2310">
        <f>S12</f>
        <v>15.024324</v>
      </c>
      <c r="AL11" s="2310">
        <f>S13</f>
        <v>24.107664000000003</v>
      </c>
      <c r="AM11" s="2304">
        <f>S14</f>
        <v>15.024324</v>
      </c>
      <c r="AN11" s="323"/>
      <c r="AO11" s="324"/>
      <c r="AR11" s="252"/>
      <c r="AS11" s="1795">
        <v>0</v>
      </c>
      <c r="AT11" s="456">
        <f t="shared" ref="AT11:BC22" ca="1" si="3">IF(OR(ISBLANK($S11),$S11=0),0,(1+(AT$10-$AT$10)*$AH11/100))</f>
        <v>1</v>
      </c>
      <c r="AU11" s="457">
        <f t="shared" ca="1" si="3"/>
        <v>1.014</v>
      </c>
      <c r="AV11" s="457">
        <f t="shared" ca="1" si="3"/>
        <v>1.028</v>
      </c>
      <c r="AW11" s="457">
        <f t="shared" ca="1" si="3"/>
        <v>1.042</v>
      </c>
      <c r="AX11" s="457">
        <f t="shared" ca="1" si="3"/>
        <v>1.056</v>
      </c>
      <c r="AY11" s="457">
        <f t="shared" ca="1" si="3"/>
        <v>1.07</v>
      </c>
      <c r="AZ11" s="457">
        <f t="shared" ca="1" si="3"/>
        <v>1.0840000000000001</v>
      </c>
      <c r="BA11" s="457">
        <f t="shared" ca="1" si="3"/>
        <v>1.0980000000000001</v>
      </c>
      <c r="BB11" s="457">
        <f t="shared" ca="1" si="3"/>
        <v>1.1120000000000001</v>
      </c>
      <c r="BC11" s="457">
        <f t="shared" ca="1" si="3"/>
        <v>1.1259999999999999</v>
      </c>
      <c r="BD11" s="457">
        <f t="shared" ref="BD11:BM22" ca="1" si="4">IF(OR(ISBLANK($S11),$S11=0),0,(1+(BD$10-$AT$10)*$AH11/100))</f>
        <v>1.1400000000000001</v>
      </c>
      <c r="BE11" s="457">
        <f t="shared" ca="1" si="4"/>
        <v>1.1539999999999999</v>
      </c>
      <c r="BF11" s="457">
        <f t="shared" ca="1" si="4"/>
        <v>1.1679999999999999</v>
      </c>
      <c r="BG11" s="457">
        <f t="shared" ca="1" si="4"/>
        <v>1.1819999999999999</v>
      </c>
      <c r="BH11" s="457">
        <f t="shared" ca="1" si="4"/>
        <v>1.196</v>
      </c>
      <c r="BI11" s="457">
        <f t="shared" ca="1" si="4"/>
        <v>1.21</v>
      </c>
      <c r="BJ11" s="457">
        <f t="shared" ca="1" si="4"/>
        <v>1.224</v>
      </c>
      <c r="BK11" s="457">
        <f t="shared" ca="1" si="4"/>
        <v>1.238</v>
      </c>
      <c r="BL11" s="457">
        <f t="shared" ca="1" si="4"/>
        <v>1.252</v>
      </c>
      <c r="BM11" s="457">
        <f t="shared" ca="1" si="4"/>
        <v>1.266</v>
      </c>
      <c r="BN11" s="457">
        <f t="shared" ref="BN11:BW22" ca="1" si="5">IF(OR(ISBLANK($S11),$S11=0),0,(1+(BN$10-$AT$10)*$AH11/100))</f>
        <v>1.28</v>
      </c>
      <c r="BO11" s="457">
        <f t="shared" ca="1" si="5"/>
        <v>1.294</v>
      </c>
      <c r="BP11" s="457">
        <f t="shared" ca="1" si="5"/>
        <v>1.3080000000000001</v>
      </c>
      <c r="BQ11" s="457">
        <f t="shared" ca="1" si="5"/>
        <v>1.3220000000000001</v>
      </c>
      <c r="BR11" s="457">
        <f t="shared" ca="1" si="5"/>
        <v>1.3359999999999999</v>
      </c>
      <c r="BS11" s="457">
        <f t="shared" ca="1" si="5"/>
        <v>1.35</v>
      </c>
      <c r="BT11" s="457">
        <f t="shared" ca="1" si="5"/>
        <v>1.3639999999999999</v>
      </c>
      <c r="BU11" s="457">
        <f t="shared" ca="1" si="5"/>
        <v>1.3779999999999999</v>
      </c>
      <c r="BV11" s="457">
        <f t="shared" ca="1" si="5"/>
        <v>1.3919999999999999</v>
      </c>
      <c r="BW11" s="457">
        <f t="shared" ca="1" si="5"/>
        <v>1.4059999999999999</v>
      </c>
      <c r="BX11" s="457">
        <f t="shared" ref="BX11:CG22" ca="1" si="6">IF(OR(ISBLANK($S11),$S11=0),0,(1+(BX$10-$AT$10)*$AH11/100))</f>
        <v>1.42</v>
      </c>
      <c r="BY11" s="457">
        <f t="shared" ca="1" si="6"/>
        <v>1.4339999999999999</v>
      </c>
      <c r="BZ11" s="457">
        <f t="shared" ca="1" si="6"/>
        <v>1.448</v>
      </c>
      <c r="CA11" s="457">
        <f t="shared" ca="1" si="6"/>
        <v>1.462</v>
      </c>
      <c r="CB11" s="457">
        <f t="shared" ca="1" si="6"/>
        <v>1.476</v>
      </c>
      <c r="CC11" s="457">
        <f t="shared" ca="1" si="6"/>
        <v>1.49</v>
      </c>
      <c r="CD11" s="457">
        <f t="shared" ca="1" si="6"/>
        <v>1.504</v>
      </c>
      <c r="CE11" s="457">
        <f t="shared" ca="1" si="6"/>
        <v>1.518</v>
      </c>
      <c r="CF11" s="457">
        <f t="shared" ca="1" si="6"/>
        <v>1.532</v>
      </c>
      <c r="CG11" s="457">
        <f t="shared" ca="1" si="6"/>
        <v>1.5459999999999998</v>
      </c>
      <c r="CH11" s="457">
        <f t="shared" ref="CH11:CR22" ca="1" si="7">IF(OR(ISBLANK($S11),$S11=0),0,(1+(CH$10-$AT$10)*$AH11/100))</f>
        <v>1.56</v>
      </c>
      <c r="CI11" s="457">
        <f t="shared" ca="1" si="7"/>
        <v>1.5739999999999998</v>
      </c>
      <c r="CJ11" s="457">
        <f t="shared" ca="1" si="7"/>
        <v>1.5880000000000001</v>
      </c>
      <c r="CK11" s="457">
        <f t="shared" ca="1" si="7"/>
        <v>1.6019999999999999</v>
      </c>
      <c r="CL11" s="457">
        <f t="shared" ca="1" si="7"/>
        <v>1.6160000000000001</v>
      </c>
      <c r="CM11" s="457">
        <f t="shared" ca="1" si="7"/>
        <v>1.63</v>
      </c>
      <c r="CN11" s="457">
        <f t="shared" ca="1" si="7"/>
        <v>1.6439999999999999</v>
      </c>
      <c r="CO11" s="457">
        <f t="shared" ca="1" si="7"/>
        <v>1.6579999999999999</v>
      </c>
      <c r="CP11" s="457">
        <f t="shared" ca="1" si="7"/>
        <v>1.6719999999999999</v>
      </c>
      <c r="CQ11" s="457">
        <f t="shared" ca="1" si="7"/>
        <v>1.6859999999999999</v>
      </c>
      <c r="CR11" s="1796">
        <f t="shared" ca="1" si="7"/>
        <v>1.7</v>
      </c>
    </row>
    <row r="12" spans="1:98" s="250" customFormat="1" ht="11.25" customHeight="1" x14ac:dyDescent="0.2">
      <c r="A12" s="355"/>
      <c r="B12" s="356"/>
      <c r="C12" s="2237"/>
      <c r="D12" s="2237"/>
      <c r="E12" s="2237"/>
      <c r="F12" s="254" t="s">
        <v>253</v>
      </c>
      <c r="G12" s="254"/>
      <c r="H12" s="253"/>
      <c r="I12" s="2247"/>
      <c r="J12" s="2249"/>
      <c r="K12" s="1781">
        <f>$T$63*K16+$Z$63*K20+$T$64*K24+$Z$64*K26</f>
        <v>9.2271959999999993</v>
      </c>
      <c r="L12" s="1680"/>
      <c r="M12" s="1781">
        <f>$T$63*M16+$Z$63*M20+$T$64*M24+$Z$64*M26</f>
        <v>4.0824000000000007</v>
      </c>
      <c r="N12" s="1680"/>
      <c r="O12" s="1781">
        <f>$T$63*O16+$Z$63*O20+$T$64*O24+$Z$64*O26</f>
        <v>0.60652799999999996</v>
      </c>
      <c r="P12" s="1680"/>
      <c r="Q12" s="2241">
        <f t="shared" si="1"/>
        <v>0</v>
      </c>
      <c r="R12" s="2242">
        <f t="shared" si="1"/>
        <v>0</v>
      </c>
      <c r="S12" s="2067">
        <f>IF(ISBLANK(L12),K12,L12)+IF(ISBLANK(N12),M12,N12)+IF(ISBLANK(P12),O12,P12)+Q11</f>
        <v>15.024324</v>
      </c>
      <c r="T12" s="2068"/>
      <c r="U12" s="2051"/>
      <c r="V12" s="2054"/>
      <c r="W12" s="2096">
        <f t="shared" si="2"/>
        <v>0</v>
      </c>
      <c r="X12" s="2092">
        <f t="shared" si="2"/>
        <v>0</v>
      </c>
      <c r="Y12" s="2091">
        <f t="shared" si="2"/>
        <v>0</v>
      </c>
      <c r="Z12" s="2092">
        <f t="shared" si="2"/>
        <v>0</v>
      </c>
      <c r="AA12" s="2080">
        <f t="shared" si="2"/>
        <v>0</v>
      </c>
      <c r="AB12" s="2081">
        <f t="shared" si="2"/>
        <v>0</v>
      </c>
      <c r="AC12" s="2122">
        <f t="shared" si="2"/>
        <v>0</v>
      </c>
      <c r="AD12" s="2123">
        <f t="shared" si="2"/>
        <v>0</v>
      </c>
      <c r="AE12" s="2051"/>
      <c r="AF12" s="2115"/>
      <c r="AG12" s="761"/>
      <c r="AH12" s="783">
        <f>IF(ISBLANK(V11),U11,V11)</f>
        <v>1.4</v>
      </c>
      <c r="AI12" s="2102"/>
      <c r="AJ12" s="2308"/>
      <c r="AK12" s="2311"/>
      <c r="AL12" s="2311"/>
      <c r="AM12" s="2305"/>
      <c r="AN12" s="323"/>
      <c r="AO12" s="324"/>
      <c r="AR12" s="252"/>
      <c r="AS12" s="1795">
        <v>0</v>
      </c>
      <c r="AT12" s="458">
        <f t="shared" ca="1" si="3"/>
        <v>1</v>
      </c>
      <c r="AU12" s="459">
        <f t="shared" ca="1" si="3"/>
        <v>1.014</v>
      </c>
      <c r="AV12" s="459">
        <f t="shared" ca="1" si="3"/>
        <v>1.028</v>
      </c>
      <c r="AW12" s="459">
        <f t="shared" ca="1" si="3"/>
        <v>1.042</v>
      </c>
      <c r="AX12" s="459">
        <f t="shared" ca="1" si="3"/>
        <v>1.056</v>
      </c>
      <c r="AY12" s="459">
        <f t="shared" ca="1" si="3"/>
        <v>1.07</v>
      </c>
      <c r="AZ12" s="459">
        <f t="shared" ca="1" si="3"/>
        <v>1.0840000000000001</v>
      </c>
      <c r="BA12" s="459">
        <f t="shared" ca="1" si="3"/>
        <v>1.0980000000000001</v>
      </c>
      <c r="BB12" s="459">
        <f t="shared" ca="1" si="3"/>
        <v>1.1120000000000001</v>
      </c>
      <c r="BC12" s="459">
        <f t="shared" ca="1" si="3"/>
        <v>1.1259999999999999</v>
      </c>
      <c r="BD12" s="459">
        <f t="shared" ca="1" si="4"/>
        <v>1.1400000000000001</v>
      </c>
      <c r="BE12" s="459">
        <f t="shared" ca="1" si="4"/>
        <v>1.1539999999999999</v>
      </c>
      <c r="BF12" s="459">
        <f t="shared" ca="1" si="4"/>
        <v>1.1679999999999999</v>
      </c>
      <c r="BG12" s="459">
        <f t="shared" ca="1" si="4"/>
        <v>1.1819999999999999</v>
      </c>
      <c r="BH12" s="459">
        <f t="shared" ca="1" si="4"/>
        <v>1.196</v>
      </c>
      <c r="BI12" s="459">
        <f t="shared" ca="1" si="4"/>
        <v>1.21</v>
      </c>
      <c r="BJ12" s="459">
        <f t="shared" ca="1" si="4"/>
        <v>1.224</v>
      </c>
      <c r="BK12" s="459">
        <f t="shared" ca="1" si="4"/>
        <v>1.238</v>
      </c>
      <c r="BL12" s="459">
        <f t="shared" ca="1" si="4"/>
        <v>1.252</v>
      </c>
      <c r="BM12" s="459">
        <f t="shared" ca="1" si="4"/>
        <v>1.266</v>
      </c>
      <c r="BN12" s="459">
        <f t="shared" ca="1" si="5"/>
        <v>1.28</v>
      </c>
      <c r="BO12" s="459">
        <f t="shared" ca="1" si="5"/>
        <v>1.294</v>
      </c>
      <c r="BP12" s="459">
        <f t="shared" ca="1" si="5"/>
        <v>1.3080000000000001</v>
      </c>
      <c r="BQ12" s="459">
        <f t="shared" ca="1" si="5"/>
        <v>1.3220000000000001</v>
      </c>
      <c r="BR12" s="459">
        <f t="shared" ca="1" si="5"/>
        <v>1.3359999999999999</v>
      </c>
      <c r="BS12" s="459">
        <f t="shared" ca="1" si="5"/>
        <v>1.35</v>
      </c>
      <c r="BT12" s="459">
        <f t="shared" ca="1" si="5"/>
        <v>1.3639999999999999</v>
      </c>
      <c r="BU12" s="459">
        <f t="shared" ca="1" si="5"/>
        <v>1.3779999999999999</v>
      </c>
      <c r="BV12" s="459">
        <f t="shared" ca="1" si="5"/>
        <v>1.3919999999999999</v>
      </c>
      <c r="BW12" s="459">
        <f t="shared" ca="1" si="5"/>
        <v>1.4059999999999999</v>
      </c>
      <c r="BX12" s="459">
        <f t="shared" ca="1" si="6"/>
        <v>1.42</v>
      </c>
      <c r="BY12" s="459">
        <f t="shared" ca="1" si="6"/>
        <v>1.4339999999999999</v>
      </c>
      <c r="BZ12" s="459">
        <f t="shared" ca="1" si="6"/>
        <v>1.448</v>
      </c>
      <c r="CA12" s="459">
        <f t="shared" ca="1" si="6"/>
        <v>1.462</v>
      </c>
      <c r="CB12" s="459">
        <f t="shared" ca="1" si="6"/>
        <v>1.476</v>
      </c>
      <c r="CC12" s="459">
        <f t="shared" ca="1" si="6"/>
        <v>1.49</v>
      </c>
      <c r="CD12" s="459">
        <f t="shared" ca="1" si="6"/>
        <v>1.504</v>
      </c>
      <c r="CE12" s="459">
        <f t="shared" ca="1" si="6"/>
        <v>1.518</v>
      </c>
      <c r="CF12" s="459">
        <f t="shared" ca="1" si="6"/>
        <v>1.532</v>
      </c>
      <c r="CG12" s="459">
        <f t="shared" ca="1" si="6"/>
        <v>1.5459999999999998</v>
      </c>
      <c r="CH12" s="459">
        <f t="shared" ca="1" si="7"/>
        <v>1.56</v>
      </c>
      <c r="CI12" s="459">
        <f t="shared" ca="1" si="7"/>
        <v>1.5739999999999998</v>
      </c>
      <c r="CJ12" s="459">
        <f t="shared" ca="1" si="7"/>
        <v>1.5880000000000001</v>
      </c>
      <c r="CK12" s="459">
        <f t="shared" ca="1" si="7"/>
        <v>1.6019999999999999</v>
      </c>
      <c r="CL12" s="459">
        <f t="shared" ca="1" si="7"/>
        <v>1.6160000000000001</v>
      </c>
      <c r="CM12" s="459">
        <f t="shared" ca="1" si="7"/>
        <v>1.63</v>
      </c>
      <c r="CN12" s="459">
        <f t="shared" ca="1" si="7"/>
        <v>1.6439999999999999</v>
      </c>
      <c r="CO12" s="459">
        <f t="shared" ca="1" si="7"/>
        <v>1.6579999999999999</v>
      </c>
      <c r="CP12" s="459">
        <f t="shared" ca="1" si="7"/>
        <v>1.6719999999999999</v>
      </c>
      <c r="CQ12" s="459">
        <f t="shared" ca="1" si="7"/>
        <v>1.6859999999999999</v>
      </c>
      <c r="CR12" s="460">
        <f t="shared" ca="1" si="7"/>
        <v>1.7</v>
      </c>
    </row>
    <row r="13" spans="1:98" s="250" customFormat="1" ht="11.25" customHeight="1" x14ac:dyDescent="0.2">
      <c r="A13" s="355"/>
      <c r="B13" s="356"/>
      <c r="C13" s="2237"/>
      <c r="D13" s="2237"/>
      <c r="E13" s="2237"/>
      <c r="F13" s="254" t="s">
        <v>254</v>
      </c>
      <c r="G13" s="254"/>
      <c r="H13" s="253"/>
      <c r="I13" s="2247"/>
      <c r="J13" s="2249"/>
      <c r="K13" s="1781">
        <f>$T$63*K17+$Z$63*K21+$T$64*K23+$Z$64*K25</f>
        <v>13.41846</v>
      </c>
      <c r="L13" s="1680"/>
      <c r="M13" s="1781">
        <f>$T$63*M17+$Z$63*M21+$T$64*M23+$Z$64*M25</f>
        <v>8.1648000000000014</v>
      </c>
      <c r="N13" s="1680"/>
      <c r="O13" s="1781">
        <f>$T$63*O17+$Z$63*O21+$T$64*O23+$Z$64*O25</f>
        <v>1.4162040000000002</v>
      </c>
      <c r="P13" s="1680"/>
      <c r="Q13" s="2241">
        <f t="shared" si="1"/>
        <v>0.14599999999999999</v>
      </c>
      <c r="R13" s="2242">
        <f t="shared" si="1"/>
        <v>0</v>
      </c>
      <c r="S13" s="2067">
        <f>IF(ISBLANK(L13),K13,L13)+IF(ISBLANK(N13),M13,N13)+IF(ISBLANK(P13),O13,P13)+Q11</f>
        <v>24.107664000000003</v>
      </c>
      <c r="T13" s="2068"/>
      <c r="U13" s="2051"/>
      <c r="V13" s="2054"/>
      <c r="W13" s="2096">
        <f t="shared" si="2"/>
        <v>5.3800000000000001E-2</v>
      </c>
      <c r="X13" s="2092">
        <f t="shared" si="2"/>
        <v>0</v>
      </c>
      <c r="Y13" s="2091">
        <f t="shared" si="2"/>
        <v>9.0000000000000045E-3</v>
      </c>
      <c r="Z13" s="2092">
        <f t="shared" si="2"/>
        <v>0</v>
      </c>
      <c r="AA13" s="2080">
        <f t="shared" si="2"/>
        <v>2.7720000000000002E-3</v>
      </c>
      <c r="AB13" s="2081">
        <f t="shared" si="2"/>
        <v>0</v>
      </c>
      <c r="AC13" s="2122">
        <f t="shared" si="2"/>
        <v>7.6320000000000006</v>
      </c>
      <c r="AD13" s="2123">
        <f t="shared" si="2"/>
        <v>0</v>
      </c>
      <c r="AE13" s="2051"/>
      <c r="AF13" s="2115"/>
      <c r="AG13" s="761"/>
      <c r="AH13" s="783">
        <f>IF(ISBLANK(V11),U11,V11)</f>
        <v>1.4</v>
      </c>
      <c r="AI13" s="2102"/>
      <c r="AJ13" s="2308"/>
      <c r="AK13" s="2311"/>
      <c r="AL13" s="2311"/>
      <c r="AM13" s="2305"/>
      <c r="AN13" s="323"/>
      <c r="AO13" s="324"/>
      <c r="AP13" s="324"/>
      <c r="AQ13" s="324"/>
      <c r="AR13" s="252"/>
      <c r="AS13" s="1795">
        <v>0</v>
      </c>
      <c r="AT13" s="458">
        <f t="shared" ca="1" si="3"/>
        <v>1</v>
      </c>
      <c r="AU13" s="459">
        <f t="shared" ca="1" si="3"/>
        <v>1.014</v>
      </c>
      <c r="AV13" s="459">
        <f t="shared" ca="1" si="3"/>
        <v>1.028</v>
      </c>
      <c r="AW13" s="459">
        <f t="shared" ca="1" si="3"/>
        <v>1.042</v>
      </c>
      <c r="AX13" s="459">
        <f t="shared" ca="1" si="3"/>
        <v>1.056</v>
      </c>
      <c r="AY13" s="459">
        <f t="shared" ca="1" si="3"/>
        <v>1.07</v>
      </c>
      <c r="AZ13" s="459">
        <f t="shared" ca="1" si="3"/>
        <v>1.0840000000000001</v>
      </c>
      <c r="BA13" s="459">
        <f t="shared" ca="1" si="3"/>
        <v>1.0980000000000001</v>
      </c>
      <c r="BB13" s="459">
        <f t="shared" ca="1" si="3"/>
        <v>1.1120000000000001</v>
      </c>
      <c r="BC13" s="459">
        <f t="shared" ca="1" si="3"/>
        <v>1.1259999999999999</v>
      </c>
      <c r="BD13" s="459">
        <f t="shared" ca="1" si="4"/>
        <v>1.1400000000000001</v>
      </c>
      <c r="BE13" s="459">
        <f t="shared" ca="1" si="4"/>
        <v>1.1539999999999999</v>
      </c>
      <c r="BF13" s="459">
        <f t="shared" ca="1" si="4"/>
        <v>1.1679999999999999</v>
      </c>
      <c r="BG13" s="459">
        <f t="shared" ca="1" si="4"/>
        <v>1.1819999999999999</v>
      </c>
      <c r="BH13" s="459">
        <f t="shared" ca="1" si="4"/>
        <v>1.196</v>
      </c>
      <c r="BI13" s="459">
        <f t="shared" ca="1" si="4"/>
        <v>1.21</v>
      </c>
      <c r="BJ13" s="459">
        <f t="shared" ca="1" si="4"/>
        <v>1.224</v>
      </c>
      <c r="BK13" s="459">
        <f t="shared" ca="1" si="4"/>
        <v>1.238</v>
      </c>
      <c r="BL13" s="459">
        <f t="shared" ca="1" si="4"/>
        <v>1.252</v>
      </c>
      <c r="BM13" s="459">
        <f t="shared" ca="1" si="4"/>
        <v>1.266</v>
      </c>
      <c r="BN13" s="459">
        <f t="shared" ca="1" si="5"/>
        <v>1.28</v>
      </c>
      <c r="BO13" s="459">
        <f t="shared" ca="1" si="5"/>
        <v>1.294</v>
      </c>
      <c r="BP13" s="459">
        <f t="shared" ca="1" si="5"/>
        <v>1.3080000000000001</v>
      </c>
      <c r="BQ13" s="459">
        <f t="shared" ca="1" si="5"/>
        <v>1.3220000000000001</v>
      </c>
      <c r="BR13" s="459">
        <f t="shared" ca="1" si="5"/>
        <v>1.3359999999999999</v>
      </c>
      <c r="BS13" s="459">
        <f t="shared" ca="1" si="5"/>
        <v>1.35</v>
      </c>
      <c r="BT13" s="459">
        <f t="shared" ca="1" si="5"/>
        <v>1.3639999999999999</v>
      </c>
      <c r="BU13" s="459">
        <f t="shared" ca="1" si="5"/>
        <v>1.3779999999999999</v>
      </c>
      <c r="BV13" s="459">
        <f t="shared" ca="1" si="5"/>
        <v>1.3919999999999999</v>
      </c>
      <c r="BW13" s="459">
        <f t="shared" ca="1" si="5"/>
        <v>1.4059999999999999</v>
      </c>
      <c r="BX13" s="459">
        <f t="shared" ca="1" si="6"/>
        <v>1.42</v>
      </c>
      <c r="BY13" s="459">
        <f t="shared" ca="1" si="6"/>
        <v>1.4339999999999999</v>
      </c>
      <c r="BZ13" s="459">
        <f t="shared" ca="1" si="6"/>
        <v>1.448</v>
      </c>
      <c r="CA13" s="459">
        <f t="shared" ca="1" si="6"/>
        <v>1.462</v>
      </c>
      <c r="CB13" s="459">
        <f t="shared" ca="1" si="6"/>
        <v>1.476</v>
      </c>
      <c r="CC13" s="459">
        <f t="shared" ca="1" si="6"/>
        <v>1.49</v>
      </c>
      <c r="CD13" s="459">
        <f t="shared" ca="1" si="6"/>
        <v>1.504</v>
      </c>
      <c r="CE13" s="459">
        <f t="shared" ca="1" si="6"/>
        <v>1.518</v>
      </c>
      <c r="CF13" s="459">
        <f t="shared" ca="1" si="6"/>
        <v>1.532</v>
      </c>
      <c r="CG13" s="459">
        <f t="shared" ca="1" si="6"/>
        <v>1.5459999999999998</v>
      </c>
      <c r="CH13" s="459">
        <f t="shared" ca="1" si="7"/>
        <v>1.56</v>
      </c>
      <c r="CI13" s="459">
        <f t="shared" ca="1" si="7"/>
        <v>1.5739999999999998</v>
      </c>
      <c r="CJ13" s="459">
        <f t="shared" ca="1" si="7"/>
        <v>1.5880000000000001</v>
      </c>
      <c r="CK13" s="459">
        <f t="shared" ca="1" si="7"/>
        <v>1.6019999999999999</v>
      </c>
      <c r="CL13" s="459">
        <f t="shared" ca="1" si="7"/>
        <v>1.6160000000000001</v>
      </c>
      <c r="CM13" s="459">
        <f t="shared" ca="1" si="7"/>
        <v>1.63</v>
      </c>
      <c r="CN13" s="459">
        <f t="shared" ca="1" si="7"/>
        <v>1.6439999999999999</v>
      </c>
      <c r="CO13" s="459">
        <f t="shared" ca="1" si="7"/>
        <v>1.6579999999999999</v>
      </c>
      <c r="CP13" s="459">
        <f t="shared" ca="1" si="7"/>
        <v>1.6719999999999999</v>
      </c>
      <c r="CQ13" s="459">
        <f t="shared" ca="1" si="7"/>
        <v>1.6859999999999999</v>
      </c>
      <c r="CR13" s="460">
        <f t="shared" ca="1" si="7"/>
        <v>1.7</v>
      </c>
    </row>
    <row r="14" spans="1:98" s="250" customFormat="1" ht="11.25" customHeight="1" x14ac:dyDescent="0.2">
      <c r="A14" s="1646"/>
      <c r="B14" s="356"/>
      <c r="C14" s="2238"/>
      <c r="D14" s="2238"/>
      <c r="E14" s="2238"/>
      <c r="F14" s="553" t="s">
        <v>255</v>
      </c>
      <c r="G14" s="553"/>
      <c r="H14" s="255"/>
      <c r="I14" s="2019"/>
      <c r="J14" s="2021"/>
      <c r="K14" s="1683">
        <f>$T$63*K18+$Z$63*K22+$T$64*K24+$Z$64*K26</f>
        <v>9.2271959999999993</v>
      </c>
      <c r="L14" s="1684"/>
      <c r="M14" s="1683">
        <f>$T$63*M18+$Z$63*M22+$T$64*M24+$Z$64*M26</f>
        <v>4.0824000000000007</v>
      </c>
      <c r="N14" s="1684"/>
      <c r="O14" s="1683">
        <f>$T$63*O18+$Z$63*O22+$T$64*O24+$Z$64*O26</f>
        <v>0.60652799999999996</v>
      </c>
      <c r="P14" s="1684"/>
      <c r="Q14" s="2061">
        <f t="shared" si="1"/>
        <v>0</v>
      </c>
      <c r="R14" s="2062">
        <f t="shared" si="1"/>
        <v>0</v>
      </c>
      <c r="S14" s="2072">
        <f>IF(ISBLANK(L14),K14,L14)+IF(ISBLANK(N14),M14,N14)+IF(ISBLANK(P14),O14,P14)+Q11</f>
        <v>15.024324</v>
      </c>
      <c r="T14" s="2073"/>
      <c r="U14" s="2052"/>
      <c r="V14" s="2055"/>
      <c r="W14" s="2097">
        <f t="shared" si="2"/>
        <v>0</v>
      </c>
      <c r="X14" s="2094">
        <f t="shared" si="2"/>
        <v>0</v>
      </c>
      <c r="Y14" s="2093">
        <f t="shared" si="2"/>
        <v>0</v>
      </c>
      <c r="Z14" s="2094">
        <f t="shared" si="2"/>
        <v>0</v>
      </c>
      <c r="AA14" s="2082">
        <f t="shared" si="2"/>
        <v>0</v>
      </c>
      <c r="AB14" s="2083">
        <f t="shared" si="2"/>
        <v>0</v>
      </c>
      <c r="AC14" s="2124">
        <f t="shared" si="2"/>
        <v>0</v>
      </c>
      <c r="AD14" s="2125">
        <f t="shared" si="2"/>
        <v>0</v>
      </c>
      <c r="AE14" s="2051"/>
      <c r="AF14" s="2115"/>
      <c r="AG14" s="761"/>
      <c r="AH14" s="784">
        <f>IF(ISBLANK(V11),U11,V11)</f>
        <v>1.4</v>
      </c>
      <c r="AI14" s="2103"/>
      <c r="AJ14" s="2309"/>
      <c r="AK14" s="2312"/>
      <c r="AL14" s="2312"/>
      <c r="AM14" s="2306"/>
      <c r="AN14" s="323"/>
      <c r="AO14" s="324"/>
      <c r="AP14" s="324"/>
      <c r="AQ14" s="324"/>
      <c r="AR14" s="252"/>
      <c r="AS14" s="1795">
        <v>0</v>
      </c>
      <c r="AT14" s="461">
        <f t="shared" ca="1" si="3"/>
        <v>1</v>
      </c>
      <c r="AU14" s="462">
        <f t="shared" ca="1" si="3"/>
        <v>1.014</v>
      </c>
      <c r="AV14" s="462">
        <f t="shared" ca="1" si="3"/>
        <v>1.028</v>
      </c>
      <c r="AW14" s="462">
        <f t="shared" ca="1" si="3"/>
        <v>1.042</v>
      </c>
      <c r="AX14" s="462">
        <f t="shared" ca="1" si="3"/>
        <v>1.056</v>
      </c>
      <c r="AY14" s="462">
        <f t="shared" ca="1" si="3"/>
        <v>1.07</v>
      </c>
      <c r="AZ14" s="462">
        <f t="shared" ca="1" si="3"/>
        <v>1.0840000000000001</v>
      </c>
      <c r="BA14" s="462">
        <f t="shared" ca="1" si="3"/>
        <v>1.0980000000000001</v>
      </c>
      <c r="BB14" s="462">
        <f t="shared" ca="1" si="3"/>
        <v>1.1120000000000001</v>
      </c>
      <c r="BC14" s="462">
        <f t="shared" ca="1" si="3"/>
        <v>1.1259999999999999</v>
      </c>
      <c r="BD14" s="462">
        <f t="shared" ca="1" si="4"/>
        <v>1.1400000000000001</v>
      </c>
      <c r="BE14" s="462">
        <f t="shared" ca="1" si="4"/>
        <v>1.1539999999999999</v>
      </c>
      <c r="BF14" s="462">
        <f t="shared" ca="1" si="4"/>
        <v>1.1679999999999999</v>
      </c>
      <c r="BG14" s="462">
        <f t="shared" ca="1" si="4"/>
        <v>1.1819999999999999</v>
      </c>
      <c r="BH14" s="462">
        <f t="shared" ca="1" si="4"/>
        <v>1.196</v>
      </c>
      <c r="BI14" s="462">
        <f t="shared" ca="1" si="4"/>
        <v>1.21</v>
      </c>
      <c r="BJ14" s="462">
        <f t="shared" ca="1" si="4"/>
        <v>1.224</v>
      </c>
      <c r="BK14" s="462">
        <f t="shared" ca="1" si="4"/>
        <v>1.238</v>
      </c>
      <c r="BL14" s="462">
        <f t="shared" ca="1" si="4"/>
        <v>1.252</v>
      </c>
      <c r="BM14" s="462">
        <f t="shared" ca="1" si="4"/>
        <v>1.266</v>
      </c>
      <c r="BN14" s="462">
        <f t="shared" ca="1" si="5"/>
        <v>1.28</v>
      </c>
      <c r="BO14" s="462">
        <f t="shared" ca="1" si="5"/>
        <v>1.294</v>
      </c>
      <c r="BP14" s="462">
        <f t="shared" ca="1" si="5"/>
        <v>1.3080000000000001</v>
      </c>
      <c r="BQ14" s="462">
        <f t="shared" ca="1" si="5"/>
        <v>1.3220000000000001</v>
      </c>
      <c r="BR14" s="462">
        <f t="shared" ca="1" si="5"/>
        <v>1.3359999999999999</v>
      </c>
      <c r="BS14" s="462">
        <f t="shared" ca="1" si="5"/>
        <v>1.35</v>
      </c>
      <c r="BT14" s="462">
        <f t="shared" ca="1" si="5"/>
        <v>1.3639999999999999</v>
      </c>
      <c r="BU14" s="462">
        <f t="shared" ca="1" si="5"/>
        <v>1.3779999999999999</v>
      </c>
      <c r="BV14" s="462">
        <f t="shared" ca="1" si="5"/>
        <v>1.3919999999999999</v>
      </c>
      <c r="BW14" s="462">
        <f t="shared" ca="1" si="5"/>
        <v>1.4059999999999999</v>
      </c>
      <c r="BX14" s="462">
        <f t="shared" ca="1" si="6"/>
        <v>1.42</v>
      </c>
      <c r="BY14" s="462">
        <f t="shared" ca="1" si="6"/>
        <v>1.4339999999999999</v>
      </c>
      <c r="BZ14" s="462">
        <f t="shared" ca="1" si="6"/>
        <v>1.448</v>
      </c>
      <c r="CA14" s="462">
        <f t="shared" ca="1" si="6"/>
        <v>1.462</v>
      </c>
      <c r="CB14" s="462">
        <f t="shared" ca="1" si="6"/>
        <v>1.476</v>
      </c>
      <c r="CC14" s="462">
        <f t="shared" ca="1" si="6"/>
        <v>1.49</v>
      </c>
      <c r="CD14" s="462">
        <f t="shared" ca="1" si="6"/>
        <v>1.504</v>
      </c>
      <c r="CE14" s="462">
        <f t="shared" ca="1" si="6"/>
        <v>1.518</v>
      </c>
      <c r="CF14" s="462">
        <f t="shared" ca="1" si="6"/>
        <v>1.532</v>
      </c>
      <c r="CG14" s="462">
        <f t="shared" ca="1" si="6"/>
        <v>1.5459999999999998</v>
      </c>
      <c r="CH14" s="462">
        <f t="shared" ca="1" si="7"/>
        <v>1.56</v>
      </c>
      <c r="CI14" s="462">
        <f t="shared" ca="1" si="7"/>
        <v>1.5739999999999998</v>
      </c>
      <c r="CJ14" s="462">
        <f t="shared" ca="1" si="7"/>
        <v>1.5880000000000001</v>
      </c>
      <c r="CK14" s="462">
        <f t="shared" ca="1" si="7"/>
        <v>1.6019999999999999</v>
      </c>
      <c r="CL14" s="462">
        <f t="shared" ca="1" si="7"/>
        <v>1.6160000000000001</v>
      </c>
      <c r="CM14" s="462">
        <f t="shared" ca="1" si="7"/>
        <v>1.63</v>
      </c>
      <c r="CN14" s="462">
        <f t="shared" ca="1" si="7"/>
        <v>1.6439999999999999</v>
      </c>
      <c r="CO14" s="462">
        <f t="shared" ca="1" si="7"/>
        <v>1.6579999999999999</v>
      </c>
      <c r="CP14" s="462">
        <f t="shared" ca="1" si="7"/>
        <v>1.6719999999999999</v>
      </c>
      <c r="CQ14" s="462">
        <f t="shared" ca="1" si="7"/>
        <v>1.6859999999999999</v>
      </c>
      <c r="CR14" s="463">
        <f t="shared" ca="1" si="7"/>
        <v>1.7</v>
      </c>
    </row>
    <row r="15" spans="1:98" s="788" customFormat="1" ht="11.25" customHeight="1" x14ac:dyDescent="0.2">
      <c r="A15" s="1646"/>
      <c r="B15" s="1647"/>
      <c r="C15" s="2237" t="s">
        <v>807</v>
      </c>
      <c r="D15" s="2237"/>
      <c r="E15" s="2237"/>
      <c r="F15" s="254" t="s">
        <v>252</v>
      </c>
      <c r="G15" s="254"/>
      <c r="H15" s="253"/>
      <c r="I15" s="2247">
        <f>10*12*0.9*1.08</f>
        <v>116.64000000000001</v>
      </c>
      <c r="J15" s="2249"/>
      <c r="K15" s="1781">
        <f>9.2*0.9*1.08</f>
        <v>8.9423999999999992</v>
      </c>
      <c r="L15" s="1680"/>
      <c r="M15" s="1781">
        <f>8.4*0.9*1.08</f>
        <v>8.1648000000000014</v>
      </c>
      <c r="N15" s="1680"/>
      <c r="O15" s="1781">
        <f>(1.7+1.3)*0.9*1.08</f>
        <v>2.9160000000000004</v>
      </c>
      <c r="P15" s="1680"/>
      <c r="Q15" s="2241">
        <v>1.03</v>
      </c>
      <c r="R15" s="2242"/>
      <c r="S15" s="2067">
        <f>IF(ISBLANK(L15),K15,L15)+IF(ISBLANK(N15),M15,N15)+IF(ISBLANK(P15),O15,P15)+Q15</f>
        <v>21.0532</v>
      </c>
      <c r="T15" s="2068"/>
      <c r="U15" s="2051">
        <v>1.4</v>
      </c>
      <c r="V15" s="2054"/>
      <c r="W15" s="2096">
        <v>0.04</v>
      </c>
      <c r="X15" s="2092"/>
      <c r="Y15" s="2091">
        <f>1.14-W15</f>
        <v>1.0999999999999999</v>
      </c>
      <c r="Z15" s="2092"/>
      <c r="AA15" s="2080">
        <v>1.206E-2</v>
      </c>
      <c r="AB15" s="2081"/>
      <c r="AC15" s="2363">
        <v>63.13</v>
      </c>
      <c r="AD15" s="2123"/>
      <c r="AE15" s="2051"/>
      <c r="AF15" s="2115"/>
      <c r="AG15" s="761"/>
      <c r="AH15" s="782">
        <f>IF(ISBLANK(V15),U15,V15)</f>
        <v>1.4</v>
      </c>
      <c r="AI15" s="2101">
        <f>IF(ISBLANK($J15),$I15,$J15)</f>
        <v>116.64000000000001</v>
      </c>
      <c r="AJ15" s="2307">
        <f>S15</f>
        <v>21.0532</v>
      </c>
      <c r="AK15" s="2310">
        <f>S16</f>
        <v>11.867800000000001</v>
      </c>
      <c r="AL15" s="2310">
        <f>S17</f>
        <v>21.0532</v>
      </c>
      <c r="AM15" s="2304">
        <f>S18</f>
        <v>11.867800000000001</v>
      </c>
      <c r="AN15" s="323"/>
      <c r="AO15" s="324"/>
      <c r="AR15" s="252"/>
      <c r="AS15" s="1795">
        <v>0</v>
      </c>
      <c r="AT15" s="458">
        <f t="shared" ca="1" si="3"/>
        <v>1</v>
      </c>
      <c r="AU15" s="459">
        <f t="shared" ca="1" si="3"/>
        <v>1.014</v>
      </c>
      <c r="AV15" s="459">
        <f t="shared" ca="1" si="3"/>
        <v>1.028</v>
      </c>
      <c r="AW15" s="459">
        <f t="shared" ca="1" si="3"/>
        <v>1.042</v>
      </c>
      <c r="AX15" s="459">
        <f t="shared" ca="1" si="3"/>
        <v>1.056</v>
      </c>
      <c r="AY15" s="459">
        <f t="shared" ca="1" si="3"/>
        <v>1.07</v>
      </c>
      <c r="AZ15" s="459">
        <f t="shared" ca="1" si="3"/>
        <v>1.0840000000000001</v>
      </c>
      <c r="BA15" s="459">
        <f t="shared" ca="1" si="3"/>
        <v>1.0980000000000001</v>
      </c>
      <c r="BB15" s="459">
        <f t="shared" ca="1" si="3"/>
        <v>1.1120000000000001</v>
      </c>
      <c r="BC15" s="459">
        <f t="shared" ca="1" si="3"/>
        <v>1.1259999999999999</v>
      </c>
      <c r="BD15" s="459">
        <f t="shared" ca="1" si="4"/>
        <v>1.1400000000000001</v>
      </c>
      <c r="BE15" s="459">
        <f t="shared" ca="1" si="4"/>
        <v>1.1539999999999999</v>
      </c>
      <c r="BF15" s="459">
        <f t="shared" ca="1" si="4"/>
        <v>1.1679999999999999</v>
      </c>
      <c r="BG15" s="459">
        <f t="shared" ca="1" si="4"/>
        <v>1.1819999999999999</v>
      </c>
      <c r="BH15" s="459">
        <f t="shared" ca="1" si="4"/>
        <v>1.196</v>
      </c>
      <c r="BI15" s="459">
        <f t="shared" ca="1" si="4"/>
        <v>1.21</v>
      </c>
      <c r="BJ15" s="459">
        <f t="shared" ca="1" si="4"/>
        <v>1.224</v>
      </c>
      <c r="BK15" s="459">
        <f t="shared" ca="1" si="4"/>
        <v>1.238</v>
      </c>
      <c r="BL15" s="459">
        <f t="shared" ca="1" si="4"/>
        <v>1.252</v>
      </c>
      <c r="BM15" s="459">
        <f t="shared" ca="1" si="4"/>
        <v>1.266</v>
      </c>
      <c r="BN15" s="459">
        <f t="shared" ca="1" si="5"/>
        <v>1.28</v>
      </c>
      <c r="BO15" s="459">
        <f t="shared" ca="1" si="5"/>
        <v>1.294</v>
      </c>
      <c r="BP15" s="459">
        <f t="shared" ca="1" si="5"/>
        <v>1.3080000000000001</v>
      </c>
      <c r="BQ15" s="459">
        <f t="shared" ca="1" si="5"/>
        <v>1.3220000000000001</v>
      </c>
      <c r="BR15" s="459">
        <f t="shared" ca="1" si="5"/>
        <v>1.3359999999999999</v>
      </c>
      <c r="BS15" s="459">
        <f t="shared" ca="1" si="5"/>
        <v>1.35</v>
      </c>
      <c r="BT15" s="459">
        <f t="shared" ca="1" si="5"/>
        <v>1.3639999999999999</v>
      </c>
      <c r="BU15" s="459">
        <f t="shared" ca="1" si="5"/>
        <v>1.3779999999999999</v>
      </c>
      <c r="BV15" s="459">
        <f t="shared" ca="1" si="5"/>
        <v>1.3919999999999999</v>
      </c>
      <c r="BW15" s="459">
        <f t="shared" ca="1" si="5"/>
        <v>1.4059999999999999</v>
      </c>
      <c r="BX15" s="459">
        <f t="shared" ca="1" si="6"/>
        <v>1.42</v>
      </c>
      <c r="BY15" s="459">
        <f t="shared" ca="1" si="6"/>
        <v>1.4339999999999999</v>
      </c>
      <c r="BZ15" s="459">
        <f t="shared" ca="1" si="6"/>
        <v>1.448</v>
      </c>
      <c r="CA15" s="459">
        <f t="shared" ca="1" si="6"/>
        <v>1.462</v>
      </c>
      <c r="CB15" s="459">
        <f t="shared" ca="1" si="6"/>
        <v>1.476</v>
      </c>
      <c r="CC15" s="459">
        <f t="shared" ca="1" si="6"/>
        <v>1.49</v>
      </c>
      <c r="CD15" s="459">
        <f t="shared" ca="1" si="6"/>
        <v>1.504</v>
      </c>
      <c r="CE15" s="459">
        <f t="shared" ca="1" si="6"/>
        <v>1.518</v>
      </c>
      <c r="CF15" s="459">
        <f t="shared" ca="1" si="6"/>
        <v>1.532</v>
      </c>
      <c r="CG15" s="459">
        <f t="shared" ca="1" si="6"/>
        <v>1.5459999999999998</v>
      </c>
      <c r="CH15" s="459">
        <f t="shared" ca="1" si="7"/>
        <v>1.56</v>
      </c>
      <c r="CI15" s="459">
        <f t="shared" ca="1" si="7"/>
        <v>1.5739999999999998</v>
      </c>
      <c r="CJ15" s="459">
        <f t="shared" ca="1" si="7"/>
        <v>1.5880000000000001</v>
      </c>
      <c r="CK15" s="459">
        <f t="shared" ca="1" si="7"/>
        <v>1.6019999999999999</v>
      </c>
      <c r="CL15" s="459">
        <f t="shared" ca="1" si="7"/>
        <v>1.6160000000000001</v>
      </c>
      <c r="CM15" s="459">
        <f t="shared" ca="1" si="7"/>
        <v>1.63</v>
      </c>
      <c r="CN15" s="459">
        <f t="shared" ca="1" si="7"/>
        <v>1.6439999999999999</v>
      </c>
      <c r="CO15" s="459">
        <f t="shared" ca="1" si="7"/>
        <v>1.6579999999999999</v>
      </c>
      <c r="CP15" s="459">
        <f t="shared" ca="1" si="7"/>
        <v>1.6719999999999999</v>
      </c>
      <c r="CQ15" s="459">
        <f t="shared" ca="1" si="7"/>
        <v>1.6859999999999999</v>
      </c>
      <c r="CR15" s="460">
        <f t="shared" ca="1" si="7"/>
        <v>1.7</v>
      </c>
    </row>
    <row r="16" spans="1:98" s="788" customFormat="1" ht="11.25" customHeight="1" x14ac:dyDescent="0.2">
      <c r="A16" s="1646"/>
      <c r="B16" s="1647"/>
      <c r="C16" s="2237"/>
      <c r="D16" s="2237"/>
      <c r="E16" s="2237"/>
      <c r="F16" s="254" t="s">
        <v>253</v>
      </c>
      <c r="G16" s="254"/>
      <c r="H16" s="253"/>
      <c r="I16" s="2247"/>
      <c r="J16" s="2249"/>
      <c r="K16" s="1781">
        <f>4.8*0.9*1.08</f>
        <v>4.6656000000000004</v>
      </c>
      <c r="L16" s="1680"/>
      <c r="M16" s="1781">
        <f>4.2*0.9*1.08</f>
        <v>4.0824000000000007</v>
      </c>
      <c r="N16" s="1680"/>
      <c r="O16" s="1781">
        <f>(0.85+1.3)*0.9*1.08</f>
        <v>2.0898000000000003</v>
      </c>
      <c r="P16" s="1680"/>
      <c r="Q16" s="2241"/>
      <c r="R16" s="2242"/>
      <c r="S16" s="2067">
        <f>IF(ISBLANK(L16),K16,L16)+IF(ISBLANK(N16),M16,N16)+IF(ISBLANK(P16),O16,P16)+Q15</f>
        <v>11.867800000000001</v>
      </c>
      <c r="T16" s="2068"/>
      <c r="U16" s="2051"/>
      <c r="V16" s="2054"/>
      <c r="W16" s="2096"/>
      <c r="X16" s="2092"/>
      <c r="Y16" s="2091"/>
      <c r="Z16" s="2092"/>
      <c r="AA16" s="2080"/>
      <c r="AB16" s="2081"/>
      <c r="AC16" s="2122"/>
      <c r="AD16" s="2123"/>
      <c r="AE16" s="2051"/>
      <c r="AF16" s="2115"/>
      <c r="AG16" s="761"/>
      <c r="AH16" s="783">
        <f>IF(ISBLANK(V15),U15,V15)</f>
        <v>1.4</v>
      </c>
      <c r="AI16" s="2102"/>
      <c r="AJ16" s="2308"/>
      <c r="AK16" s="2311"/>
      <c r="AL16" s="2311"/>
      <c r="AM16" s="2305"/>
      <c r="AN16" s="323"/>
      <c r="AO16" s="324"/>
      <c r="AR16" s="252"/>
      <c r="AS16" s="1795">
        <v>0</v>
      </c>
      <c r="AT16" s="458">
        <f t="shared" ca="1" si="3"/>
        <v>1</v>
      </c>
      <c r="AU16" s="459">
        <f t="shared" ca="1" si="3"/>
        <v>1.014</v>
      </c>
      <c r="AV16" s="459">
        <f t="shared" ca="1" si="3"/>
        <v>1.028</v>
      </c>
      <c r="AW16" s="459">
        <f t="shared" ca="1" si="3"/>
        <v>1.042</v>
      </c>
      <c r="AX16" s="459">
        <f t="shared" ca="1" si="3"/>
        <v>1.056</v>
      </c>
      <c r="AY16" s="459">
        <f t="shared" ca="1" si="3"/>
        <v>1.07</v>
      </c>
      <c r="AZ16" s="459">
        <f t="shared" ca="1" si="3"/>
        <v>1.0840000000000001</v>
      </c>
      <c r="BA16" s="459">
        <f t="shared" ca="1" si="3"/>
        <v>1.0980000000000001</v>
      </c>
      <c r="BB16" s="459">
        <f t="shared" ca="1" si="3"/>
        <v>1.1120000000000001</v>
      </c>
      <c r="BC16" s="459">
        <f t="shared" ca="1" si="3"/>
        <v>1.1259999999999999</v>
      </c>
      <c r="BD16" s="459">
        <f t="shared" ca="1" si="4"/>
        <v>1.1400000000000001</v>
      </c>
      <c r="BE16" s="459">
        <f t="shared" ca="1" si="4"/>
        <v>1.1539999999999999</v>
      </c>
      <c r="BF16" s="459">
        <f t="shared" ca="1" si="4"/>
        <v>1.1679999999999999</v>
      </c>
      <c r="BG16" s="459">
        <f t="shared" ca="1" si="4"/>
        <v>1.1819999999999999</v>
      </c>
      <c r="BH16" s="459">
        <f t="shared" ca="1" si="4"/>
        <v>1.196</v>
      </c>
      <c r="BI16" s="459">
        <f t="shared" ca="1" si="4"/>
        <v>1.21</v>
      </c>
      <c r="BJ16" s="459">
        <f t="shared" ca="1" si="4"/>
        <v>1.224</v>
      </c>
      <c r="BK16" s="459">
        <f t="shared" ca="1" si="4"/>
        <v>1.238</v>
      </c>
      <c r="BL16" s="459">
        <f t="shared" ca="1" si="4"/>
        <v>1.252</v>
      </c>
      <c r="BM16" s="459">
        <f t="shared" ca="1" si="4"/>
        <v>1.266</v>
      </c>
      <c r="BN16" s="459">
        <f t="shared" ca="1" si="5"/>
        <v>1.28</v>
      </c>
      <c r="BO16" s="459">
        <f t="shared" ca="1" si="5"/>
        <v>1.294</v>
      </c>
      <c r="BP16" s="459">
        <f t="shared" ca="1" si="5"/>
        <v>1.3080000000000001</v>
      </c>
      <c r="BQ16" s="459">
        <f t="shared" ca="1" si="5"/>
        <v>1.3220000000000001</v>
      </c>
      <c r="BR16" s="459">
        <f t="shared" ca="1" si="5"/>
        <v>1.3359999999999999</v>
      </c>
      <c r="BS16" s="459">
        <f t="shared" ca="1" si="5"/>
        <v>1.35</v>
      </c>
      <c r="BT16" s="459">
        <f t="shared" ca="1" si="5"/>
        <v>1.3639999999999999</v>
      </c>
      <c r="BU16" s="459">
        <f t="shared" ca="1" si="5"/>
        <v>1.3779999999999999</v>
      </c>
      <c r="BV16" s="459">
        <f t="shared" ca="1" si="5"/>
        <v>1.3919999999999999</v>
      </c>
      <c r="BW16" s="459">
        <f t="shared" ca="1" si="5"/>
        <v>1.4059999999999999</v>
      </c>
      <c r="BX16" s="459">
        <f t="shared" ca="1" si="6"/>
        <v>1.42</v>
      </c>
      <c r="BY16" s="459">
        <f t="shared" ca="1" si="6"/>
        <v>1.4339999999999999</v>
      </c>
      <c r="BZ16" s="459">
        <f t="shared" ca="1" si="6"/>
        <v>1.448</v>
      </c>
      <c r="CA16" s="459">
        <f t="shared" ca="1" si="6"/>
        <v>1.462</v>
      </c>
      <c r="CB16" s="459">
        <f t="shared" ca="1" si="6"/>
        <v>1.476</v>
      </c>
      <c r="CC16" s="459">
        <f t="shared" ca="1" si="6"/>
        <v>1.49</v>
      </c>
      <c r="CD16" s="459">
        <f t="shared" ca="1" si="6"/>
        <v>1.504</v>
      </c>
      <c r="CE16" s="459">
        <f t="shared" ca="1" si="6"/>
        <v>1.518</v>
      </c>
      <c r="CF16" s="459">
        <f t="shared" ca="1" si="6"/>
        <v>1.532</v>
      </c>
      <c r="CG16" s="459">
        <f t="shared" ca="1" si="6"/>
        <v>1.5459999999999998</v>
      </c>
      <c r="CH16" s="459">
        <f t="shared" ca="1" si="7"/>
        <v>1.56</v>
      </c>
      <c r="CI16" s="459">
        <f t="shared" ca="1" si="7"/>
        <v>1.5739999999999998</v>
      </c>
      <c r="CJ16" s="459">
        <f t="shared" ca="1" si="7"/>
        <v>1.5880000000000001</v>
      </c>
      <c r="CK16" s="459">
        <f t="shared" ca="1" si="7"/>
        <v>1.6019999999999999</v>
      </c>
      <c r="CL16" s="459">
        <f t="shared" ca="1" si="7"/>
        <v>1.6160000000000001</v>
      </c>
      <c r="CM16" s="459">
        <f t="shared" ca="1" si="7"/>
        <v>1.63</v>
      </c>
      <c r="CN16" s="459">
        <f t="shared" ca="1" si="7"/>
        <v>1.6439999999999999</v>
      </c>
      <c r="CO16" s="459">
        <f t="shared" ca="1" si="7"/>
        <v>1.6579999999999999</v>
      </c>
      <c r="CP16" s="459">
        <f t="shared" ca="1" si="7"/>
        <v>1.6719999999999999</v>
      </c>
      <c r="CQ16" s="459">
        <f t="shared" ca="1" si="7"/>
        <v>1.6859999999999999</v>
      </c>
      <c r="CR16" s="460">
        <f t="shared" ca="1" si="7"/>
        <v>1.7</v>
      </c>
    </row>
    <row r="17" spans="1:96" s="788" customFormat="1" ht="11.25" customHeight="1" x14ac:dyDescent="0.2">
      <c r="A17" s="1646"/>
      <c r="B17" s="1647"/>
      <c r="C17" s="2237"/>
      <c r="D17" s="2237"/>
      <c r="E17" s="2237"/>
      <c r="F17" s="254" t="s">
        <v>254</v>
      </c>
      <c r="G17" s="254"/>
      <c r="H17" s="253"/>
      <c r="I17" s="2247"/>
      <c r="J17" s="2249"/>
      <c r="K17" s="1781">
        <f>K15</f>
        <v>8.9423999999999992</v>
      </c>
      <c r="L17" s="1680"/>
      <c r="M17" s="1781">
        <f>M15</f>
        <v>8.1648000000000014</v>
      </c>
      <c r="N17" s="1680"/>
      <c r="O17" s="1781">
        <f>O15</f>
        <v>2.9160000000000004</v>
      </c>
      <c r="P17" s="1680"/>
      <c r="Q17" s="2241"/>
      <c r="R17" s="2242"/>
      <c r="S17" s="2067">
        <f>IF(ISBLANK(L17),K17,L17)+IF(ISBLANK(N17),M17,N17)+IF(ISBLANK(P17),O17,P17)+Q15</f>
        <v>21.0532</v>
      </c>
      <c r="T17" s="2068"/>
      <c r="U17" s="2051"/>
      <c r="V17" s="2054"/>
      <c r="W17" s="2096"/>
      <c r="X17" s="2092"/>
      <c r="Y17" s="2091"/>
      <c r="Z17" s="2092"/>
      <c r="AA17" s="2080"/>
      <c r="AB17" s="2081"/>
      <c r="AC17" s="2122"/>
      <c r="AD17" s="2123"/>
      <c r="AE17" s="2051"/>
      <c r="AF17" s="2115"/>
      <c r="AG17" s="761"/>
      <c r="AH17" s="783">
        <f>IF(ISBLANK(V15),U15,V15)</f>
        <v>1.4</v>
      </c>
      <c r="AI17" s="2102"/>
      <c r="AJ17" s="2308"/>
      <c r="AK17" s="2311"/>
      <c r="AL17" s="2311"/>
      <c r="AM17" s="2305"/>
      <c r="AN17" s="323"/>
      <c r="AO17" s="324"/>
      <c r="AP17" s="324"/>
      <c r="AQ17" s="324"/>
      <c r="AR17" s="252"/>
      <c r="AS17" s="1795">
        <v>0</v>
      </c>
      <c r="AT17" s="458">
        <f t="shared" ca="1" si="3"/>
        <v>1</v>
      </c>
      <c r="AU17" s="459">
        <f t="shared" ca="1" si="3"/>
        <v>1.014</v>
      </c>
      <c r="AV17" s="459">
        <f t="shared" ca="1" si="3"/>
        <v>1.028</v>
      </c>
      <c r="AW17" s="459">
        <f t="shared" ca="1" si="3"/>
        <v>1.042</v>
      </c>
      <c r="AX17" s="459">
        <f t="shared" ca="1" si="3"/>
        <v>1.056</v>
      </c>
      <c r="AY17" s="459">
        <f t="shared" ca="1" si="3"/>
        <v>1.07</v>
      </c>
      <c r="AZ17" s="459">
        <f t="shared" ca="1" si="3"/>
        <v>1.0840000000000001</v>
      </c>
      <c r="BA17" s="459">
        <f t="shared" ca="1" si="3"/>
        <v>1.0980000000000001</v>
      </c>
      <c r="BB17" s="459">
        <f t="shared" ca="1" si="3"/>
        <v>1.1120000000000001</v>
      </c>
      <c r="BC17" s="459">
        <f t="shared" ca="1" si="3"/>
        <v>1.1259999999999999</v>
      </c>
      <c r="BD17" s="459">
        <f t="shared" ca="1" si="4"/>
        <v>1.1400000000000001</v>
      </c>
      <c r="BE17" s="459">
        <f t="shared" ca="1" si="4"/>
        <v>1.1539999999999999</v>
      </c>
      <c r="BF17" s="459">
        <f t="shared" ca="1" si="4"/>
        <v>1.1679999999999999</v>
      </c>
      <c r="BG17" s="459">
        <f t="shared" ca="1" si="4"/>
        <v>1.1819999999999999</v>
      </c>
      <c r="BH17" s="459">
        <f t="shared" ca="1" si="4"/>
        <v>1.196</v>
      </c>
      <c r="BI17" s="459">
        <f t="shared" ca="1" si="4"/>
        <v>1.21</v>
      </c>
      <c r="BJ17" s="459">
        <f t="shared" ca="1" si="4"/>
        <v>1.224</v>
      </c>
      <c r="BK17" s="459">
        <f t="shared" ca="1" si="4"/>
        <v>1.238</v>
      </c>
      <c r="BL17" s="459">
        <f t="shared" ca="1" si="4"/>
        <v>1.252</v>
      </c>
      <c r="BM17" s="459">
        <f t="shared" ca="1" si="4"/>
        <v>1.266</v>
      </c>
      <c r="BN17" s="459">
        <f t="shared" ca="1" si="5"/>
        <v>1.28</v>
      </c>
      <c r="BO17" s="459">
        <f t="shared" ca="1" si="5"/>
        <v>1.294</v>
      </c>
      <c r="BP17" s="459">
        <f t="shared" ca="1" si="5"/>
        <v>1.3080000000000001</v>
      </c>
      <c r="BQ17" s="459">
        <f t="shared" ca="1" si="5"/>
        <v>1.3220000000000001</v>
      </c>
      <c r="BR17" s="459">
        <f t="shared" ca="1" si="5"/>
        <v>1.3359999999999999</v>
      </c>
      <c r="BS17" s="459">
        <f t="shared" ca="1" si="5"/>
        <v>1.35</v>
      </c>
      <c r="BT17" s="459">
        <f t="shared" ca="1" si="5"/>
        <v>1.3639999999999999</v>
      </c>
      <c r="BU17" s="459">
        <f t="shared" ca="1" si="5"/>
        <v>1.3779999999999999</v>
      </c>
      <c r="BV17" s="459">
        <f t="shared" ca="1" si="5"/>
        <v>1.3919999999999999</v>
      </c>
      <c r="BW17" s="459">
        <f t="shared" ca="1" si="5"/>
        <v>1.4059999999999999</v>
      </c>
      <c r="BX17" s="459">
        <f t="shared" ca="1" si="6"/>
        <v>1.42</v>
      </c>
      <c r="BY17" s="459">
        <f t="shared" ca="1" si="6"/>
        <v>1.4339999999999999</v>
      </c>
      <c r="BZ17" s="459">
        <f t="shared" ca="1" si="6"/>
        <v>1.448</v>
      </c>
      <c r="CA17" s="459">
        <f t="shared" ca="1" si="6"/>
        <v>1.462</v>
      </c>
      <c r="CB17" s="459">
        <f t="shared" ca="1" si="6"/>
        <v>1.476</v>
      </c>
      <c r="CC17" s="459">
        <f t="shared" ca="1" si="6"/>
        <v>1.49</v>
      </c>
      <c r="CD17" s="459">
        <f t="shared" ca="1" si="6"/>
        <v>1.504</v>
      </c>
      <c r="CE17" s="459">
        <f t="shared" ca="1" si="6"/>
        <v>1.518</v>
      </c>
      <c r="CF17" s="459">
        <f t="shared" ca="1" si="6"/>
        <v>1.532</v>
      </c>
      <c r="CG17" s="459">
        <f t="shared" ca="1" si="6"/>
        <v>1.5459999999999998</v>
      </c>
      <c r="CH17" s="459">
        <f t="shared" ca="1" si="7"/>
        <v>1.56</v>
      </c>
      <c r="CI17" s="459">
        <f t="shared" ca="1" si="7"/>
        <v>1.5739999999999998</v>
      </c>
      <c r="CJ17" s="459">
        <f t="shared" ca="1" si="7"/>
        <v>1.5880000000000001</v>
      </c>
      <c r="CK17" s="459">
        <f t="shared" ca="1" si="7"/>
        <v>1.6019999999999999</v>
      </c>
      <c r="CL17" s="459">
        <f t="shared" ca="1" si="7"/>
        <v>1.6160000000000001</v>
      </c>
      <c r="CM17" s="459">
        <f t="shared" ca="1" si="7"/>
        <v>1.63</v>
      </c>
      <c r="CN17" s="459">
        <f t="shared" ca="1" si="7"/>
        <v>1.6439999999999999</v>
      </c>
      <c r="CO17" s="459">
        <f t="shared" ca="1" si="7"/>
        <v>1.6579999999999999</v>
      </c>
      <c r="CP17" s="459">
        <f t="shared" ca="1" si="7"/>
        <v>1.6719999999999999</v>
      </c>
      <c r="CQ17" s="459">
        <f t="shared" ca="1" si="7"/>
        <v>1.6859999999999999</v>
      </c>
      <c r="CR17" s="460">
        <f t="shared" ca="1" si="7"/>
        <v>1.7</v>
      </c>
    </row>
    <row r="18" spans="1:96" s="788" customFormat="1" ht="11.25" customHeight="1" x14ac:dyDescent="0.2">
      <c r="A18" s="1646"/>
      <c r="B18" s="1647"/>
      <c r="C18" s="2238"/>
      <c r="D18" s="2238"/>
      <c r="E18" s="2238"/>
      <c r="F18" s="553" t="s">
        <v>255</v>
      </c>
      <c r="G18" s="553"/>
      <c r="H18" s="255"/>
      <c r="I18" s="2247"/>
      <c r="J18" s="2249"/>
      <c r="K18" s="1781">
        <f>K16</f>
        <v>4.6656000000000004</v>
      </c>
      <c r="L18" s="1680"/>
      <c r="M18" s="1781">
        <f>M16</f>
        <v>4.0824000000000007</v>
      </c>
      <c r="N18" s="1680"/>
      <c r="O18" s="1781">
        <f>O16</f>
        <v>2.0898000000000003</v>
      </c>
      <c r="P18" s="1680"/>
      <c r="Q18" s="2061"/>
      <c r="R18" s="2062"/>
      <c r="S18" s="2072">
        <f>IF(ISBLANK(L18),K18,L18)+IF(ISBLANK(N18),M18,N18)+IF(ISBLANK(P18),O18,P18)+Q15</f>
        <v>11.867800000000001</v>
      </c>
      <c r="T18" s="2073"/>
      <c r="U18" s="2052"/>
      <c r="V18" s="2055"/>
      <c r="W18" s="2097"/>
      <c r="X18" s="2094"/>
      <c r="Y18" s="2093"/>
      <c r="Z18" s="2094"/>
      <c r="AA18" s="2082"/>
      <c r="AB18" s="2083"/>
      <c r="AC18" s="2124"/>
      <c r="AD18" s="2125"/>
      <c r="AE18" s="2051"/>
      <c r="AF18" s="2115"/>
      <c r="AG18" s="761"/>
      <c r="AH18" s="784">
        <f>IF(ISBLANK(V15),U15,V15)</f>
        <v>1.4</v>
      </c>
      <c r="AI18" s="2103"/>
      <c r="AJ18" s="2309"/>
      <c r="AK18" s="2312"/>
      <c r="AL18" s="2312"/>
      <c r="AM18" s="2306"/>
      <c r="AN18" s="323"/>
      <c r="AO18" s="324"/>
      <c r="AP18" s="324"/>
      <c r="AQ18" s="324"/>
      <c r="AR18" s="252"/>
      <c r="AS18" s="1795">
        <v>0</v>
      </c>
      <c r="AT18" s="461">
        <f t="shared" ca="1" si="3"/>
        <v>1</v>
      </c>
      <c r="AU18" s="462">
        <f t="shared" ca="1" si="3"/>
        <v>1.014</v>
      </c>
      <c r="AV18" s="462">
        <f t="shared" ca="1" si="3"/>
        <v>1.028</v>
      </c>
      <c r="AW18" s="462">
        <f t="shared" ca="1" si="3"/>
        <v>1.042</v>
      </c>
      <c r="AX18" s="462">
        <f t="shared" ca="1" si="3"/>
        <v>1.056</v>
      </c>
      <c r="AY18" s="462">
        <f t="shared" ca="1" si="3"/>
        <v>1.07</v>
      </c>
      <c r="AZ18" s="462">
        <f t="shared" ca="1" si="3"/>
        <v>1.0840000000000001</v>
      </c>
      <c r="BA18" s="462">
        <f t="shared" ca="1" si="3"/>
        <v>1.0980000000000001</v>
      </c>
      <c r="BB18" s="462">
        <f t="shared" ca="1" si="3"/>
        <v>1.1120000000000001</v>
      </c>
      <c r="BC18" s="462">
        <f t="shared" ca="1" si="3"/>
        <v>1.1259999999999999</v>
      </c>
      <c r="BD18" s="462">
        <f t="shared" ca="1" si="4"/>
        <v>1.1400000000000001</v>
      </c>
      <c r="BE18" s="462">
        <f t="shared" ca="1" si="4"/>
        <v>1.1539999999999999</v>
      </c>
      <c r="BF18" s="462">
        <f t="shared" ca="1" si="4"/>
        <v>1.1679999999999999</v>
      </c>
      <c r="BG18" s="462">
        <f t="shared" ca="1" si="4"/>
        <v>1.1819999999999999</v>
      </c>
      <c r="BH18" s="462">
        <f t="shared" ca="1" si="4"/>
        <v>1.196</v>
      </c>
      <c r="BI18" s="462">
        <f t="shared" ca="1" si="4"/>
        <v>1.21</v>
      </c>
      <c r="BJ18" s="462">
        <f t="shared" ca="1" si="4"/>
        <v>1.224</v>
      </c>
      <c r="BK18" s="462">
        <f t="shared" ca="1" si="4"/>
        <v>1.238</v>
      </c>
      <c r="BL18" s="462">
        <f t="shared" ca="1" si="4"/>
        <v>1.252</v>
      </c>
      <c r="BM18" s="462">
        <f t="shared" ca="1" si="4"/>
        <v>1.266</v>
      </c>
      <c r="BN18" s="462">
        <f t="shared" ca="1" si="5"/>
        <v>1.28</v>
      </c>
      <c r="BO18" s="462">
        <f t="shared" ca="1" si="5"/>
        <v>1.294</v>
      </c>
      <c r="BP18" s="462">
        <f t="shared" ca="1" si="5"/>
        <v>1.3080000000000001</v>
      </c>
      <c r="BQ18" s="462">
        <f t="shared" ca="1" si="5"/>
        <v>1.3220000000000001</v>
      </c>
      <c r="BR18" s="462">
        <f t="shared" ca="1" si="5"/>
        <v>1.3359999999999999</v>
      </c>
      <c r="BS18" s="462">
        <f t="shared" ca="1" si="5"/>
        <v>1.35</v>
      </c>
      <c r="BT18" s="462">
        <f t="shared" ca="1" si="5"/>
        <v>1.3639999999999999</v>
      </c>
      <c r="BU18" s="462">
        <f t="shared" ca="1" si="5"/>
        <v>1.3779999999999999</v>
      </c>
      <c r="BV18" s="462">
        <f t="shared" ca="1" si="5"/>
        <v>1.3919999999999999</v>
      </c>
      <c r="BW18" s="462">
        <f t="shared" ca="1" si="5"/>
        <v>1.4059999999999999</v>
      </c>
      <c r="BX18" s="462">
        <f t="shared" ca="1" si="6"/>
        <v>1.42</v>
      </c>
      <c r="BY18" s="462">
        <f t="shared" ca="1" si="6"/>
        <v>1.4339999999999999</v>
      </c>
      <c r="BZ18" s="462">
        <f t="shared" ca="1" si="6"/>
        <v>1.448</v>
      </c>
      <c r="CA18" s="462">
        <f t="shared" ca="1" si="6"/>
        <v>1.462</v>
      </c>
      <c r="CB18" s="462">
        <f t="shared" ca="1" si="6"/>
        <v>1.476</v>
      </c>
      <c r="CC18" s="462">
        <f t="shared" ca="1" si="6"/>
        <v>1.49</v>
      </c>
      <c r="CD18" s="462">
        <f t="shared" ca="1" si="6"/>
        <v>1.504</v>
      </c>
      <c r="CE18" s="462">
        <f t="shared" ca="1" si="6"/>
        <v>1.518</v>
      </c>
      <c r="CF18" s="462">
        <f t="shared" ca="1" si="6"/>
        <v>1.532</v>
      </c>
      <c r="CG18" s="462">
        <f t="shared" ca="1" si="6"/>
        <v>1.5459999999999998</v>
      </c>
      <c r="CH18" s="462">
        <f t="shared" ca="1" si="7"/>
        <v>1.56</v>
      </c>
      <c r="CI18" s="462">
        <f t="shared" ca="1" si="7"/>
        <v>1.5739999999999998</v>
      </c>
      <c r="CJ18" s="462">
        <f t="shared" ca="1" si="7"/>
        <v>1.5880000000000001</v>
      </c>
      <c r="CK18" s="462">
        <f t="shared" ca="1" si="7"/>
        <v>1.6019999999999999</v>
      </c>
      <c r="CL18" s="462">
        <f t="shared" ca="1" si="7"/>
        <v>1.6160000000000001</v>
      </c>
      <c r="CM18" s="462">
        <f t="shared" ca="1" si="7"/>
        <v>1.63</v>
      </c>
      <c r="CN18" s="462">
        <f t="shared" ca="1" si="7"/>
        <v>1.6439999999999999</v>
      </c>
      <c r="CO18" s="462">
        <f t="shared" ca="1" si="7"/>
        <v>1.6579999999999999</v>
      </c>
      <c r="CP18" s="462">
        <f t="shared" ca="1" si="7"/>
        <v>1.6719999999999999</v>
      </c>
      <c r="CQ18" s="462">
        <f t="shared" ca="1" si="7"/>
        <v>1.6859999999999999</v>
      </c>
      <c r="CR18" s="463">
        <f t="shared" ca="1" si="7"/>
        <v>1.7</v>
      </c>
    </row>
    <row r="19" spans="1:96" s="250" customFormat="1" ht="11.25" customHeight="1" x14ac:dyDescent="0.2">
      <c r="A19" s="1543"/>
      <c r="B19" s="356"/>
      <c r="C19" s="2031" t="s">
        <v>250</v>
      </c>
      <c r="D19" s="2031"/>
      <c r="E19" s="2031"/>
      <c r="F19" s="1685" t="s">
        <v>252</v>
      </c>
      <c r="G19" s="1685"/>
      <c r="H19" s="256"/>
      <c r="I19" s="2018">
        <f>10*12*0.9*1.08</f>
        <v>116.64000000000001</v>
      </c>
      <c r="J19" s="2020"/>
      <c r="K19" s="1681">
        <f>12.9*0.9*1.08</f>
        <v>12.538800000000002</v>
      </c>
      <c r="L19" s="1682"/>
      <c r="M19" s="1681">
        <f>8.4*0.9*1.08</f>
        <v>8.1648000000000014</v>
      </c>
      <c r="N19" s="1682"/>
      <c r="O19" s="1681">
        <f>1.7*0.9*1.08</f>
        <v>1.6524000000000001</v>
      </c>
      <c r="P19" s="1682"/>
      <c r="Q19" s="2059">
        <v>1.07</v>
      </c>
      <c r="R19" s="2060"/>
      <c r="S19" s="2057">
        <f>IF(ISBLANK(L19),K19,L19)+IF(ISBLANK(N19),M19,N19)+IF(ISBLANK(P19),O19,P19)+Q19</f>
        <v>23.426000000000002</v>
      </c>
      <c r="T19" s="2058"/>
      <c r="U19" s="2056">
        <v>1.4</v>
      </c>
      <c r="V19" s="2071"/>
      <c r="W19" s="2088">
        <v>0.04</v>
      </c>
      <c r="X19" s="2085"/>
      <c r="Y19" s="2085">
        <f>1.16-W19</f>
        <v>1.1199999999999999</v>
      </c>
      <c r="Z19" s="2085"/>
      <c r="AA19" s="2099">
        <v>1.1310000000000001E-2</v>
      </c>
      <c r="AB19" s="2099"/>
      <c r="AC19" s="2077">
        <v>63.51</v>
      </c>
      <c r="AD19" s="2100"/>
      <c r="AE19" s="2051"/>
      <c r="AF19" s="2115"/>
      <c r="AG19" s="761"/>
      <c r="AH19" s="785">
        <f t="shared" ref="AH19:AH41" si="8">IF(ISBLANK(V19),U19,V19)</f>
        <v>1.4</v>
      </c>
      <c r="AI19" s="2104">
        <f>IF(ISBLANK($J19),$I19,$J19)</f>
        <v>116.64000000000001</v>
      </c>
      <c r="AJ19" s="2130">
        <f>S19</f>
        <v>23.426000000000002</v>
      </c>
      <c r="AK19" s="2132">
        <f>S20</f>
        <v>14.240600000000001</v>
      </c>
      <c r="AL19" s="2132">
        <f>S21</f>
        <v>23.426000000000002</v>
      </c>
      <c r="AM19" s="2313">
        <f>S22</f>
        <v>14.240600000000001</v>
      </c>
      <c r="AN19" s="323"/>
      <c r="AO19" s="324"/>
      <c r="AP19" s="324"/>
      <c r="AQ19" s="324"/>
      <c r="AR19" s="252"/>
      <c r="AS19" s="1795">
        <v>0</v>
      </c>
      <c r="AT19" s="458">
        <f t="shared" ca="1" si="3"/>
        <v>1</v>
      </c>
      <c r="AU19" s="459">
        <f t="shared" ca="1" si="3"/>
        <v>1.014</v>
      </c>
      <c r="AV19" s="459">
        <f t="shared" ca="1" si="3"/>
        <v>1.028</v>
      </c>
      <c r="AW19" s="459">
        <f t="shared" ca="1" si="3"/>
        <v>1.042</v>
      </c>
      <c r="AX19" s="459">
        <f t="shared" ca="1" si="3"/>
        <v>1.056</v>
      </c>
      <c r="AY19" s="459">
        <f t="shared" ca="1" si="3"/>
        <v>1.07</v>
      </c>
      <c r="AZ19" s="459">
        <f t="shared" ca="1" si="3"/>
        <v>1.0840000000000001</v>
      </c>
      <c r="BA19" s="459">
        <f t="shared" ca="1" si="3"/>
        <v>1.0980000000000001</v>
      </c>
      <c r="BB19" s="459">
        <f t="shared" ca="1" si="3"/>
        <v>1.1120000000000001</v>
      </c>
      <c r="BC19" s="459">
        <f t="shared" ca="1" si="3"/>
        <v>1.1259999999999999</v>
      </c>
      <c r="BD19" s="459">
        <f t="shared" ca="1" si="4"/>
        <v>1.1400000000000001</v>
      </c>
      <c r="BE19" s="459">
        <f t="shared" ca="1" si="4"/>
        <v>1.1539999999999999</v>
      </c>
      <c r="BF19" s="459">
        <f t="shared" ca="1" si="4"/>
        <v>1.1679999999999999</v>
      </c>
      <c r="BG19" s="459">
        <f t="shared" ca="1" si="4"/>
        <v>1.1819999999999999</v>
      </c>
      <c r="BH19" s="459">
        <f t="shared" ca="1" si="4"/>
        <v>1.196</v>
      </c>
      <c r="BI19" s="459">
        <f t="shared" ca="1" si="4"/>
        <v>1.21</v>
      </c>
      <c r="BJ19" s="459">
        <f t="shared" ca="1" si="4"/>
        <v>1.224</v>
      </c>
      <c r="BK19" s="459">
        <f t="shared" ca="1" si="4"/>
        <v>1.238</v>
      </c>
      <c r="BL19" s="459">
        <f t="shared" ca="1" si="4"/>
        <v>1.252</v>
      </c>
      <c r="BM19" s="459">
        <f t="shared" ca="1" si="4"/>
        <v>1.266</v>
      </c>
      <c r="BN19" s="459">
        <f t="shared" ca="1" si="5"/>
        <v>1.28</v>
      </c>
      <c r="BO19" s="459">
        <f t="shared" ca="1" si="5"/>
        <v>1.294</v>
      </c>
      <c r="BP19" s="459">
        <f t="shared" ca="1" si="5"/>
        <v>1.3080000000000001</v>
      </c>
      <c r="BQ19" s="459">
        <f t="shared" ca="1" si="5"/>
        <v>1.3220000000000001</v>
      </c>
      <c r="BR19" s="459">
        <f t="shared" ca="1" si="5"/>
        <v>1.3359999999999999</v>
      </c>
      <c r="BS19" s="459">
        <f t="shared" ca="1" si="5"/>
        <v>1.35</v>
      </c>
      <c r="BT19" s="459">
        <f t="shared" ca="1" si="5"/>
        <v>1.3639999999999999</v>
      </c>
      <c r="BU19" s="459">
        <f t="shared" ca="1" si="5"/>
        <v>1.3779999999999999</v>
      </c>
      <c r="BV19" s="459">
        <f t="shared" ca="1" si="5"/>
        <v>1.3919999999999999</v>
      </c>
      <c r="BW19" s="459">
        <f t="shared" ca="1" si="5"/>
        <v>1.4059999999999999</v>
      </c>
      <c r="BX19" s="459">
        <f t="shared" ca="1" si="6"/>
        <v>1.42</v>
      </c>
      <c r="BY19" s="459">
        <f t="shared" ca="1" si="6"/>
        <v>1.4339999999999999</v>
      </c>
      <c r="BZ19" s="459">
        <f t="shared" ca="1" si="6"/>
        <v>1.448</v>
      </c>
      <c r="CA19" s="459">
        <f t="shared" ca="1" si="6"/>
        <v>1.462</v>
      </c>
      <c r="CB19" s="459">
        <f t="shared" ca="1" si="6"/>
        <v>1.476</v>
      </c>
      <c r="CC19" s="459">
        <f t="shared" ca="1" si="6"/>
        <v>1.49</v>
      </c>
      <c r="CD19" s="459">
        <f t="shared" ca="1" si="6"/>
        <v>1.504</v>
      </c>
      <c r="CE19" s="459">
        <f t="shared" ca="1" si="6"/>
        <v>1.518</v>
      </c>
      <c r="CF19" s="459">
        <f t="shared" ca="1" si="6"/>
        <v>1.532</v>
      </c>
      <c r="CG19" s="459">
        <f t="shared" ca="1" si="6"/>
        <v>1.5459999999999998</v>
      </c>
      <c r="CH19" s="459">
        <f t="shared" ca="1" si="7"/>
        <v>1.56</v>
      </c>
      <c r="CI19" s="459">
        <f t="shared" ca="1" si="7"/>
        <v>1.5739999999999998</v>
      </c>
      <c r="CJ19" s="459">
        <f t="shared" ca="1" si="7"/>
        <v>1.5880000000000001</v>
      </c>
      <c r="CK19" s="459">
        <f t="shared" ca="1" si="7"/>
        <v>1.6019999999999999</v>
      </c>
      <c r="CL19" s="459">
        <f t="shared" ca="1" si="7"/>
        <v>1.6160000000000001</v>
      </c>
      <c r="CM19" s="459">
        <f t="shared" ca="1" si="7"/>
        <v>1.63</v>
      </c>
      <c r="CN19" s="459">
        <f t="shared" ca="1" si="7"/>
        <v>1.6439999999999999</v>
      </c>
      <c r="CO19" s="459">
        <f t="shared" ca="1" si="7"/>
        <v>1.6579999999999999</v>
      </c>
      <c r="CP19" s="459">
        <f t="shared" ca="1" si="7"/>
        <v>1.6719999999999999</v>
      </c>
      <c r="CQ19" s="459">
        <f t="shared" ca="1" si="7"/>
        <v>1.6859999999999999</v>
      </c>
      <c r="CR19" s="460">
        <f t="shared" ca="1" si="7"/>
        <v>1.7</v>
      </c>
    </row>
    <row r="20" spans="1:96" s="250" customFormat="1" ht="11.25" customHeight="1" x14ac:dyDescent="0.2">
      <c r="A20" s="355"/>
      <c r="B20" s="356"/>
      <c r="C20" s="2031"/>
      <c r="D20" s="2031"/>
      <c r="E20" s="2031"/>
      <c r="F20" s="254" t="s">
        <v>253</v>
      </c>
      <c r="G20" s="254"/>
      <c r="H20" s="253"/>
      <c r="I20" s="2247"/>
      <c r="J20" s="2249"/>
      <c r="K20" s="1781">
        <f>8.5*0.9*1.08</f>
        <v>8.2620000000000005</v>
      </c>
      <c r="L20" s="1680"/>
      <c r="M20" s="1781">
        <f>4.2*0.9*1.08</f>
        <v>4.0824000000000007</v>
      </c>
      <c r="N20" s="1680"/>
      <c r="O20" s="1781">
        <f>0.85*0.9*1.08</f>
        <v>0.82620000000000005</v>
      </c>
      <c r="P20" s="1680"/>
      <c r="Q20" s="2241"/>
      <c r="R20" s="2242"/>
      <c r="S20" s="2067">
        <f>IF(ISBLANK(L20),K20,L20)+IF(ISBLANK(N20),M20,N20)+IF(ISBLANK(P20),O20,P20)+Q19</f>
        <v>14.240600000000001</v>
      </c>
      <c r="T20" s="2068"/>
      <c r="U20" s="2051"/>
      <c r="V20" s="2054"/>
      <c r="W20" s="2088"/>
      <c r="X20" s="2085"/>
      <c r="Y20" s="2085"/>
      <c r="Z20" s="2085"/>
      <c r="AA20" s="2099"/>
      <c r="AB20" s="2099"/>
      <c r="AC20" s="2077"/>
      <c r="AD20" s="2100"/>
      <c r="AE20" s="2051"/>
      <c r="AF20" s="2115"/>
      <c r="AG20" s="761"/>
      <c r="AH20" s="783">
        <f>IF(ISBLANK(V19),U19,V19)</f>
        <v>1.4</v>
      </c>
      <c r="AI20" s="2104"/>
      <c r="AJ20" s="2131"/>
      <c r="AK20" s="2133"/>
      <c r="AL20" s="2133"/>
      <c r="AM20" s="2314"/>
      <c r="AN20" s="323"/>
      <c r="AO20" s="324"/>
      <c r="AP20" s="324"/>
      <c r="AQ20" s="324"/>
      <c r="AR20" s="252"/>
      <c r="AS20" s="1795">
        <v>0</v>
      </c>
      <c r="AT20" s="458">
        <f t="shared" ca="1" si="3"/>
        <v>1</v>
      </c>
      <c r="AU20" s="459">
        <f t="shared" ca="1" si="3"/>
        <v>1.014</v>
      </c>
      <c r="AV20" s="459">
        <f t="shared" ca="1" si="3"/>
        <v>1.028</v>
      </c>
      <c r="AW20" s="459">
        <f t="shared" ca="1" si="3"/>
        <v>1.042</v>
      </c>
      <c r="AX20" s="459">
        <f t="shared" ca="1" si="3"/>
        <v>1.056</v>
      </c>
      <c r="AY20" s="459">
        <f t="shared" ca="1" si="3"/>
        <v>1.07</v>
      </c>
      <c r="AZ20" s="459">
        <f t="shared" ca="1" si="3"/>
        <v>1.0840000000000001</v>
      </c>
      <c r="BA20" s="459">
        <f t="shared" ca="1" si="3"/>
        <v>1.0980000000000001</v>
      </c>
      <c r="BB20" s="459">
        <f t="shared" ca="1" si="3"/>
        <v>1.1120000000000001</v>
      </c>
      <c r="BC20" s="459">
        <f t="shared" ca="1" si="3"/>
        <v>1.1259999999999999</v>
      </c>
      <c r="BD20" s="459">
        <f t="shared" ca="1" si="4"/>
        <v>1.1400000000000001</v>
      </c>
      <c r="BE20" s="459">
        <f t="shared" ca="1" si="4"/>
        <v>1.1539999999999999</v>
      </c>
      <c r="BF20" s="459">
        <f t="shared" ca="1" si="4"/>
        <v>1.1679999999999999</v>
      </c>
      <c r="BG20" s="459">
        <f t="shared" ca="1" si="4"/>
        <v>1.1819999999999999</v>
      </c>
      <c r="BH20" s="459">
        <f t="shared" ca="1" si="4"/>
        <v>1.196</v>
      </c>
      <c r="BI20" s="459">
        <f t="shared" ca="1" si="4"/>
        <v>1.21</v>
      </c>
      <c r="BJ20" s="459">
        <f t="shared" ca="1" si="4"/>
        <v>1.224</v>
      </c>
      <c r="BK20" s="459">
        <f t="shared" ca="1" si="4"/>
        <v>1.238</v>
      </c>
      <c r="BL20" s="459">
        <f t="shared" ca="1" si="4"/>
        <v>1.252</v>
      </c>
      <c r="BM20" s="459">
        <f t="shared" ca="1" si="4"/>
        <v>1.266</v>
      </c>
      <c r="BN20" s="459">
        <f t="shared" ca="1" si="5"/>
        <v>1.28</v>
      </c>
      <c r="BO20" s="459">
        <f t="shared" ca="1" si="5"/>
        <v>1.294</v>
      </c>
      <c r="BP20" s="459">
        <f t="shared" ca="1" si="5"/>
        <v>1.3080000000000001</v>
      </c>
      <c r="BQ20" s="459">
        <f t="shared" ca="1" si="5"/>
        <v>1.3220000000000001</v>
      </c>
      <c r="BR20" s="459">
        <f t="shared" ca="1" si="5"/>
        <v>1.3359999999999999</v>
      </c>
      <c r="BS20" s="459">
        <f t="shared" ca="1" si="5"/>
        <v>1.35</v>
      </c>
      <c r="BT20" s="459">
        <f t="shared" ca="1" si="5"/>
        <v>1.3639999999999999</v>
      </c>
      <c r="BU20" s="459">
        <f t="shared" ca="1" si="5"/>
        <v>1.3779999999999999</v>
      </c>
      <c r="BV20" s="459">
        <f t="shared" ca="1" si="5"/>
        <v>1.3919999999999999</v>
      </c>
      <c r="BW20" s="459">
        <f t="shared" ca="1" si="5"/>
        <v>1.4059999999999999</v>
      </c>
      <c r="BX20" s="459">
        <f t="shared" ca="1" si="6"/>
        <v>1.42</v>
      </c>
      <c r="BY20" s="459">
        <f t="shared" ca="1" si="6"/>
        <v>1.4339999999999999</v>
      </c>
      <c r="BZ20" s="459">
        <f t="shared" ca="1" si="6"/>
        <v>1.448</v>
      </c>
      <c r="CA20" s="459">
        <f t="shared" ca="1" si="6"/>
        <v>1.462</v>
      </c>
      <c r="CB20" s="459">
        <f t="shared" ca="1" si="6"/>
        <v>1.476</v>
      </c>
      <c r="CC20" s="459">
        <f t="shared" ca="1" si="6"/>
        <v>1.49</v>
      </c>
      <c r="CD20" s="459">
        <f t="shared" ca="1" si="6"/>
        <v>1.504</v>
      </c>
      <c r="CE20" s="459">
        <f t="shared" ca="1" si="6"/>
        <v>1.518</v>
      </c>
      <c r="CF20" s="459">
        <f t="shared" ca="1" si="6"/>
        <v>1.532</v>
      </c>
      <c r="CG20" s="459">
        <f t="shared" ca="1" si="6"/>
        <v>1.5459999999999998</v>
      </c>
      <c r="CH20" s="459">
        <f t="shared" ca="1" si="7"/>
        <v>1.56</v>
      </c>
      <c r="CI20" s="459">
        <f t="shared" ca="1" si="7"/>
        <v>1.5739999999999998</v>
      </c>
      <c r="CJ20" s="459">
        <f t="shared" ca="1" si="7"/>
        <v>1.5880000000000001</v>
      </c>
      <c r="CK20" s="459">
        <f t="shared" ca="1" si="7"/>
        <v>1.6019999999999999</v>
      </c>
      <c r="CL20" s="459">
        <f t="shared" ca="1" si="7"/>
        <v>1.6160000000000001</v>
      </c>
      <c r="CM20" s="459">
        <f t="shared" ca="1" si="7"/>
        <v>1.63</v>
      </c>
      <c r="CN20" s="459">
        <f t="shared" ca="1" si="7"/>
        <v>1.6439999999999999</v>
      </c>
      <c r="CO20" s="459">
        <f t="shared" ca="1" si="7"/>
        <v>1.6579999999999999</v>
      </c>
      <c r="CP20" s="459">
        <f t="shared" ca="1" si="7"/>
        <v>1.6719999999999999</v>
      </c>
      <c r="CQ20" s="459">
        <f t="shared" ca="1" si="7"/>
        <v>1.6859999999999999</v>
      </c>
      <c r="CR20" s="460">
        <f t="shared" ca="1" si="7"/>
        <v>1.7</v>
      </c>
    </row>
    <row r="21" spans="1:96" s="250" customFormat="1" ht="11.25" customHeight="1" x14ac:dyDescent="0.2">
      <c r="A21" s="355"/>
      <c r="B21" s="356"/>
      <c r="C21" s="2031"/>
      <c r="D21" s="2031"/>
      <c r="E21" s="2031"/>
      <c r="F21" s="254" t="s">
        <v>254</v>
      </c>
      <c r="G21" s="254"/>
      <c r="H21" s="253"/>
      <c r="I21" s="2247"/>
      <c r="J21" s="2249"/>
      <c r="K21" s="1781">
        <f>K19</f>
        <v>12.538800000000002</v>
      </c>
      <c r="L21" s="1680"/>
      <c r="M21" s="1781">
        <f>M19</f>
        <v>8.1648000000000014</v>
      </c>
      <c r="N21" s="1680"/>
      <c r="O21" s="1781">
        <f>O19</f>
        <v>1.6524000000000001</v>
      </c>
      <c r="P21" s="1680"/>
      <c r="Q21" s="2241"/>
      <c r="R21" s="2242"/>
      <c r="S21" s="2067">
        <f>IF(ISBLANK(L21),K21,L21)+IF(ISBLANK(N21),M21,N21)+IF(ISBLANK(P21),O21,P21)+Q19</f>
        <v>23.426000000000002</v>
      </c>
      <c r="T21" s="2068"/>
      <c r="U21" s="2051"/>
      <c r="V21" s="2054"/>
      <c r="W21" s="2088"/>
      <c r="X21" s="2085"/>
      <c r="Y21" s="2085"/>
      <c r="Z21" s="2085"/>
      <c r="AA21" s="2099"/>
      <c r="AB21" s="2099"/>
      <c r="AC21" s="2077"/>
      <c r="AD21" s="2100"/>
      <c r="AE21" s="2051"/>
      <c r="AF21" s="2115"/>
      <c r="AG21" s="761"/>
      <c r="AH21" s="783">
        <f>IF(ISBLANK(V19),U19,V19)</f>
        <v>1.4</v>
      </c>
      <c r="AI21" s="2104"/>
      <c r="AJ21" s="2131"/>
      <c r="AK21" s="2133"/>
      <c r="AL21" s="2133"/>
      <c r="AM21" s="2314"/>
      <c r="AN21" s="323"/>
      <c r="AO21" s="324"/>
      <c r="AP21" s="324"/>
      <c r="AQ21" s="324"/>
      <c r="AR21" s="252"/>
      <c r="AS21" s="1795">
        <v>0</v>
      </c>
      <c r="AT21" s="458">
        <f t="shared" ca="1" si="3"/>
        <v>1</v>
      </c>
      <c r="AU21" s="459">
        <f t="shared" ca="1" si="3"/>
        <v>1.014</v>
      </c>
      <c r="AV21" s="459">
        <f t="shared" ca="1" si="3"/>
        <v>1.028</v>
      </c>
      <c r="AW21" s="459">
        <f t="shared" ca="1" si="3"/>
        <v>1.042</v>
      </c>
      <c r="AX21" s="459">
        <f t="shared" ca="1" si="3"/>
        <v>1.056</v>
      </c>
      <c r="AY21" s="459">
        <f t="shared" ca="1" si="3"/>
        <v>1.07</v>
      </c>
      <c r="AZ21" s="459">
        <f t="shared" ca="1" si="3"/>
        <v>1.0840000000000001</v>
      </c>
      <c r="BA21" s="459">
        <f t="shared" ca="1" si="3"/>
        <v>1.0980000000000001</v>
      </c>
      <c r="BB21" s="459">
        <f t="shared" ca="1" si="3"/>
        <v>1.1120000000000001</v>
      </c>
      <c r="BC21" s="459">
        <f t="shared" ca="1" si="3"/>
        <v>1.1259999999999999</v>
      </c>
      <c r="BD21" s="459">
        <f t="shared" ca="1" si="4"/>
        <v>1.1400000000000001</v>
      </c>
      <c r="BE21" s="459">
        <f t="shared" ca="1" si="4"/>
        <v>1.1539999999999999</v>
      </c>
      <c r="BF21" s="459">
        <f t="shared" ca="1" si="4"/>
        <v>1.1679999999999999</v>
      </c>
      <c r="BG21" s="459">
        <f t="shared" ca="1" si="4"/>
        <v>1.1819999999999999</v>
      </c>
      <c r="BH21" s="459">
        <f t="shared" ca="1" si="4"/>
        <v>1.196</v>
      </c>
      <c r="BI21" s="459">
        <f t="shared" ca="1" si="4"/>
        <v>1.21</v>
      </c>
      <c r="BJ21" s="459">
        <f t="shared" ca="1" si="4"/>
        <v>1.224</v>
      </c>
      <c r="BK21" s="459">
        <f t="shared" ca="1" si="4"/>
        <v>1.238</v>
      </c>
      <c r="BL21" s="459">
        <f t="shared" ca="1" si="4"/>
        <v>1.252</v>
      </c>
      <c r="BM21" s="459">
        <f t="shared" ca="1" si="4"/>
        <v>1.266</v>
      </c>
      <c r="BN21" s="459">
        <f t="shared" ca="1" si="5"/>
        <v>1.28</v>
      </c>
      <c r="BO21" s="459">
        <f t="shared" ca="1" si="5"/>
        <v>1.294</v>
      </c>
      <c r="BP21" s="459">
        <f t="shared" ca="1" si="5"/>
        <v>1.3080000000000001</v>
      </c>
      <c r="BQ21" s="459">
        <f t="shared" ca="1" si="5"/>
        <v>1.3220000000000001</v>
      </c>
      <c r="BR21" s="459">
        <f t="shared" ca="1" si="5"/>
        <v>1.3359999999999999</v>
      </c>
      <c r="BS21" s="459">
        <f t="shared" ca="1" si="5"/>
        <v>1.35</v>
      </c>
      <c r="BT21" s="459">
        <f t="shared" ca="1" si="5"/>
        <v>1.3639999999999999</v>
      </c>
      <c r="BU21" s="459">
        <f t="shared" ca="1" si="5"/>
        <v>1.3779999999999999</v>
      </c>
      <c r="BV21" s="459">
        <f t="shared" ca="1" si="5"/>
        <v>1.3919999999999999</v>
      </c>
      <c r="BW21" s="459">
        <f t="shared" ca="1" si="5"/>
        <v>1.4059999999999999</v>
      </c>
      <c r="BX21" s="459">
        <f t="shared" ca="1" si="6"/>
        <v>1.42</v>
      </c>
      <c r="BY21" s="459">
        <f t="shared" ca="1" si="6"/>
        <v>1.4339999999999999</v>
      </c>
      <c r="BZ21" s="459">
        <f t="shared" ca="1" si="6"/>
        <v>1.448</v>
      </c>
      <c r="CA21" s="459">
        <f t="shared" ca="1" si="6"/>
        <v>1.462</v>
      </c>
      <c r="CB21" s="459">
        <f t="shared" ca="1" si="6"/>
        <v>1.476</v>
      </c>
      <c r="CC21" s="459">
        <f t="shared" ca="1" si="6"/>
        <v>1.49</v>
      </c>
      <c r="CD21" s="459">
        <f t="shared" ca="1" si="6"/>
        <v>1.504</v>
      </c>
      <c r="CE21" s="459">
        <f t="shared" ca="1" si="6"/>
        <v>1.518</v>
      </c>
      <c r="CF21" s="459">
        <f t="shared" ca="1" si="6"/>
        <v>1.532</v>
      </c>
      <c r="CG21" s="459">
        <f t="shared" ca="1" si="6"/>
        <v>1.5459999999999998</v>
      </c>
      <c r="CH21" s="459">
        <f t="shared" ca="1" si="7"/>
        <v>1.56</v>
      </c>
      <c r="CI21" s="459">
        <f t="shared" ca="1" si="7"/>
        <v>1.5739999999999998</v>
      </c>
      <c r="CJ21" s="459">
        <f t="shared" ca="1" si="7"/>
        <v>1.5880000000000001</v>
      </c>
      <c r="CK21" s="459">
        <f t="shared" ca="1" si="7"/>
        <v>1.6019999999999999</v>
      </c>
      <c r="CL21" s="459">
        <f t="shared" ca="1" si="7"/>
        <v>1.6160000000000001</v>
      </c>
      <c r="CM21" s="459">
        <f t="shared" ca="1" si="7"/>
        <v>1.63</v>
      </c>
      <c r="CN21" s="459">
        <f t="shared" ca="1" si="7"/>
        <v>1.6439999999999999</v>
      </c>
      <c r="CO21" s="459">
        <f t="shared" ca="1" si="7"/>
        <v>1.6579999999999999</v>
      </c>
      <c r="CP21" s="459">
        <f t="shared" ca="1" si="7"/>
        <v>1.6719999999999999</v>
      </c>
      <c r="CQ21" s="459">
        <f t="shared" ca="1" si="7"/>
        <v>1.6859999999999999</v>
      </c>
      <c r="CR21" s="460">
        <f t="shared" ca="1" si="7"/>
        <v>1.7</v>
      </c>
    </row>
    <row r="22" spans="1:96" s="250" customFormat="1" ht="11.25" customHeight="1" x14ac:dyDescent="0.2">
      <c r="A22" s="355"/>
      <c r="B22" s="356"/>
      <c r="C22" s="2031"/>
      <c r="D22" s="2031"/>
      <c r="E22" s="2031"/>
      <c r="F22" s="553" t="s">
        <v>255</v>
      </c>
      <c r="G22" s="553"/>
      <c r="H22" s="255"/>
      <c r="I22" s="2019"/>
      <c r="J22" s="2021"/>
      <c r="K22" s="1683">
        <f>K20</f>
        <v>8.2620000000000005</v>
      </c>
      <c r="L22" s="1684"/>
      <c r="M22" s="1683">
        <f>M20</f>
        <v>4.0824000000000007</v>
      </c>
      <c r="N22" s="1684"/>
      <c r="O22" s="1683">
        <f>O20</f>
        <v>0.82620000000000005</v>
      </c>
      <c r="P22" s="1684"/>
      <c r="Q22" s="2061"/>
      <c r="R22" s="2062"/>
      <c r="S22" s="2072">
        <f>IF(ISBLANK(L22),K22,L22)+IF(ISBLANK(N22),M22,N22)+IF(ISBLANK(P22),O22,P22)+Q19</f>
        <v>14.240600000000001</v>
      </c>
      <c r="T22" s="2073"/>
      <c r="U22" s="2052"/>
      <c r="V22" s="2055"/>
      <c r="W22" s="2088"/>
      <c r="X22" s="2085"/>
      <c r="Y22" s="2085"/>
      <c r="Z22" s="2085"/>
      <c r="AA22" s="2099"/>
      <c r="AB22" s="2099"/>
      <c r="AC22" s="2077"/>
      <c r="AD22" s="2100"/>
      <c r="AE22" s="2051"/>
      <c r="AF22" s="2115"/>
      <c r="AG22" s="761"/>
      <c r="AH22" s="784">
        <f>IF(ISBLANK(V19),U19,V19)</f>
        <v>1.4</v>
      </c>
      <c r="AI22" s="2104"/>
      <c r="AJ22" s="2131"/>
      <c r="AK22" s="2133"/>
      <c r="AL22" s="2133"/>
      <c r="AM22" s="2314"/>
      <c r="AN22" s="323"/>
      <c r="AO22" s="324"/>
      <c r="AP22" s="324"/>
      <c r="AQ22" s="324"/>
      <c r="AR22" s="252"/>
      <c r="AS22" s="1795">
        <v>0</v>
      </c>
      <c r="AT22" s="461">
        <f t="shared" ca="1" si="3"/>
        <v>1</v>
      </c>
      <c r="AU22" s="462">
        <f t="shared" ca="1" si="3"/>
        <v>1.014</v>
      </c>
      <c r="AV22" s="462">
        <f t="shared" ca="1" si="3"/>
        <v>1.028</v>
      </c>
      <c r="AW22" s="462">
        <f t="shared" ca="1" si="3"/>
        <v>1.042</v>
      </c>
      <c r="AX22" s="462">
        <f t="shared" ca="1" si="3"/>
        <v>1.056</v>
      </c>
      <c r="AY22" s="462">
        <f t="shared" ca="1" si="3"/>
        <v>1.07</v>
      </c>
      <c r="AZ22" s="462">
        <f t="shared" ca="1" si="3"/>
        <v>1.0840000000000001</v>
      </c>
      <c r="BA22" s="462">
        <f t="shared" ca="1" si="3"/>
        <v>1.0980000000000001</v>
      </c>
      <c r="BB22" s="462">
        <f t="shared" ca="1" si="3"/>
        <v>1.1120000000000001</v>
      </c>
      <c r="BC22" s="462">
        <f t="shared" ca="1" si="3"/>
        <v>1.1259999999999999</v>
      </c>
      <c r="BD22" s="462">
        <f t="shared" ca="1" si="4"/>
        <v>1.1400000000000001</v>
      </c>
      <c r="BE22" s="462">
        <f t="shared" ca="1" si="4"/>
        <v>1.1539999999999999</v>
      </c>
      <c r="BF22" s="462">
        <f t="shared" ca="1" si="4"/>
        <v>1.1679999999999999</v>
      </c>
      <c r="BG22" s="462">
        <f t="shared" ca="1" si="4"/>
        <v>1.1819999999999999</v>
      </c>
      <c r="BH22" s="462">
        <f t="shared" ca="1" si="4"/>
        <v>1.196</v>
      </c>
      <c r="BI22" s="462">
        <f t="shared" ca="1" si="4"/>
        <v>1.21</v>
      </c>
      <c r="BJ22" s="462">
        <f t="shared" ca="1" si="4"/>
        <v>1.224</v>
      </c>
      <c r="BK22" s="462">
        <f t="shared" ca="1" si="4"/>
        <v>1.238</v>
      </c>
      <c r="BL22" s="462">
        <f t="shared" ca="1" si="4"/>
        <v>1.252</v>
      </c>
      <c r="BM22" s="462">
        <f t="shared" ca="1" si="4"/>
        <v>1.266</v>
      </c>
      <c r="BN22" s="462">
        <f t="shared" ca="1" si="5"/>
        <v>1.28</v>
      </c>
      <c r="BO22" s="462">
        <f t="shared" ca="1" si="5"/>
        <v>1.294</v>
      </c>
      <c r="BP22" s="462">
        <f t="shared" ca="1" si="5"/>
        <v>1.3080000000000001</v>
      </c>
      <c r="BQ22" s="462">
        <f t="shared" ca="1" si="5"/>
        <v>1.3220000000000001</v>
      </c>
      <c r="BR22" s="462">
        <f t="shared" ca="1" si="5"/>
        <v>1.3359999999999999</v>
      </c>
      <c r="BS22" s="462">
        <f t="shared" ca="1" si="5"/>
        <v>1.35</v>
      </c>
      <c r="BT22" s="462">
        <f t="shared" ca="1" si="5"/>
        <v>1.3639999999999999</v>
      </c>
      <c r="BU22" s="462">
        <f t="shared" ca="1" si="5"/>
        <v>1.3779999999999999</v>
      </c>
      <c r="BV22" s="462">
        <f t="shared" ca="1" si="5"/>
        <v>1.3919999999999999</v>
      </c>
      <c r="BW22" s="462">
        <f t="shared" ca="1" si="5"/>
        <v>1.4059999999999999</v>
      </c>
      <c r="BX22" s="462">
        <f t="shared" ca="1" si="6"/>
        <v>1.42</v>
      </c>
      <c r="BY22" s="462">
        <f t="shared" ca="1" si="6"/>
        <v>1.4339999999999999</v>
      </c>
      <c r="BZ22" s="462">
        <f t="shared" ca="1" si="6"/>
        <v>1.448</v>
      </c>
      <c r="CA22" s="462">
        <f t="shared" ca="1" si="6"/>
        <v>1.462</v>
      </c>
      <c r="CB22" s="462">
        <f t="shared" ca="1" si="6"/>
        <v>1.476</v>
      </c>
      <c r="CC22" s="462">
        <f t="shared" ca="1" si="6"/>
        <v>1.49</v>
      </c>
      <c r="CD22" s="462">
        <f t="shared" ca="1" si="6"/>
        <v>1.504</v>
      </c>
      <c r="CE22" s="462">
        <f t="shared" ca="1" si="6"/>
        <v>1.518</v>
      </c>
      <c r="CF22" s="462">
        <f t="shared" ca="1" si="6"/>
        <v>1.532</v>
      </c>
      <c r="CG22" s="462">
        <f t="shared" ca="1" si="6"/>
        <v>1.5459999999999998</v>
      </c>
      <c r="CH22" s="462">
        <f t="shared" ca="1" si="7"/>
        <v>1.56</v>
      </c>
      <c r="CI22" s="462">
        <f t="shared" ca="1" si="7"/>
        <v>1.5739999999999998</v>
      </c>
      <c r="CJ22" s="462">
        <f t="shared" ca="1" si="7"/>
        <v>1.5880000000000001</v>
      </c>
      <c r="CK22" s="462">
        <f t="shared" ca="1" si="7"/>
        <v>1.6019999999999999</v>
      </c>
      <c r="CL22" s="462">
        <f t="shared" ca="1" si="7"/>
        <v>1.6160000000000001</v>
      </c>
      <c r="CM22" s="462">
        <f t="shared" ca="1" si="7"/>
        <v>1.63</v>
      </c>
      <c r="CN22" s="462">
        <f t="shared" ca="1" si="7"/>
        <v>1.6439999999999999</v>
      </c>
      <c r="CO22" s="462">
        <f t="shared" ca="1" si="7"/>
        <v>1.6579999999999999</v>
      </c>
      <c r="CP22" s="462">
        <f t="shared" ca="1" si="7"/>
        <v>1.6719999999999999</v>
      </c>
      <c r="CQ22" s="462">
        <f t="shared" ca="1" si="7"/>
        <v>1.6859999999999999</v>
      </c>
      <c r="CR22" s="463">
        <f t="shared" ca="1" si="7"/>
        <v>1.7</v>
      </c>
    </row>
    <row r="23" spans="1:96" s="354" customFormat="1" ht="11.25" customHeight="1" x14ac:dyDescent="0.2">
      <c r="A23" s="355"/>
      <c r="B23" s="356"/>
      <c r="C23" s="2031" t="s">
        <v>302</v>
      </c>
      <c r="D23" s="2031"/>
      <c r="E23" s="2031"/>
      <c r="F23" s="1685" t="s">
        <v>252</v>
      </c>
      <c r="G23" s="1685"/>
      <c r="H23" s="256"/>
      <c r="I23" s="2018">
        <f t="shared" ref="I23" si="9">10*12*0.9*1.08</f>
        <v>116.64000000000001</v>
      </c>
      <c r="J23" s="2020"/>
      <c r="K23" s="1681">
        <f>11.4*0.9*1.08</f>
        <v>11.0808</v>
      </c>
      <c r="L23" s="1682"/>
      <c r="M23" s="1681">
        <f>8.4*0.9*1.08</f>
        <v>8.1648000000000014</v>
      </c>
      <c r="N23" s="1682"/>
      <c r="O23" s="1681">
        <f>1.7*0.9*1.08</f>
        <v>1.6524000000000001</v>
      </c>
      <c r="P23" s="1682"/>
      <c r="Q23" s="2059">
        <v>1</v>
      </c>
      <c r="R23" s="2060"/>
      <c r="S23" s="2057">
        <f>IF(ISBLANK(L23),K23,L23)+IF(ISBLANK(N23),M23,N23)+IF(ISBLANK(P23),O23,P23)+Q23</f>
        <v>21.898000000000003</v>
      </c>
      <c r="T23" s="2058"/>
      <c r="U23" s="2056">
        <v>1.4</v>
      </c>
      <c r="V23" s="2071"/>
      <c r="W23" s="2088">
        <v>0.03</v>
      </c>
      <c r="X23" s="2085"/>
      <c r="Y23" s="2085">
        <f>1.14-W23</f>
        <v>1.1099999999999999</v>
      </c>
      <c r="Z23" s="2085"/>
      <c r="AA23" s="2099">
        <v>8.6E-3</v>
      </c>
      <c r="AB23" s="2099"/>
      <c r="AC23" s="2077">
        <v>58.58</v>
      </c>
      <c r="AD23" s="2100"/>
      <c r="AE23" s="2051"/>
      <c r="AF23" s="2115"/>
      <c r="AG23" s="761"/>
      <c r="AH23" s="785">
        <f t="shared" si="8"/>
        <v>1.4</v>
      </c>
      <c r="AI23" s="2104">
        <f t="shared" ref="AI23:AI56" si="10">IF(ISBLANK($J23),$I23,$J23)</f>
        <v>116.64000000000001</v>
      </c>
      <c r="AJ23" s="2130">
        <f>S23</f>
        <v>21.898000000000003</v>
      </c>
      <c r="AK23" s="2132">
        <f>S24</f>
        <v>12.712600000000002</v>
      </c>
      <c r="AL23" s="2132">
        <f>S23</f>
        <v>21.898000000000003</v>
      </c>
      <c r="AM23" s="2313">
        <f>S24</f>
        <v>12.712600000000002</v>
      </c>
      <c r="AN23" s="323"/>
      <c r="AO23" s="324"/>
      <c r="AP23" s="324"/>
      <c r="AQ23" s="324"/>
      <c r="AR23" s="396"/>
      <c r="AS23" s="418">
        <v>1</v>
      </c>
      <c r="AT23" s="464">
        <f t="shared" ref="AT23:BC28" ca="1" si="11">IF(OR(ISBLANK($S23),$S23=0),0,(1+(AT$10-$AT$10)*$AH23/100))</f>
        <v>1</v>
      </c>
      <c r="AU23" s="465">
        <f t="shared" ca="1" si="11"/>
        <v>1.014</v>
      </c>
      <c r="AV23" s="465">
        <f t="shared" ca="1" si="11"/>
        <v>1.028</v>
      </c>
      <c r="AW23" s="465">
        <f t="shared" ca="1" si="11"/>
        <v>1.042</v>
      </c>
      <c r="AX23" s="465">
        <f t="shared" ca="1" si="11"/>
        <v>1.056</v>
      </c>
      <c r="AY23" s="465">
        <f t="shared" ca="1" si="11"/>
        <v>1.07</v>
      </c>
      <c r="AZ23" s="465">
        <f t="shared" ca="1" si="11"/>
        <v>1.0840000000000001</v>
      </c>
      <c r="BA23" s="465">
        <f t="shared" ca="1" si="11"/>
        <v>1.0980000000000001</v>
      </c>
      <c r="BB23" s="465">
        <f t="shared" ca="1" si="11"/>
        <v>1.1120000000000001</v>
      </c>
      <c r="BC23" s="465">
        <f t="shared" ca="1" si="11"/>
        <v>1.1259999999999999</v>
      </c>
      <c r="BD23" s="465">
        <f t="shared" ref="BD23:BM28" ca="1" si="12">IF(OR(ISBLANK($S23),$S23=0),0,(1+(BD$10-$AT$10)*$AH23/100))</f>
        <v>1.1400000000000001</v>
      </c>
      <c r="BE23" s="465">
        <f t="shared" ca="1" si="12"/>
        <v>1.1539999999999999</v>
      </c>
      <c r="BF23" s="465">
        <f t="shared" ca="1" si="12"/>
        <v>1.1679999999999999</v>
      </c>
      <c r="BG23" s="465">
        <f t="shared" ca="1" si="12"/>
        <v>1.1819999999999999</v>
      </c>
      <c r="BH23" s="465">
        <f t="shared" ca="1" si="12"/>
        <v>1.196</v>
      </c>
      <c r="BI23" s="465">
        <f t="shared" ca="1" si="12"/>
        <v>1.21</v>
      </c>
      <c r="BJ23" s="465">
        <f t="shared" ca="1" si="12"/>
        <v>1.224</v>
      </c>
      <c r="BK23" s="465">
        <f t="shared" ca="1" si="12"/>
        <v>1.238</v>
      </c>
      <c r="BL23" s="465">
        <f t="shared" ca="1" si="12"/>
        <v>1.252</v>
      </c>
      <c r="BM23" s="465">
        <f t="shared" ca="1" si="12"/>
        <v>1.266</v>
      </c>
      <c r="BN23" s="465">
        <f t="shared" ref="BN23:BW28" ca="1" si="13">IF(OR(ISBLANK($S23),$S23=0),0,(1+(BN$10-$AT$10)*$AH23/100))</f>
        <v>1.28</v>
      </c>
      <c r="BO23" s="465">
        <f t="shared" ca="1" si="13"/>
        <v>1.294</v>
      </c>
      <c r="BP23" s="465">
        <f t="shared" ca="1" si="13"/>
        <v>1.3080000000000001</v>
      </c>
      <c r="BQ23" s="465">
        <f t="shared" ca="1" si="13"/>
        <v>1.3220000000000001</v>
      </c>
      <c r="BR23" s="465">
        <f t="shared" ca="1" si="13"/>
        <v>1.3359999999999999</v>
      </c>
      <c r="BS23" s="465">
        <f t="shared" ca="1" si="13"/>
        <v>1.35</v>
      </c>
      <c r="BT23" s="465">
        <f t="shared" ca="1" si="13"/>
        <v>1.3639999999999999</v>
      </c>
      <c r="BU23" s="465">
        <f t="shared" ca="1" si="13"/>
        <v>1.3779999999999999</v>
      </c>
      <c r="BV23" s="465">
        <f t="shared" ca="1" si="13"/>
        <v>1.3919999999999999</v>
      </c>
      <c r="BW23" s="465">
        <f t="shared" ca="1" si="13"/>
        <v>1.4059999999999999</v>
      </c>
      <c r="BX23" s="465">
        <f t="shared" ref="BX23:CG28" ca="1" si="14">IF(OR(ISBLANK($S23),$S23=0),0,(1+(BX$10-$AT$10)*$AH23/100))</f>
        <v>1.42</v>
      </c>
      <c r="BY23" s="465">
        <f t="shared" ca="1" si="14"/>
        <v>1.4339999999999999</v>
      </c>
      <c r="BZ23" s="465">
        <f t="shared" ca="1" si="14"/>
        <v>1.448</v>
      </c>
      <c r="CA23" s="465">
        <f t="shared" ca="1" si="14"/>
        <v>1.462</v>
      </c>
      <c r="CB23" s="465">
        <f t="shared" ca="1" si="14"/>
        <v>1.476</v>
      </c>
      <c r="CC23" s="465">
        <f t="shared" ca="1" si="14"/>
        <v>1.49</v>
      </c>
      <c r="CD23" s="465">
        <f t="shared" ca="1" si="14"/>
        <v>1.504</v>
      </c>
      <c r="CE23" s="465">
        <f t="shared" ca="1" si="14"/>
        <v>1.518</v>
      </c>
      <c r="CF23" s="465">
        <f t="shared" ca="1" si="14"/>
        <v>1.532</v>
      </c>
      <c r="CG23" s="465">
        <f t="shared" ca="1" si="14"/>
        <v>1.5459999999999998</v>
      </c>
      <c r="CH23" s="465">
        <f t="shared" ref="CH23:CR28" ca="1" si="15">IF(OR(ISBLANK($S23),$S23=0),0,(1+(CH$10-$AT$10)*$AH23/100))</f>
        <v>1.56</v>
      </c>
      <c r="CI23" s="465">
        <f t="shared" ca="1" si="15"/>
        <v>1.5739999999999998</v>
      </c>
      <c r="CJ23" s="465">
        <f t="shared" ca="1" si="15"/>
        <v>1.5880000000000001</v>
      </c>
      <c r="CK23" s="465">
        <f t="shared" ca="1" si="15"/>
        <v>1.6019999999999999</v>
      </c>
      <c r="CL23" s="465">
        <f t="shared" ca="1" si="15"/>
        <v>1.6160000000000001</v>
      </c>
      <c r="CM23" s="465">
        <f t="shared" ca="1" si="15"/>
        <v>1.63</v>
      </c>
      <c r="CN23" s="465">
        <f t="shared" ca="1" si="15"/>
        <v>1.6439999999999999</v>
      </c>
      <c r="CO23" s="465">
        <f t="shared" ca="1" si="15"/>
        <v>1.6579999999999999</v>
      </c>
      <c r="CP23" s="465">
        <f t="shared" ca="1" si="15"/>
        <v>1.6719999999999999</v>
      </c>
      <c r="CQ23" s="465">
        <f t="shared" ca="1" si="15"/>
        <v>1.6859999999999999</v>
      </c>
      <c r="CR23" s="466">
        <f t="shared" ca="1" si="15"/>
        <v>1.7</v>
      </c>
    </row>
    <row r="24" spans="1:96" s="354" customFormat="1" ht="11.25" customHeight="1" x14ac:dyDescent="0.2">
      <c r="A24" s="355"/>
      <c r="B24" s="356"/>
      <c r="C24" s="2031"/>
      <c r="D24" s="2031"/>
      <c r="E24" s="2031"/>
      <c r="F24" s="553" t="s">
        <v>253</v>
      </c>
      <c r="G24" s="553"/>
      <c r="H24" s="255"/>
      <c r="I24" s="2019"/>
      <c r="J24" s="2021"/>
      <c r="K24" s="1683">
        <f>7*0.9*1.08</f>
        <v>6.8040000000000003</v>
      </c>
      <c r="L24" s="1684"/>
      <c r="M24" s="1683">
        <f>4.2*0.9*1.08</f>
        <v>4.0824000000000007</v>
      </c>
      <c r="N24" s="1684"/>
      <c r="O24" s="1683">
        <f>0.85*0.9*1.08</f>
        <v>0.82620000000000005</v>
      </c>
      <c r="P24" s="1684"/>
      <c r="Q24" s="2061"/>
      <c r="R24" s="2062"/>
      <c r="S24" s="2072">
        <f>IF(ISBLANK(L24),K24,L24)+IF(ISBLANK(N24),M24,N24)+IF(ISBLANK(P24),O24,P24)+Q23</f>
        <v>12.712600000000002</v>
      </c>
      <c r="T24" s="2073"/>
      <c r="U24" s="2052"/>
      <c r="V24" s="2055"/>
      <c r="W24" s="2088"/>
      <c r="X24" s="2085"/>
      <c r="Y24" s="2085"/>
      <c r="Z24" s="2085"/>
      <c r="AA24" s="2099"/>
      <c r="AB24" s="2099"/>
      <c r="AC24" s="2077"/>
      <c r="AD24" s="2100"/>
      <c r="AE24" s="2051"/>
      <c r="AF24" s="2115"/>
      <c r="AG24" s="761"/>
      <c r="AH24" s="784">
        <f>IF(ISBLANK(V23),U23,V23)</f>
        <v>1.4</v>
      </c>
      <c r="AI24" s="2104">
        <f t="shared" si="10"/>
        <v>0</v>
      </c>
      <c r="AJ24" s="2131"/>
      <c r="AK24" s="2133"/>
      <c r="AL24" s="2133"/>
      <c r="AM24" s="2314"/>
      <c r="AN24" s="323"/>
      <c r="AO24" s="324"/>
      <c r="AP24" s="324"/>
      <c r="AQ24" s="324"/>
      <c r="AR24" s="396"/>
      <c r="AS24" s="419">
        <v>1</v>
      </c>
      <c r="AT24" s="461">
        <f t="shared" ca="1" si="11"/>
        <v>1</v>
      </c>
      <c r="AU24" s="462">
        <f t="shared" ca="1" si="11"/>
        <v>1.014</v>
      </c>
      <c r="AV24" s="462">
        <f t="shared" ca="1" si="11"/>
        <v>1.028</v>
      </c>
      <c r="AW24" s="462">
        <f t="shared" ca="1" si="11"/>
        <v>1.042</v>
      </c>
      <c r="AX24" s="462">
        <f t="shared" ca="1" si="11"/>
        <v>1.056</v>
      </c>
      <c r="AY24" s="462">
        <f t="shared" ca="1" si="11"/>
        <v>1.07</v>
      </c>
      <c r="AZ24" s="462">
        <f t="shared" ca="1" si="11"/>
        <v>1.0840000000000001</v>
      </c>
      <c r="BA24" s="462">
        <f t="shared" ca="1" si="11"/>
        <v>1.0980000000000001</v>
      </c>
      <c r="BB24" s="462">
        <f t="shared" ca="1" si="11"/>
        <v>1.1120000000000001</v>
      </c>
      <c r="BC24" s="462">
        <f t="shared" ca="1" si="11"/>
        <v>1.1259999999999999</v>
      </c>
      <c r="BD24" s="462">
        <f t="shared" ca="1" si="12"/>
        <v>1.1400000000000001</v>
      </c>
      <c r="BE24" s="462">
        <f t="shared" ca="1" si="12"/>
        <v>1.1539999999999999</v>
      </c>
      <c r="BF24" s="462">
        <f t="shared" ca="1" si="12"/>
        <v>1.1679999999999999</v>
      </c>
      <c r="BG24" s="462">
        <f t="shared" ca="1" si="12"/>
        <v>1.1819999999999999</v>
      </c>
      <c r="BH24" s="462">
        <f t="shared" ca="1" si="12"/>
        <v>1.196</v>
      </c>
      <c r="BI24" s="462">
        <f t="shared" ca="1" si="12"/>
        <v>1.21</v>
      </c>
      <c r="BJ24" s="462">
        <f t="shared" ca="1" si="12"/>
        <v>1.224</v>
      </c>
      <c r="BK24" s="462">
        <f t="shared" ca="1" si="12"/>
        <v>1.238</v>
      </c>
      <c r="BL24" s="462">
        <f t="shared" ca="1" si="12"/>
        <v>1.252</v>
      </c>
      <c r="BM24" s="462">
        <f t="shared" ca="1" si="12"/>
        <v>1.266</v>
      </c>
      <c r="BN24" s="462">
        <f t="shared" ca="1" si="13"/>
        <v>1.28</v>
      </c>
      <c r="BO24" s="462">
        <f t="shared" ca="1" si="13"/>
        <v>1.294</v>
      </c>
      <c r="BP24" s="462">
        <f t="shared" ca="1" si="13"/>
        <v>1.3080000000000001</v>
      </c>
      <c r="BQ24" s="462">
        <f t="shared" ca="1" si="13"/>
        <v>1.3220000000000001</v>
      </c>
      <c r="BR24" s="462">
        <f t="shared" ca="1" si="13"/>
        <v>1.3359999999999999</v>
      </c>
      <c r="BS24" s="462">
        <f t="shared" ca="1" si="13"/>
        <v>1.35</v>
      </c>
      <c r="BT24" s="462">
        <f t="shared" ca="1" si="13"/>
        <v>1.3639999999999999</v>
      </c>
      <c r="BU24" s="462">
        <f t="shared" ca="1" si="13"/>
        <v>1.3779999999999999</v>
      </c>
      <c r="BV24" s="462">
        <f t="shared" ca="1" si="13"/>
        <v>1.3919999999999999</v>
      </c>
      <c r="BW24" s="462">
        <f t="shared" ca="1" si="13"/>
        <v>1.4059999999999999</v>
      </c>
      <c r="BX24" s="462">
        <f t="shared" ca="1" si="14"/>
        <v>1.42</v>
      </c>
      <c r="BY24" s="462">
        <f t="shared" ca="1" si="14"/>
        <v>1.4339999999999999</v>
      </c>
      <c r="BZ24" s="462">
        <f t="shared" ca="1" si="14"/>
        <v>1.448</v>
      </c>
      <c r="CA24" s="462">
        <f t="shared" ca="1" si="14"/>
        <v>1.462</v>
      </c>
      <c r="CB24" s="462">
        <f t="shared" ca="1" si="14"/>
        <v>1.476</v>
      </c>
      <c r="CC24" s="462">
        <f t="shared" ca="1" si="14"/>
        <v>1.49</v>
      </c>
      <c r="CD24" s="462">
        <f t="shared" ca="1" si="14"/>
        <v>1.504</v>
      </c>
      <c r="CE24" s="462">
        <f t="shared" ca="1" si="14"/>
        <v>1.518</v>
      </c>
      <c r="CF24" s="462">
        <f t="shared" ca="1" si="14"/>
        <v>1.532</v>
      </c>
      <c r="CG24" s="462">
        <f t="shared" ca="1" si="14"/>
        <v>1.5459999999999998</v>
      </c>
      <c r="CH24" s="462">
        <f t="shared" ca="1" si="15"/>
        <v>1.56</v>
      </c>
      <c r="CI24" s="462">
        <f t="shared" ca="1" si="15"/>
        <v>1.5739999999999998</v>
      </c>
      <c r="CJ24" s="462">
        <f t="shared" ca="1" si="15"/>
        <v>1.5880000000000001</v>
      </c>
      <c r="CK24" s="462">
        <f t="shared" ca="1" si="15"/>
        <v>1.6019999999999999</v>
      </c>
      <c r="CL24" s="462">
        <f t="shared" ca="1" si="15"/>
        <v>1.6160000000000001</v>
      </c>
      <c r="CM24" s="462">
        <f t="shared" ca="1" si="15"/>
        <v>1.63</v>
      </c>
      <c r="CN24" s="462">
        <f t="shared" ca="1" si="15"/>
        <v>1.6439999999999999</v>
      </c>
      <c r="CO24" s="462">
        <f t="shared" ca="1" si="15"/>
        <v>1.6579999999999999</v>
      </c>
      <c r="CP24" s="462">
        <f t="shared" ca="1" si="15"/>
        <v>1.6719999999999999</v>
      </c>
      <c r="CQ24" s="462">
        <f t="shared" ca="1" si="15"/>
        <v>1.6859999999999999</v>
      </c>
      <c r="CR24" s="463">
        <f t="shared" ca="1" si="15"/>
        <v>1.7</v>
      </c>
    </row>
    <row r="25" spans="1:96" s="250" customFormat="1" ht="11.25" customHeight="1" x14ac:dyDescent="0.2">
      <c r="A25" s="355"/>
      <c r="B25" s="356"/>
      <c r="C25" s="2031" t="s">
        <v>251</v>
      </c>
      <c r="D25" s="2031"/>
      <c r="E25" s="2031"/>
      <c r="F25" s="1685" t="s">
        <v>252</v>
      </c>
      <c r="G25" s="1685"/>
      <c r="H25" s="256"/>
      <c r="I25" s="2018">
        <f t="shared" ref="I25" si="16">10*12*0.9*1.08</f>
        <v>116.64000000000001</v>
      </c>
      <c r="J25" s="2020"/>
      <c r="K25" s="1681">
        <f>60*0.9*1.08</f>
        <v>58.320000000000007</v>
      </c>
      <c r="L25" s="1682"/>
      <c r="M25" s="1681">
        <f>8.4*0.9*1.08</f>
        <v>8.1648000000000014</v>
      </c>
      <c r="N25" s="1682"/>
      <c r="O25" s="1681">
        <f>-11.1*0.9*1.08</f>
        <v>-10.789200000000001</v>
      </c>
      <c r="P25" s="1682"/>
      <c r="Q25" s="2059">
        <v>3</v>
      </c>
      <c r="R25" s="2060"/>
      <c r="S25" s="2057">
        <f>IF(ISBLANK(L25),K25,L25)+IF(ISBLANK(N25),M25,N25)+IF(ISBLANK(P25),O25,P25)+Q25</f>
        <v>58.695600000000006</v>
      </c>
      <c r="T25" s="2058"/>
      <c r="U25" s="2056">
        <v>1.4</v>
      </c>
      <c r="V25" s="2071"/>
      <c r="W25" s="2088">
        <v>0.35</v>
      </c>
      <c r="X25" s="2085"/>
      <c r="Y25" s="2085">
        <f>1.6-W25</f>
        <v>1.25</v>
      </c>
      <c r="Z25" s="2085"/>
      <c r="AA25" s="2099">
        <v>8.0269999999999994E-2</v>
      </c>
      <c r="AB25" s="2099"/>
      <c r="AC25" s="2077">
        <v>174.57</v>
      </c>
      <c r="AD25" s="2100"/>
      <c r="AE25" s="2051"/>
      <c r="AF25" s="2115"/>
      <c r="AG25" s="761"/>
      <c r="AH25" s="785">
        <f t="shared" si="8"/>
        <v>1.4</v>
      </c>
      <c r="AI25" s="2104">
        <f t="shared" si="10"/>
        <v>116.64000000000001</v>
      </c>
      <c r="AJ25" s="2130">
        <f>S25</f>
        <v>58.695600000000006</v>
      </c>
      <c r="AK25" s="2132">
        <f>S26</f>
        <v>54.613200000000006</v>
      </c>
      <c r="AL25" s="2132">
        <f>S25</f>
        <v>58.695600000000006</v>
      </c>
      <c r="AM25" s="2313">
        <f>S26</f>
        <v>54.613200000000006</v>
      </c>
      <c r="AN25" s="323"/>
      <c r="AO25" s="324"/>
      <c r="AP25" s="324"/>
      <c r="AQ25" s="324"/>
      <c r="AR25" s="396"/>
      <c r="AS25" s="418">
        <v>1</v>
      </c>
      <c r="AT25" s="464">
        <f t="shared" ca="1" si="11"/>
        <v>1</v>
      </c>
      <c r="AU25" s="465">
        <f t="shared" ca="1" si="11"/>
        <v>1.014</v>
      </c>
      <c r="AV25" s="465">
        <f t="shared" ca="1" si="11"/>
        <v>1.028</v>
      </c>
      <c r="AW25" s="465">
        <f t="shared" ca="1" si="11"/>
        <v>1.042</v>
      </c>
      <c r="AX25" s="465">
        <f t="shared" ca="1" si="11"/>
        <v>1.056</v>
      </c>
      <c r="AY25" s="465">
        <f t="shared" ca="1" si="11"/>
        <v>1.07</v>
      </c>
      <c r="AZ25" s="465">
        <f t="shared" ca="1" si="11"/>
        <v>1.0840000000000001</v>
      </c>
      <c r="BA25" s="465">
        <f t="shared" ca="1" si="11"/>
        <v>1.0980000000000001</v>
      </c>
      <c r="BB25" s="465">
        <f t="shared" ca="1" si="11"/>
        <v>1.1120000000000001</v>
      </c>
      <c r="BC25" s="465">
        <f t="shared" ca="1" si="11"/>
        <v>1.1259999999999999</v>
      </c>
      <c r="BD25" s="465">
        <f t="shared" ca="1" si="12"/>
        <v>1.1400000000000001</v>
      </c>
      <c r="BE25" s="465">
        <f t="shared" ca="1" si="12"/>
        <v>1.1539999999999999</v>
      </c>
      <c r="BF25" s="465">
        <f t="shared" ca="1" si="12"/>
        <v>1.1679999999999999</v>
      </c>
      <c r="BG25" s="465">
        <f t="shared" ca="1" si="12"/>
        <v>1.1819999999999999</v>
      </c>
      <c r="BH25" s="465">
        <f t="shared" ca="1" si="12"/>
        <v>1.196</v>
      </c>
      <c r="BI25" s="465">
        <f t="shared" ca="1" si="12"/>
        <v>1.21</v>
      </c>
      <c r="BJ25" s="465">
        <f t="shared" ca="1" si="12"/>
        <v>1.224</v>
      </c>
      <c r="BK25" s="465">
        <f t="shared" ca="1" si="12"/>
        <v>1.238</v>
      </c>
      <c r="BL25" s="465">
        <f t="shared" ca="1" si="12"/>
        <v>1.252</v>
      </c>
      <c r="BM25" s="465">
        <f t="shared" ca="1" si="12"/>
        <v>1.266</v>
      </c>
      <c r="BN25" s="465">
        <f t="shared" ca="1" si="13"/>
        <v>1.28</v>
      </c>
      <c r="BO25" s="465">
        <f t="shared" ca="1" si="13"/>
        <v>1.294</v>
      </c>
      <c r="BP25" s="465">
        <f t="shared" ca="1" si="13"/>
        <v>1.3080000000000001</v>
      </c>
      <c r="BQ25" s="465">
        <f t="shared" ca="1" si="13"/>
        <v>1.3220000000000001</v>
      </c>
      <c r="BR25" s="465">
        <f t="shared" ca="1" si="13"/>
        <v>1.3359999999999999</v>
      </c>
      <c r="BS25" s="465">
        <f t="shared" ca="1" si="13"/>
        <v>1.35</v>
      </c>
      <c r="BT25" s="465">
        <f t="shared" ca="1" si="13"/>
        <v>1.3639999999999999</v>
      </c>
      <c r="BU25" s="465">
        <f t="shared" ca="1" si="13"/>
        <v>1.3779999999999999</v>
      </c>
      <c r="BV25" s="465">
        <f t="shared" ca="1" si="13"/>
        <v>1.3919999999999999</v>
      </c>
      <c r="BW25" s="465">
        <f t="shared" ca="1" si="13"/>
        <v>1.4059999999999999</v>
      </c>
      <c r="BX25" s="465">
        <f t="shared" ca="1" si="14"/>
        <v>1.42</v>
      </c>
      <c r="BY25" s="465">
        <f t="shared" ca="1" si="14"/>
        <v>1.4339999999999999</v>
      </c>
      <c r="BZ25" s="465">
        <f t="shared" ca="1" si="14"/>
        <v>1.448</v>
      </c>
      <c r="CA25" s="465">
        <f t="shared" ca="1" si="14"/>
        <v>1.462</v>
      </c>
      <c r="CB25" s="465">
        <f t="shared" ca="1" si="14"/>
        <v>1.476</v>
      </c>
      <c r="CC25" s="465">
        <f t="shared" ca="1" si="14"/>
        <v>1.49</v>
      </c>
      <c r="CD25" s="465">
        <f t="shared" ca="1" si="14"/>
        <v>1.504</v>
      </c>
      <c r="CE25" s="465">
        <f t="shared" ca="1" si="14"/>
        <v>1.518</v>
      </c>
      <c r="CF25" s="465">
        <f t="shared" ca="1" si="14"/>
        <v>1.532</v>
      </c>
      <c r="CG25" s="465">
        <f t="shared" ca="1" si="14"/>
        <v>1.5459999999999998</v>
      </c>
      <c r="CH25" s="465">
        <f t="shared" ca="1" si="15"/>
        <v>1.56</v>
      </c>
      <c r="CI25" s="465">
        <f t="shared" ca="1" si="15"/>
        <v>1.5739999999999998</v>
      </c>
      <c r="CJ25" s="465">
        <f t="shared" ca="1" si="15"/>
        <v>1.5880000000000001</v>
      </c>
      <c r="CK25" s="465">
        <f t="shared" ca="1" si="15"/>
        <v>1.6019999999999999</v>
      </c>
      <c r="CL25" s="465">
        <f t="shared" ca="1" si="15"/>
        <v>1.6160000000000001</v>
      </c>
      <c r="CM25" s="465">
        <f t="shared" ca="1" si="15"/>
        <v>1.63</v>
      </c>
      <c r="CN25" s="465">
        <f t="shared" ca="1" si="15"/>
        <v>1.6439999999999999</v>
      </c>
      <c r="CO25" s="465">
        <f t="shared" ca="1" si="15"/>
        <v>1.6579999999999999</v>
      </c>
      <c r="CP25" s="465">
        <f t="shared" ca="1" si="15"/>
        <v>1.6719999999999999</v>
      </c>
      <c r="CQ25" s="465">
        <f t="shared" ca="1" si="15"/>
        <v>1.6859999999999999</v>
      </c>
      <c r="CR25" s="466">
        <f t="shared" ca="1" si="15"/>
        <v>1.7</v>
      </c>
    </row>
    <row r="26" spans="1:96" s="250" customFormat="1" ht="11.25" customHeight="1" x14ac:dyDescent="0.2">
      <c r="A26" s="355"/>
      <c r="B26" s="356"/>
      <c r="C26" s="2031"/>
      <c r="D26" s="2031"/>
      <c r="E26" s="2031"/>
      <c r="F26" s="553" t="s">
        <v>253</v>
      </c>
      <c r="G26" s="553"/>
      <c r="H26" s="255"/>
      <c r="I26" s="2019"/>
      <c r="J26" s="2021"/>
      <c r="K26" s="1683">
        <f>60*0.9*1.08</f>
        <v>58.320000000000007</v>
      </c>
      <c r="L26" s="1684"/>
      <c r="M26" s="1683">
        <f>4.2*0.9*1.08</f>
        <v>4.0824000000000007</v>
      </c>
      <c r="N26" s="1684"/>
      <c r="O26" s="1683">
        <f>-11.1*0.9*1.08</f>
        <v>-10.789200000000001</v>
      </c>
      <c r="P26" s="1684"/>
      <c r="Q26" s="2061"/>
      <c r="R26" s="2062"/>
      <c r="S26" s="2072">
        <f>IF(ISBLANK(L26),K26,L26)+IF(ISBLANK(N26),M26,N26)+IF(ISBLANK(P26),O26,P26)+Q25</f>
        <v>54.613200000000006</v>
      </c>
      <c r="T26" s="2073"/>
      <c r="U26" s="2052"/>
      <c r="V26" s="2055"/>
      <c r="W26" s="2088"/>
      <c r="X26" s="2085"/>
      <c r="Y26" s="2085"/>
      <c r="Z26" s="2085"/>
      <c r="AA26" s="2099"/>
      <c r="AB26" s="2099"/>
      <c r="AC26" s="2077"/>
      <c r="AD26" s="2100"/>
      <c r="AE26" s="2051"/>
      <c r="AF26" s="2115"/>
      <c r="AG26" s="761"/>
      <c r="AH26" s="784">
        <f>IF(ISBLANK(V25),U25,V25)</f>
        <v>1.4</v>
      </c>
      <c r="AI26" s="2104">
        <f t="shared" si="10"/>
        <v>0</v>
      </c>
      <c r="AJ26" s="2131"/>
      <c r="AK26" s="2133"/>
      <c r="AL26" s="2133"/>
      <c r="AM26" s="2314"/>
      <c r="AN26" s="323"/>
      <c r="AO26" s="324"/>
      <c r="AP26" s="324"/>
      <c r="AQ26" s="324"/>
      <c r="AR26" s="396"/>
      <c r="AS26" s="419">
        <v>1</v>
      </c>
      <c r="AT26" s="461">
        <f t="shared" ca="1" si="11"/>
        <v>1</v>
      </c>
      <c r="AU26" s="462">
        <f t="shared" ca="1" si="11"/>
        <v>1.014</v>
      </c>
      <c r="AV26" s="462">
        <f t="shared" ca="1" si="11"/>
        <v>1.028</v>
      </c>
      <c r="AW26" s="462">
        <f t="shared" ca="1" si="11"/>
        <v>1.042</v>
      </c>
      <c r="AX26" s="462">
        <f t="shared" ca="1" si="11"/>
        <v>1.056</v>
      </c>
      <c r="AY26" s="462">
        <f t="shared" ca="1" si="11"/>
        <v>1.07</v>
      </c>
      <c r="AZ26" s="462">
        <f t="shared" ca="1" si="11"/>
        <v>1.0840000000000001</v>
      </c>
      <c r="BA26" s="462">
        <f t="shared" ca="1" si="11"/>
        <v>1.0980000000000001</v>
      </c>
      <c r="BB26" s="462">
        <f t="shared" ca="1" si="11"/>
        <v>1.1120000000000001</v>
      </c>
      <c r="BC26" s="462">
        <f t="shared" ca="1" si="11"/>
        <v>1.1259999999999999</v>
      </c>
      <c r="BD26" s="462">
        <f t="shared" ca="1" si="12"/>
        <v>1.1400000000000001</v>
      </c>
      <c r="BE26" s="462">
        <f t="shared" ca="1" si="12"/>
        <v>1.1539999999999999</v>
      </c>
      <c r="BF26" s="462">
        <f t="shared" ca="1" si="12"/>
        <v>1.1679999999999999</v>
      </c>
      <c r="BG26" s="462">
        <f t="shared" ca="1" si="12"/>
        <v>1.1819999999999999</v>
      </c>
      <c r="BH26" s="462">
        <f t="shared" ca="1" si="12"/>
        <v>1.196</v>
      </c>
      <c r="BI26" s="462">
        <f t="shared" ca="1" si="12"/>
        <v>1.21</v>
      </c>
      <c r="BJ26" s="462">
        <f t="shared" ca="1" si="12"/>
        <v>1.224</v>
      </c>
      <c r="BK26" s="462">
        <f t="shared" ca="1" si="12"/>
        <v>1.238</v>
      </c>
      <c r="BL26" s="462">
        <f t="shared" ca="1" si="12"/>
        <v>1.252</v>
      </c>
      <c r="BM26" s="462">
        <f t="shared" ca="1" si="12"/>
        <v>1.266</v>
      </c>
      <c r="BN26" s="462">
        <f t="shared" ca="1" si="13"/>
        <v>1.28</v>
      </c>
      <c r="BO26" s="462">
        <f t="shared" ca="1" si="13"/>
        <v>1.294</v>
      </c>
      <c r="BP26" s="462">
        <f t="shared" ca="1" si="13"/>
        <v>1.3080000000000001</v>
      </c>
      <c r="BQ26" s="462">
        <f t="shared" ca="1" si="13"/>
        <v>1.3220000000000001</v>
      </c>
      <c r="BR26" s="462">
        <f t="shared" ca="1" si="13"/>
        <v>1.3359999999999999</v>
      </c>
      <c r="BS26" s="462">
        <f t="shared" ca="1" si="13"/>
        <v>1.35</v>
      </c>
      <c r="BT26" s="462">
        <f t="shared" ca="1" si="13"/>
        <v>1.3639999999999999</v>
      </c>
      <c r="BU26" s="462">
        <f t="shared" ca="1" si="13"/>
        <v>1.3779999999999999</v>
      </c>
      <c r="BV26" s="462">
        <f t="shared" ca="1" si="13"/>
        <v>1.3919999999999999</v>
      </c>
      <c r="BW26" s="462">
        <f t="shared" ca="1" si="13"/>
        <v>1.4059999999999999</v>
      </c>
      <c r="BX26" s="462">
        <f t="shared" ca="1" si="14"/>
        <v>1.42</v>
      </c>
      <c r="BY26" s="462">
        <f t="shared" ca="1" si="14"/>
        <v>1.4339999999999999</v>
      </c>
      <c r="BZ26" s="462">
        <f t="shared" ca="1" si="14"/>
        <v>1.448</v>
      </c>
      <c r="CA26" s="462">
        <f t="shared" ca="1" si="14"/>
        <v>1.462</v>
      </c>
      <c r="CB26" s="462">
        <f t="shared" ca="1" si="14"/>
        <v>1.476</v>
      </c>
      <c r="CC26" s="462">
        <f t="shared" ca="1" si="14"/>
        <v>1.49</v>
      </c>
      <c r="CD26" s="462">
        <f t="shared" ca="1" si="14"/>
        <v>1.504</v>
      </c>
      <c r="CE26" s="462">
        <f t="shared" ca="1" si="14"/>
        <v>1.518</v>
      </c>
      <c r="CF26" s="462">
        <f t="shared" ca="1" si="14"/>
        <v>1.532</v>
      </c>
      <c r="CG26" s="462">
        <f t="shared" ca="1" si="14"/>
        <v>1.5459999999999998</v>
      </c>
      <c r="CH26" s="462">
        <f t="shared" ca="1" si="15"/>
        <v>1.56</v>
      </c>
      <c r="CI26" s="462">
        <f t="shared" ca="1" si="15"/>
        <v>1.5739999999999998</v>
      </c>
      <c r="CJ26" s="462">
        <f t="shared" ca="1" si="15"/>
        <v>1.5880000000000001</v>
      </c>
      <c r="CK26" s="462">
        <f t="shared" ca="1" si="15"/>
        <v>1.6019999999999999</v>
      </c>
      <c r="CL26" s="462">
        <f t="shared" ca="1" si="15"/>
        <v>1.6160000000000001</v>
      </c>
      <c r="CM26" s="462">
        <f t="shared" ca="1" si="15"/>
        <v>1.63</v>
      </c>
      <c r="CN26" s="462">
        <f t="shared" ca="1" si="15"/>
        <v>1.6439999999999999</v>
      </c>
      <c r="CO26" s="462">
        <f t="shared" ca="1" si="15"/>
        <v>1.6579999999999999</v>
      </c>
      <c r="CP26" s="462">
        <f t="shared" ca="1" si="15"/>
        <v>1.6719999999999999</v>
      </c>
      <c r="CQ26" s="462">
        <f t="shared" ca="1" si="15"/>
        <v>1.6859999999999999</v>
      </c>
      <c r="CR26" s="463">
        <f t="shared" ca="1" si="15"/>
        <v>1.7</v>
      </c>
    </row>
    <row r="27" spans="1:96" s="250" customFormat="1" ht="11.25" customHeight="1" x14ac:dyDescent="0.2">
      <c r="A27" s="355"/>
      <c r="B27" s="356"/>
      <c r="C27" s="2031" t="s">
        <v>154</v>
      </c>
      <c r="D27" s="2031"/>
      <c r="E27" s="2031"/>
      <c r="F27" s="1685" t="s">
        <v>252</v>
      </c>
      <c r="G27" s="1685"/>
      <c r="H27" s="256"/>
      <c r="I27" s="2018"/>
      <c r="J27" s="2020"/>
      <c r="K27" s="1681">
        <v>23.4</v>
      </c>
      <c r="L27" s="1682"/>
      <c r="M27" s="1778"/>
      <c r="N27" s="1682"/>
      <c r="O27" s="1778"/>
      <c r="P27" s="1682"/>
      <c r="Q27" s="2059">
        <v>7.3</v>
      </c>
      <c r="R27" s="2060"/>
      <c r="S27" s="2057">
        <f>IF(ISBLANK(L27),K27,L27)+IF(ISBLANK(N27),M27,N27)+IF(ISBLANK(P27),O27,P27)+Q27</f>
        <v>30.7</v>
      </c>
      <c r="T27" s="2058"/>
      <c r="U27" s="2056">
        <v>1.4</v>
      </c>
      <c r="V27" s="2071"/>
      <c r="W27" s="2088">
        <v>2.69</v>
      </c>
      <c r="X27" s="2085"/>
      <c r="Y27" s="2085">
        <f>3.14-W27</f>
        <v>0.45000000000000018</v>
      </c>
      <c r="Z27" s="2085"/>
      <c r="AA27" s="2099">
        <f>0.0385*3.6</f>
        <v>0.1386</v>
      </c>
      <c r="AB27" s="2099"/>
      <c r="AC27" s="2077">
        <f>106*3.6</f>
        <v>381.6</v>
      </c>
      <c r="AD27" s="2100"/>
      <c r="AE27" s="2051"/>
      <c r="AF27" s="2115"/>
      <c r="AG27" s="761"/>
      <c r="AH27" s="785">
        <f t="shared" si="8"/>
        <v>1.4</v>
      </c>
      <c r="AI27" s="2104">
        <f t="shared" si="10"/>
        <v>0</v>
      </c>
      <c r="AJ27" s="2130">
        <f>S27</f>
        <v>30.7</v>
      </c>
      <c r="AK27" s="2132">
        <f>S28</f>
        <v>30.7</v>
      </c>
      <c r="AL27" s="2132">
        <f>S27</f>
        <v>30.7</v>
      </c>
      <c r="AM27" s="2313">
        <f>S28</f>
        <v>30.7</v>
      </c>
      <c r="AN27" s="323"/>
      <c r="AO27" s="323"/>
      <c r="AP27" s="323"/>
      <c r="AQ27" s="323"/>
      <c r="AR27" s="396"/>
      <c r="AS27" s="418">
        <v>1</v>
      </c>
      <c r="AT27" s="464">
        <f t="shared" ca="1" si="11"/>
        <v>1</v>
      </c>
      <c r="AU27" s="465">
        <f t="shared" ca="1" si="11"/>
        <v>1.014</v>
      </c>
      <c r="AV27" s="465">
        <f t="shared" ca="1" si="11"/>
        <v>1.028</v>
      </c>
      <c r="AW27" s="465">
        <f t="shared" ca="1" si="11"/>
        <v>1.042</v>
      </c>
      <c r="AX27" s="465">
        <f t="shared" ca="1" si="11"/>
        <v>1.056</v>
      </c>
      <c r="AY27" s="465">
        <f t="shared" ca="1" si="11"/>
        <v>1.07</v>
      </c>
      <c r="AZ27" s="465">
        <f t="shared" ca="1" si="11"/>
        <v>1.0840000000000001</v>
      </c>
      <c r="BA27" s="465">
        <f t="shared" ca="1" si="11"/>
        <v>1.0980000000000001</v>
      </c>
      <c r="BB27" s="465">
        <f t="shared" ca="1" si="11"/>
        <v>1.1120000000000001</v>
      </c>
      <c r="BC27" s="465">
        <f t="shared" ca="1" si="11"/>
        <v>1.1259999999999999</v>
      </c>
      <c r="BD27" s="465">
        <f t="shared" ca="1" si="12"/>
        <v>1.1400000000000001</v>
      </c>
      <c r="BE27" s="465">
        <f t="shared" ca="1" si="12"/>
        <v>1.1539999999999999</v>
      </c>
      <c r="BF27" s="465">
        <f t="shared" ca="1" si="12"/>
        <v>1.1679999999999999</v>
      </c>
      <c r="BG27" s="465">
        <f t="shared" ca="1" si="12"/>
        <v>1.1819999999999999</v>
      </c>
      <c r="BH27" s="465">
        <f t="shared" ca="1" si="12"/>
        <v>1.196</v>
      </c>
      <c r="BI27" s="465">
        <f t="shared" ca="1" si="12"/>
        <v>1.21</v>
      </c>
      <c r="BJ27" s="465">
        <f t="shared" ca="1" si="12"/>
        <v>1.224</v>
      </c>
      <c r="BK27" s="465">
        <f t="shared" ca="1" si="12"/>
        <v>1.238</v>
      </c>
      <c r="BL27" s="465">
        <f t="shared" ca="1" si="12"/>
        <v>1.252</v>
      </c>
      <c r="BM27" s="465">
        <f t="shared" ca="1" si="12"/>
        <v>1.266</v>
      </c>
      <c r="BN27" s="465">
        <f t="shared" ca="1" si="13"/>
        <v>1.28</v>
      </c>
      <c r="BO27" s="465">
        <f t="shared" ca="1" si="13"/>
        <v>1.294</v>
      </c>
      <c r="BP27" s="465">
        <f t="shared" ca="1" si="13"/>
        <v>1.3080000000000001</v>
      </c>
      <c r="BQ27" s="465">
        <f t="shared" ca="1" si="13"/>
        <v>1.3220000000000001</v>
      </c>
      <c r="BR27" s="465">
        <f t="shared" ca="1" si="13"/>
        <v>1.3359999999999999</v>
      </c>
      <c r="BS27" s="465">
        <f t="shared" ca="1" si="13"/>
        <v>1.35</v>
      </c>
      <c r="BT27" s="465">
        <f t="shared" ca="1" si="13"/>
        <v>1.3639999999999999</v>
      </c>
      <c r="BU27" s="465">
        <f t="shared" ca="1" si="13"/>
        <v>1.3779999999999999</v>
      </c>
      <c r="BV27" s="465">
        <f t="shared" ca="1" si="13"/>
        <v>1.3919999999999999</v>
      </c>
      <c r="BW27" s="465">
        <f t="shared" ca="1" si="13"/>
        <v>1.4059999999999999</v>
      </c>
      <c r="BX27" s="465">
        <f t="shared" ca="1" si="14"/>
        <v>1.42</v>
      </c>
      <c r="BY27" s="465">
        <f t="shared" ca="1" si="14"/>
        <v>1.4339999999999999</v>
      </c>
      <c r="BZ27" s="465">
        <f t="shared" ca="1" si="14"/>
        <v>1.448</v>
      </c>
      <c r="CA27" s="465">
        <f t="shared" ca="1" si="14"/>
        <v>1.462</v>
      </c>
      <c r="CB27" s="465">
        <f t="shared" ca="1" si="14"/>
        <v>1.476</v>
      </c>
      <c r="CC27" s="465">
        <f t="shared" ca="1" si="14"/>
        <v>1.49</v>
      </c>
      <c r="CD27" s="465">
        <f t="shared" ca="1" si="14"/>
        <v>1.504</v>
      </c>
      <c r="CE27" s="465">
        <f t="shared" ca="1" si="14"/>
        <v>1.518</v>
      </c>
      <c r="CF27" s="465">
        <f t="shared" ca="1" si="14"/>
        <v>1.532</v>
      </c>
      <c r="CG27" s="465">
        <f t="shared" ca="1" si="14"/>
        <v>1.5459999999999998</v>
      </c>
      <c r="CH27" s="465">
        <f t="shared" ca="1" si="15"/>
        <v>1.56</v>
      </c>
      <c r="CI27" s="465">
        <f t="shared" ca="1" si="15"/>
        <v>1.5739999999999998</v>
      </c>
      <c r="CJ27" s="465">
        <f t="shared" ca="1" si="15"/>
        <v>1.5880000000000001</v>
      </c>
      <c r="CK27" s="465">
        <f t="shared" ca="1" si="15"/>
        <v>1.6019999999999999</v>
      </c>
      <c r="CL27" s="465">
        <f t="shared" ca="1" si="15"/>
        <v>1.6160000000000001</v>
      </c>
      <c r="CM27" s="465">
        <f t="shared" ca="1" si="15"/>
        <v>1.63</v>
      </c>
      <c r="CN27" s="465">
        <f t="shared" ca="1" si="15"/>
        <v>1.6439999999999999</v>
      </c>
      <c r="CO27" s="465">
        <f t="shared" ca="1" si="15"/>
        <v>1.6579999999999999</v>
      </c>
      <c r="CP27" s="465">
        <f t="shared" ca="1" si="15"/>
        <v>1.6719999999999999</v>
      </c>
      <c r="CQ27" s="465">
        <f t="shared" ca="1" si="15"/>
        <v>1.6859999999999999</v>
      </c>
      <c r="CR27" s="466">
        <f t="shared" ca="1" si="15"/>
        <v>1.7</v>
      </c>
    </row>
    <row r="28" spans="1:96" s="250" customFormat="1" ht="11.25" customHeight="1" x14ac:dyDescent="0.2">
      <c r="A28" s="355"/>
      <c r="B28" s="356"/>
      <c r="C28" s="2031"/>
      <c r="D28" s="2031"/>
      <c r="E28" s="2031"/>
      <c r="F28" s="553" t="s">
        <v>253</v>
      </c>
      <c r="G28" s="553"/>
      <c r="H28" s="255"/>
      <c r="I28" s="2019"/>
      <c r="J28" s="2021"/>
      <c r="K28" s="1683">
        <v>23.4</v>
      </c>
      <c r="L28" s="1684"/>
      <c r="M28" s="1777"/>
      <c r="N28" s="1684"/>
      <c r="O28" s="1777"/>
      <c r="P28" s="1684"/>
      <c r="Q28" s="2061"/>
      <c r="R28" s="2062"/>
      <c r="S28" s="2072">
        <f>IF(ISBLANK(L28),K28,L28)+IF(ISBLANK(N28),M28,N28)+IF(ISBLANK(P28),O28,P28)+Q27</f>
        <v>30.7</v>
      </c>
      <c r="T28" s="2073"/>
      <c r="U28" s="2052"/>
      <c r="V28" s="2055"/>
      <c r="W28" s="2088"/>
      <c r="X28" s="2085"/>
      <c r="Y28" s="2085"/>
      <c r="Z28" s="2085"/>
      <c r="AA28" s="2099"/>
      <c r="AB28" s="2099"/>
      <c r="AC28" s="2077"/>
      <c r="AD28" s="2100"/>
      <c r="AE28" s="2051"/>
      <c r="AF28" s="2115"/>
      <c r="AG28" s="761"/>
      <c r="AH28" s="784">
        <f>IF(ISBLANK(V27),U27,V27)</f>
        <v>1.4</v>
      </c>
      <c r="AI28" s="2104">
        <f t="shared" si="10"/>
        <v>0</v>
      </c>
      <c r="AJ28" s="2131"/>
      <c r="AK28" s="2133"/>
      <c r="AL28" s="2133"/>
      <c r="AM28" s="2314"/>
      <c r="AN28" s="323"/>
      <c r="AO28" s="323"/>
      <c r="AP28" s="323"/>
      <c r="AQ28" s="323"/>
      <c r="AR28" s="396"/>
      <c r="AS28" s="419">
        <v>1</v>
      </c>
      <c r="AT28" s="461">
        <f t="shared" ca="1" si="11"/>
        <v>1</v>
      </c>
      <c r="AU28" s="462">
        <f t="shared" ca="1" si="11"/>
        <v>1.014</v>
      </c>
      <c r="AV28" s="462">
        <f t="shared" ca="1" si="11"/>
        <v>1.028</v>
      </c>
      <c r="AW28" s="462">
        <f t="shared" ca="1" si="11"/>
        <v>1.042</v>
      </c>
      <c r="AX28" s="462">
        <f t="shared" ca="1" si="11"/>
        <v>1.056</v>
      </c>
      <c r="AY28" s="462">
        <f t="shared" ca="1" si="11"/>
        <v>1.07</v>
      </c>
      <c r="AZ28" s="462">
        <f t="shared" ca="1" si="11"/>
        <v>1.0840000000000001</v>
      </c>
      <c r="BA28" s="462">
        <f t="shared" ca="1" si="11"/>
        <v>1.0980000000000001</v>
      </c>
      <c r="BB28" s="462">
        <f t="shared" ca="1" si="11"/>
        <v>1.1120000000000001</v>
      </c>
      <c r="BC28" s="462">
        <f t="shared" ca="1" si="11"/>
        <v>1.1259999999999999</v>
      </c>
      <c r="BD28" s="462">
        <f t="shared" ca="1" si="12"/>
        <v>1.1400000000000001</v>
      </c>
      <c r="BE28" s="462">
        <f t="shared" ca="1" si="12"/>
        <v>1.1539999999999999</v>
      </c>
      <c r="BF28" s="462">
        <f t="shared" ca="1" si="12"/>
        <v>1.1679999999999999</v>
      </c>
      <c r="BG28" s="462">
        <f t="shared" ca="1" si="12"/>
        <v>1.1819999999999999</v>
      </c>
      <c r="BH28" s="462">
        <f t="shared" ca="1" si="12"/>
        <v>1.196</v>
      </c>
      <c r="BI28" s="462">
        <f t="shared" ca="1" si="12"/>
        <v>1.21</v>
      </c>
      <c r="BJ28" s="462">
        <f t="shared" ca="1" si="12"/>
        <v>1.224</v>
      </c>
      <c r="BK28" s="462">
        <f t="shared" ca="1" si="12"/>
        <v>1.238</v>
      </c>
      <c r="BL28" s="462">
        <f t="shared" ca="1" si="12"/>
        <v>1.252</v>
      </c>
      <c r="BM28" s="462">
        <f t="shared" ca="1" si="12"/>
        <v>1.266</v>
      </c>
      <c r="BN28" s="462">
        <f t="shared" ca="1" si="13"/>
        <v>1.28</v>
      </c>
      <c r="BO28" s="462">
        <f t="shared" ca="1" si="13"/>
        <v>1.294</v>
      </c>
      <c r="BP28" s="462">
        <f t="shared" ca="1" si="13"/>
        <v>1.3080000000000001</v>
      </c>
      <c r="BQ28" s="462">
        <f t="shared" ca="1" si="13"/>
        <v>1.3220000000000001</v>
      </c>
      <c r="BR28" s="462">
        <f t="shared" ca="1" si="13"/>
        <v>1.3359999999999999</v>
      </c>
      <c r="BS28" s="462">
        <f t="shared" ca="1" si="13"/>
        <v>1.35</v>
      </c>
      <c r="BT28" s="462">
        <f t="shared" ca="1" si="13"/>
        <v>1.3639999999999999</v>
      </c>
      <c r="BU28" s="462">
        <f t="shared" ca="1" si="13"/>
        <v>1.3779999999999999</v>
      </c>
      <c r="BV28" s="462">
        <f t="shared" ca="1" si="13"/>
        <v>1.3919999999999999</v>
      </c>
      <c r="BW28" s="462">
        <f t="shared" ca="1" si="13"/>
        <v>1.4059999999999999</v>
      </c>
      <c r="BX28" s="462">
        <f t="shared" ca="1" si="14"/>
        <v>1.42</v>
      </c>
      <c r="BY28" s="462">
        <f t="shared" ca="1" si="14"/>
        <v>1.4339999999999999</v>
      </c>
      <c r="BZ28" s="462">
        <f t="shared" ca="1" si="14"/>
        <v>1.448</v>
      </c>
      <c r="CA28" s="462">
        <f t="shared" ca="1" si="14"/>
        <v>1.462</v>
      </c>
      <c r="CB28" s="462">
        <f t="shared" ca="1" si="14"/>
        <v>1.476</v>
      </c>
      <c r="CC28" s="462">
        <f t="shared" ca="1" si="14"/>
        <v>1.49</v>
      </c>
      <c r="CD28" s="462">
        <f t="shared" ca="1" si="14"/>
        <v>1.504</v>
      </c>
      <c r="CE28" s="462">
        <f t="shared" ca="1" si="14"/>
        <v>1.518</v>
      </c>
      <c r="CF28" s="462">
        <f t="shared" ca="1" si="14"/>
        <v>1.532</v>
      </c>
      <c r="CG28" s="462">
        <f t="shared" ca="1" si="14"/>
        <v>1.5459999999999998</v>
      </c>
      <c r="CH28" s="462">
        <f t="shared" ca="1" si="15"/>
        <v>1.56</v>
      </c>
      <c r="CI28" s="462">
        <f t="shared" ca="1" si="15"/>
        <v>1.5739999999999998</v>
      </c>
      <c r="CJ28" s="462">
        <f t="shared" ca="1" si="15"/>
        <v>1.5880000000000001</v>
      </c>
      <c r="CK28" s="462">
        <f t="shared" ca="1" si="15"/>
        <v>1.6019999999999999</v>
      </c>
      <c r="CL28" s="462">
        <f t="shared" ca="1" si="15"/>
        <v>1.6160000000000001</v>
      </c>
      <c r="CM28" s="462">
        <f t="shared" ca="1" si="15"/>
        <v>1.63</v>
      </c>
      <c r="CN28" s="462">
        <f t="shared" ca="1" si="15"/>
        <v>1.6439999999999999</v>
      </c>
      <c r="CO28" s="462">
        <f t="shared" ca="1" si="15"/>
        <v>1.6579999999999999</v>
      </c>
      <c r="CP28" s="462">
        <f t="shared" ca="1" si="15"/>
        <v>1.6719999999999999</v>
      </c>
      <c r="CQ28" s="462">
        <f t="shared" ca="1" si="15"/>
        <v>1.6859999999999999</v>
      </c>
      <c r="CR28" s="463">
        <f t="shared" ca="1" si="15"/>
        <v>1.7</v>
      </c>
    </row>
    <row r="29" spans="1:96" s="250" customFormat="1" ht="11.25" customHeight="1" x14ac:dyDescent="0.2">
      <c r="A29" s="355"/>
      <c r="B29" s="356"/>
      <c r="C29" s="2032" t="s">
        <v>622</v>
      </c>
      <c r="D29" s="2032"/>
      <c r="E29" s="2032"/>
      <c r="F29" s="1685" t="s">
        <v>252</v>
      </c>
      <c r="G29" s="1685"/>
      <c r="H29" s="256"/>
      <c r="I29" s="2037"/>
      <c r="J29" s="2035"/>
      <c r="K29" s="1681">
        <v>8.5</v>
      </c>
      <c r="L29" s="1682"/>
      <c r="M29" s="1778"/>
      <c r="N29" s="1682"/>
      <c r="O29" s="1778"/>
      <c r="P29" s="1682"/>
      <c r="Q29" s="2063"/>
      <c r="R29" s="2064"/>
      <c r="S29" s="2057">
        <f>IF(ISBLANK(L29),K29,L29)+IF(ISBLANK(N29),M29,N29)+IF(ISBLANK(P29),O29,P29)+Q29</f>
        <v>8.5</v>
      </c>
      <c r="T29" s="2058"/>
      <c r="U29" s="2056">
        <v>1.4</v>
      </c>
      <c r="V29" s="2071"/>
      <c r="W29" s="2088"/>
      <c r="X29" s="2085"/>
      <c r="Y29" s="2085"/>
      <c r="Z29" s="2085"/>
      <c r="AA29" s="2099"/>
      <c r="AB29" s="2099"/>
      <c r="AC29" s="2077"/>
      <c r="AD29" s="2077"/>
      <c r="AE29" s="2051"/>
      <c r="AF29" s="2115"/>
      <c r="AG29" s="761"/>
      <c r="AH29" s="785">
        <f t="shared" si="8"/>
        <v>1.4</v>
      </c>
      <c r="AI29" s="2316">
        <f t="shared" si="10"/>
        <v>0</v>
      </c>
      <c r="AJ29" s="2130">
        <f>S29</f>
        <v>8.5</v>
      </c>
      <c r="AK29" s="2132">
        <f>S30</f>
        <v>4.45</v>
      </c>
      <c r="AL29" s="2132">
        <f>S29</f>
        <v>8.5</v>
      </c>
      <c r="AM29" s="2313">
        <f>S30</f>
        <v>4.45</v>
      </c>
      <c r="AN29" s="323"/>
      <c r="AO29" s="323"/>
      <c r="AP29" s="323"/>
      <c r="AQ29" s="323"/>
      <c r="AR29" s="396"/>
      <c r="AS29" s="418">
        <v>1</v>
      </c>
      <c r="AT29" s="464">
        <f t="shared" ref="AT29:BC38" ca="1" si="17">IF(OR(ISBLANK($S29),$S29=0),0,(1+(AT$10-$AT$10)*$AH29/100))</f>
        <v>1</v>
      </c>
      <c r="AU29" s="465">
        <f t="shared" ca="1" si="17"/>
        <v>1.014</v>
      </c>
      <c r="AV29" s="465">
        <f t="shared" ca="1" si="17"/>
        <v>1.028</v>
      </c>
      <c r="AW29" s="465">
        <f t="shared" ca="1" si="17"/>
        <v>1.042</v>
      </c>
      <c r="AX29" s="465">
        <f t="shared" ca="1" si="17"/>
        <v>1.056</v>
      </c>
      <c r="AY29" s="465">
        <f t="shared" ca="1" si="17"/>
        <v>1.07</v>
      </c>
      <c r="AZ29" s="465">
        <f t="shared" ca="1" si="17"/>
        <v>1.0840000000000001</v>
      </c>
      <c r="BA29" s="465">
        <f t="shared" ca="1" si="17"/>
        <v>1.0980000000000001</v>
      </c>
      <c r="BB29" s="465">
        <f t="shared" ca="1" si="17"/>
        <v>1.1120000000000001</v>
      </c>
      <c r="BC29" s="465">
        <f t="shared" ca="1" si="17"/>
        <v>1.1259999999999999</v>
      </c>
      <c r="BD29" s="465">
        <f t="shared" ref="BD29:BM38" ca="1" si="18">IF(OR(ISBLANK($S29),$S29=0),0,(1+(BD$10-$AT$10)*$AH29/100))</f>
        <v>1.1400000000000001</v>
      </c>
      <c r="BE29" s="465">
        <f t="shared" ca="1" si="18"/>
        <v>1.1539999999999999</v>
      </c>
      <c r="BF29" s="465">
        <f t="shared" ca="1" si="18"/>
        <v>1.1679999999999999</v>
      </c>
      <c r="BG29" s="465">
        <f t="shared" ca="1" si="18"/>
        <v>1.1819999999999999</v>
      </c>
      <c r="BH29" s="465">
        <f t="shared" ca="1" si="18"/>
        <v>1.196</v>
      </c>
      <c r="BI29" s="465">
        <f t="shared" ca="1" si="18"/>
        <v>1.21</v>
      </c>
      <c r="BJ29" s="465">
        <f t="shared" ca="1" si="18"/>
        <v>1.224</v>
      </c>
      <c r="BK29" s="465">
        <f t="shared" ca="1" si="18"/>
        <v>1.238</v>
      </c>
      <c r="BL29" s="465">
        <f t="shared" ca="1" si="18"/>
        <v>1.252</v>
      </c>
      <c r="BM29" s="465">
        <f t="shared" ca="1" si="18"/>
        <v>1.266</v>
      </c>
      <c r="BN29" s="465">
        <f t="shared" ref="BN29:BW38" ca="1" si="19">IF(OR(ISBLANK($S29),$S29=0),0,(1+(BN$10-$AT$10)*$AH29/100))</f>
        <v>1.28</v>
      </c>
      <c r="BO29" s="465">
        <f t="shared" ca="1" si="19"/>
        <v>1.294</v>
      </c>
      <c r="BP29" s="465">
        <f t="shared" ca="1" si="19"/>
        <v>1.3080000000000001</v>
      </c>
      <c r="BQ29" s="465">
        <f t="shared" ca="1" si="19"/>
        <v>1.3220000000000001</v>
      </c>
      <c r="BR29" s="465">
        <f t="shared" ca="1" si="19"/>
        <v>1.3359999999999999</v>
      </c>
      <c r="BS29" s="465">
        <f t="shared" ca="1" si="19"/>
        <v>1.35</v>
      </c>
      <c r="BT29" s="465">
        <f t="shared" ca="1" si="19"/>
        <v>1.3639999999999999</v>
      </c>
      <c r="BU29" s="465">
        <f t="shared" ca="1" si="19"/>
        <v>1.3779999999999999</v>
      </c>
      <c r="BV29" s="465">
        <f t="shared" ca="1" si="19"/>
        <v>1.3919999999999999</v>
      </c>
      <c r="BW29" s="465">
        <f t="shared" ca="1" si="19"/>
        <v>1.4059999999999999</v>
      </c>
      <c r="BX29" s="465">
        <f t="shared" ref="BX29:CG38" ca="1" si="20">IF(OR(ISBLANK($S29),$S29=0),0,(1+(BX$10-$AT$10)*$AH29/100))</f>
        <v>1.42</v>
      </c>
      <c r="BY29" s="465">
        <f t="shared" ca="1" si="20"/>
        <v>1.4339999999999999</v>
      </c>
      <c r="BZ29" s="465">
        <f t="shared" ca="1" si="20"/>
        <v>1.448</v>
      </c>
      <c r="CA29" s="465">
        <f t="shared" ca="1" si="20"/>
        <v>1.462</v>
      </c>
      <c r="CB29" s="465">
        <f t="shared" ca="1" si="20"/>
        <v>1.476</v>
      </c>
      <c r="CC29" s="465">
        <f t="shared" ca="1" si="20"/>
        <v>1.49</v>
      </c>
      <c r="CD29" s="465">
        <f t="shared" ca="1" si="20"/>
        <v>1.504</v>
      </c>
      <c r="CE29" s="465">
        <f t="shared" ca="1" si="20"/>
        <v>1.518</v>
      </c>
      <c r="CF29" s="465">
        <f t="shared" ca="1" si="20"/>
        <v>1.532</v>
      </c>
      <c r="CG29" s="465">
        <f t="shared" ca="1" si="20"/>
        <v>1.5459999999999998</v>
      </c>
      <c r="CH29" s="465">
        <f t="shared" ref="CH29:CR38" ca="1" si="21">IF(OR(ISBLANK($S29),$S29=0),0,(1+(CH$10-$AT$10)*$AH29/100))</f>
        <v>1.56</v>
      </c>
      <c r="CI29" s="465">
        <f t="shared" ca="1" si="21"/>
        <v>1.5739999999999998</v>
      </c>
      <c r="CJ29" s="465">
        <f t="shared" ca="1" si="21"/>
        <v>1.5880000000000001</v>
      </c>
      <c r="CK29" s="465">
        <f t="shared" ca="1" si="21"/>
        <v>1.6019999999999999</v>
      </c>
      <c r="CL29" s="465">
        <f t="shared" ca="1" si="21"/>
        <v>1.6160000000000001</v>
      </c>
      <c r="CM29" s="465">
        <f t="shared" ca="1" si="21"/>
        <v>1.63</v>
      </c>
      <c r="CN29" s="465">
        <f t="shared" ca="1" si="21"/>
        <v>1.6439999999999999</v>
      </c>
      <c r="CO29" s="465">
        <f t="shared" ca="1" si="21"/>
        <v>1.6579999999999999</v>
      </c>
      <c r="CP29" s="465">
        <f t="shared" ca="1" si="21"/>
        <v>1.6719999999999999</v>
      </c>
      <c r="CQ29" s="465">
        <f t="shared" ca="1" si="21"/>
        <v>1.6859999999999999</v>
      </c>
      <c r="CR29" s="466">
        <f t="shared" ca="1" si="21"/>
        <v>1.7</v>
      </c>
    </row>
    <row r="30" spans="1:96" s="250" customFormat="1" ht="11.25" customHeight="1" x14ac:dyDescent="0.2">
      <c r="A30" s="355"/>
      <c r="B30" s="356"/>
      <c r="C30" s="2033"/>
      <c r="D30" s="2033"/>
      <c r="E30" s="2033"/>
      <c r="F30" s="553" t="s">
        <v>253</v>
      </c>
      <c r="G30" s="553"/>
      <c r="H30" s="255"/>
      <c r="I30" s="2038"/>
      <c r="J30" s="2036"/>
      <c r="K30" s="1683">
        <v>4.45</v>
      </c>
      <c r="L30" s="1684"/>
      <c r="M30" s="1777"/>
      <c r="N30" s="1684"/>
      <c r="O30" s="1777"/>
      <c r="P30" s="1684"/>
      <c r="Q30" s="2065"/>
      <c r="R30" s="2066"/>
      <c r="S30" s="2072">
        <f>IF(ISBLANK(L30),K30,L30)+IF(ISBLANK(N30),M30,N30)+IF(ISBLANK(P30),O30,P30)+Q29</f>
        <v>4.45</v>
      </c>
      <c r="T30" s="2073"/>
      <c r="U30" s="2052"/>
      <c r="V30" s="2055"/>
      <c r="W30" s="2088"/>
      <c r="X30" s="2085"/>
      <c r="Y30" s="2085"/>
      <c r="Z30" s="2085"/>
      <c r="AA30" s="2099"/>
      <c r="AB30" s="2099"/>
      <c r="AC30" s="2077"/>
      <c r="AD30" s="2077"/>
      <c r="AE30" s="2051"/>
      <c r="AF30" s="2115"/>
      <c r="AG30" s="761"/>
      <c r="AH30" s="784">
        <f>IF(ISBLANK(V29),U29,V29)</f>
        <v>1.4</v>
      </c>
      <c r="AI30" s="2103"/>
      <c r="AJ30" s="2131"/>
      <c r="AK30" s="2133"/>
      <c r="AL30" s="2133"/>
      <c r="AM30" s="2314"/>
      <c r="AN30" s="323"/>
      <c r="AO30" s="323"/>
      <c r="AP30" s="323"/>
      <c r="AQ30" s="323"/>
      <c r="AR30" s="396"/>
      <c r="AS30" s="419">
        <v>1</v>
      </c>
      <c r="AT30" s="461">
        <f t="shared" ca="1" si="17"/>
        <v>1</v>
      </c>
      <c r="AU30" s="462">
        <f t="shared" ca="1" si="17"/>
        <v>1.014</v>
      </c>
      <c r="AV30" s="462">
        <f t="shared" ca="1" si="17"/>
        <v>1.028</v>
      </c>
      <c r="AW30" s="462">
        <f t="shared" ca="1" si="17"/>
        <v>1.042</v>
      </c>
      <c r="AX30" s="462">
        <f t="shared" ca="1" si="17"/>
        <v>1.056</v>
      </c>
      <c r="AY30" s="462">
        <f t="shared" ca="1" si="17"/>
        <v>1.07</v>
      </c>
      <c r="AZ30" s="462">
        <f t="shared" ca="1" si="17"/>
        <v>1.0840000000000001</v>
      </c>
      <c r="BA30" s="462">
        <f t="shared" ca="1" si="17"/>
        <v>1.0980000000000001</v>
      </c>
      <c r="BB30" s="462">
        <f t="shared" ca="1" si="17"/>
        <v>1.1120000000000001</v>
      </c>
      <c r="BC30" s="462">
        <f t="shared" ca="1" si="17"/>
        <v>1.1259999999999999</v>
      </c>
      <c r="BD30" s="462">
        <f t="shared" ca="1" si="18"/>
        <v>1.1400000000000001</v>
      </c>
      <c r="BE30" s="462">
        <f t="shared" ca="1" si="18"/>
        <v>1.1539999999999999</v>
      </c>
      <c r="BF30" s="462">
        <f t="shared" ca="1" si="18"/>
        <v>1.1679999999999999</v>
      </c>
      <c r="BG30" s="462">
        <f t="shared" ca="1" si="18"/>
        <v>1.1819999999999999</v>
      </c>
      <c r="BH30" s="462">
        <f t="shared" ca="1" si="18"/>
        <v>1.196</v>
      </c>
      <c r="BI30" s="462">
        <f t="shared" ca="1" si="18"/>
        <v>1.21</v>
      </c>
      <c r="BJ30" s="462">
        <f t="shared" ca="1" si="18"/>
        <v>1.224</v>
      </c>
      <c r="BK30" s="462">
        <f t="shared" ca="1" si="18"/>
        <v>1.238</v>
      </c>
      <c r="BL30" s="462">
        <f t="shared" ca="1" si="18"/>
        <v>1.252</v>
      </c>
      <c r="BM30" s="462">
        <f t="shared" ca="1" si="18"/>
        <v>1.266</v>
      </c>
      <c r="BN30" s="462">
        <f t="shared" ca="1" si="19"/>
        <v>1.28</v>
      </c>
      <c r="BO30" s="462">
        <f t="shared" ca="1" si="19"/>
        <v>1.294</v>
      </c>
      <c r="BP30" s="462">
        <f t="shared" ca="1" si="19"/>
        <v>1.3080000000000001</v>
      </c>
      <c r="BQ30" s="462">
        <f t="shared" ca="1" si="19"/>
        <v>1.3220000000000001</v>
      </c>
      <c r="BR30" s="462">
        <f t="shared" ca="1" si="19"/>
        <v>1.3359999999999999</v>
      </c>
      <c r="BS30" s="462">
        <f t="shared" ca="1" si="19"/>
        <v>1.35</v>
      </c>
      <c r="BT30" s="462">
        <f t="shared" ca="1" si="19"/>
        <v>1.3639999999999999</v>
      </c>
      <c r="BU30" s="462">
        <f t="shared" ca="1" si="19"/>
        <v>1.3779999999999999</v>
      </c>
      <c r="BV30" s="462">
        <f t="shared" ca="1" si="19"/>
        <v>1.3919999999999999</v>
      </c>
      <c r="BW30" s="462">
        <f t="shared" ca="1" si="19"/>
        <v>1.4059999999999999</v>
      </c>
      <c r="BX30" s="462">
        <f t="shared" ca="1" si="20"/>
        <v>1.42</v>
      </c>
      <c r="BY30" s="462">
        <f t="shared" ca="1" si="20"/>
        <v>1.4339999999999999</v>
      </c>
      <c r="BZ30" s="462">
        <f t="shared" ca="1" si="20"/>
        <v>1.448</v>
      </c>
      <c r="CA30" s="462">
        <f t="shared" ca="1" si="20"/>
        <v>1.462</v>
      </c>
      <c r="CB30" s="462">
        <f t="shared" ca="1" si="20"/>
        <v>1.476</v>
      </c>
      <c r="CC30" s="462">
        <f t="shared" ca="1" si="20"/>
        <v>1.49</v>
      </c>
      <c r="CD30" s="462">
        <f t="shared" ca="1" si="20"/>
        <v>1.504</v>
      </c>
      <c r="CE30" s="462">
        <f t="shared" ca="1" si="20"/>
        <v>1.518</v>
      </c>
      <c r="CF30" s="462">
        <f t="shared" ca="1" si="20"/>
        <v>1.532</v>
      </c>
      <c r="CG30" s="462">
        <f t="shared" ca="1" si="20"/>
        <v>1.5459999999999998</v>
      </c>
      <c r="CH30" s="462">
        <f t="shared" ca="1" si="21"/>
        <v>1.56</v>
      </c>
      <c r="CI30" s="462">
        <f t="shared" ca="1" si="21"/>
        <v>1.5739999999999998</v>
      </c>
      <c r="CJ30" s="462">
        <f t="shared" ca="1" si="21"/>
        <v>1.5880000000000001</v>
      </c>
      <c r="CK30" s="462">
        <f t="shared" ca="1" si="21"/>
        <v>1.6019999999999999</v>
      </c>
      <c r="CL30" s="462">
        <f t="shared" ca="1" si="21"/>
        <v>1.6160000000000001</v>
      </c>
      <c r="CM30" s="462">
        <f t="shared" ca="1" si="21"/>
        <v>1.63</v>
      </c>
      <c r="CN30" s="462">
        <f t="shared" ca="1" si="21"/>
        <v>1.6439999999999999</v>
      </c>
      <c r="CO30" s="462">
        <f t="shared" ca="1" si="21"/>
        <v>1.6579999999999999</v>
      </c>
      <c r="CP30" s="462">
        <f t="shared" ca="1" si="21"/>
        <v>1.6719999999999999</v>
      </c>
      <c r="CQ30" s="462">
        <f t="shared" ca="1" si="21"/>
        <v>1.6859999999999999</v>
      </c>
      <c r="CR30" s="463">
        <f t="shared" ca="1" si="21"/>
        <v>1.7</v>
      </c>
    </row>
    <row r="31" spans="1:96" s="357" customFormat="1" ht="11.25" customHeight="1" x14ac:dyDescent="0.2">
      <c r="A31" s="355"/>
      <c r="B31" s="356"/>
      <c r="C31" s="2032" t="s">
        <v>621</v>
      </c>
      <c r="D31" s="2032"/>
      <c r="E31" s="2032"/>
      <c r="F31" s="1685" t="s">
        <v>252</v>
      </c>
      <c r="G31" s="1685"/>
      <c r="H31" s="256"/>
      <c r="I31" s="2037"/>
      <c r="J31" s="2035"/>
      <c r="K31" s="1681">
        <v>8.5</v>
      </c>
      <c r="L31" s="1682"/>
      <c r="M31" s="1778"/>
      <c r="N31" s="1682"/>
      <c r="O31" s="1778"/>
      <c r="P31" s="1682"/>
      <c r="Q31" s="2063"/>
      <c r="R31" s="2064"/>
      <c r="S31" s="2057">
        <f>IF(ISBLANK(L31),K31,L31)+IF(ISBLANK(N31),M31,N31)+IF(ISBLANK(P31),O31,P31)+Q31</f>
        <v>8.5</v>
      </c>
      <c r="T31" s="2058"/>
      <c r="U31" s="2056">
        <v>1.4</v>
      </c>
      <c r="V31" s="2071"/>
      <c r="W31" s="2088"/>
      <c r="X31" s="2085"/>
      <c r="Y31" s="2085"/>
      <c r="Z31" s="2085"/>
      <c r="AA31" s="2099"/>
      <c r="AB31" s="2099"/>
      <c r="AC31" s="2077"/>
      <c r="AD31" s="2077"/>
      <c r="AE31" s="2051"/>
      <c r="AF31" s="2115"/>
      <c r="AG31" s="761"/>
      <c r="AH31" s="785">
        <f t="shared" si="8"/>
        <v>1.4</v>
      </c>
      <c r="AI31" s="774"/>
      <c r="AJ31" s="2130">
        <f>S31</f>
        <v>8.5</v>
      </c>
      <c r="AK31" s="2132">
        <f>S32</f>
        <v>4.45</v>
      </c>
      <c r="AL31" s="2132">
        <f>S31</f>
        <v>8.5</v>
      </c>
      <c r="AM31" s="2313">
        <f>S32</f>
        <v>4.45</v>
      </c>
      <c r="AN31" s="323"/>
      <c r="AO31" s="323"/>
      <c r="AP31" s="323"/>
      <c r="AQ31" s="323"/>
      <c r="AR31" s="396"/>
      <c r="AS31" s="418">
        <v>1</v>
      </c>
      <c r="AT31" s="464">
        <f t="shared" ca="1" si="17"/>
        <v>1</v>
      </c>
      <c r="AU31" s="465">
        <f t="shared" ca="1" si="17"/>
        <v>1.014</v>
      </c>
      <c r="AV31" s="465">
        <f t="shared" ca="1" si="17"/>
        <v>1.028</v>
      </c>
      <c r="AW31" s="465">
        <f t="shared" ca="1" si="17"/>
        <v>1.042</v>
      </c>
      <c r="AX31" s="465">
        <f t="shared" ca="1" si="17"/>
        <v>1.056</v>
      </c>
      <c r="AY31" s="465">
        <f t="shared" ca="1" si="17"/>
        <v>1.07</v>
      </c>
      <c r="AZ31" s="465">
        <f t="shared" ca="1" si="17"/>
        <v>1.0840000000000001</v>
      </c>
      <c r="BA31" s="465">
        <f t="shared" ca="1" si="17"/>
        <v>1.0980000000000001</v>
      </c>
      <c r="BB31" s="465">
        <f t="shared" ca="1" si="17"/>
        <v>1.1120000000000001</v>
      </c>
      <c r="BC31" s="465">
        <f t="shared" ca="1" si="17"/>
        <v>1.1259999999999999</v>
      </c>
      <c r="BD31" s="465">
        <f t="shared" ca="1" si="18"/>
        <v>1.1400000000000001</v>
      </c>
      <c r="BE31" s="465">
        <f t="shared" ca="1" si="18"/>
        <v>1.1539999999999999</v>
      </c>
      <c r="BF31" s="465">
        <f t="shared" ca="1" si="18"/>
        <v>1.1679999999999999</v>
      </c>
      <c r="BG31" s="465">
        <f t="shared" ca="1" si="18"/>
        <v>1.1819999999999999</v>
      </c>
      <c r="BH31" s="465">
        <f t="shared" ca="1" si="18"/>
        <v>1.196</v>
      </c>
      <c r="BI31" s="465">
        <f t="shared" ca="1" si="18"/>
        <v>1.21</v>
      </c>
      <c r="BJ31" s="465">
        <f t="shared" ca="1" si="18"/>
        <v>1.224</v>
      </c>
      <c r="BK31" s="465">
        <f t="shared" ca="1" si="18"/>
        <v>1.238</v>
      </c>
      <c r="BL31" s="465">
        <f t="shared" ca="1" si="18"/>
        <v>1.252</v>
      </c>
      <c r="BM31" s="465">
        <f t="shared" ca="1" si="18"/>
        <v>1.266</v>
      </c>
      <c r="BN31" s="465">
        <f t="shared" ca="1" si="19"/>
        <v>1.28</v>
      </c>
      <c r="BO31" s="465">
        <f t="shared" ca="1" si="19"/>
        <v>1.294</v>
      </c>
      <c r="BP31" s="465">
        <f t="shared" ca="1" si="19"/>
        <v>1.3080000000000001</v>
      </c>
      <c r="BQ31" s="465">
        <f t="shared" ca="1" si="19"/>
        <v>1.3220000000000001</v>
      </c>
      <c r="BR31" s="465">
        <f t="shared" ca="1" si="19"/>
        <v>1.3359999999999999</v>
      </c>
      <c r="BS31" s="465">
        <f t="shared" ca="1" si="19"/>
        <v>1.35</v>
      </c>
      <c r="BT31" s="465">
        <f t="shared" ca="1" si="19"/>
        <v>1.3639999999999999</v>
      </c>
      <c r="BU31" s="465">
        <f t="shared" ca="1" si="19"/>
        <v>1.3779999999999999</v>
      </c>
      <c r="BV31" s="465">
        <f t="shared" ca="1" si="19"/>
        <v>1.3919999999999999</v>
      </c>
      <c r="BW31" s="465">
        <f t="shared" ca="1" si="19"/>
        <v>1.4059999999999999</v>
      </c>
      <c r="BX31" s="465">
        <f t="shared" ca="1" si="20"/>
        <v>1.42</v>
      </c>
      <c r="BY31" s="465">
        <f t="shared" ca="1" si="20"/>
        <v>1.4339999999999999</v>
      </c>
      <c r="BZ31" s="465">
        <f t="shared" ca="1" si="20"/>
        <v>1.448</v>
      </c>
      <c r="CA31" s="465">
        <f t="shared" ca="1" si="20"/>
        <v>1.462</v>
      </c>
      <c r="CB31" s="465">
        <f t="shared" ca="1" si="20"/>
        <v>1.476</v>
      </c>
      <c r="CC31" s="465">
        <f t="shared" ca="1" si="20"/>
        <v>1.49</v>
      </c>
      <c r="CD31" s="465">
        <f t="shared" ca="1" si="20"/>
        <v>1.504</v>
      </c>
      <c r="CE31" s="465">
        <f t="shared" ca="1" si="20"/>
        <v>1.518</v>
      </c>
      <c r="CF31" s="465">
        <f t="shared" ca="1" si="20"/>
        <v>1.532</v>
      </c>
      <c r="CG31" s="465">
        <f t="shared" ca="1" si="20"/>
        <v>1.5459999999999998</v>
      </c>
      <c r="CH31" s="465">
        <f t="shared" ca="1" si="21"/>
        <v>1.56</v>
      </c>
      <c r="CI31" s="465">
        <f t="shared" ca="1" si="21"/>
        <v>1.5739999999999998</v>
      </c>
      <c r="CJ31" s="465">
        <f t="shared" ca="1" si="21"/>
        <v>1.5880000000000001</v>
      </c>
      <c r="CK31" s="465">
        <f t="shared" ca="1" si="21"/>
        <v>1.6019999999999999</v>
      </c>
      <c r="CL31" s="465">
        <f t="shared" ca="1" si="21"/>
        <v>1.6160000000000001</v>
      </c>
      <c r="CM31" s="465">
        <f t="shared" ca="1" si="21"/>
        <v>1.63</v>
      </c>
      <c r="CN31" s="465">
        <f t="shared" ca="1" si="21"/>
        <v>1.6439999999999999</v>
      </c>
      <c r="CO31" s="465">
        <f t="shared" ca="1" si="21"/>
        <v>1.6579999999999999</v>
      </c>
      <c r="CP31" s="465">
        <f t="shared" ca="1" si="21"/>
        <v>1.6719999999999999</v>
      </c>
      <c r="CQ31" s="465">
        <f t="shared" ca="1" si="21"/>
        <v>1.6859999999999999</v>
      </c>
      <c r="CR31" s="466">
        <f t="shared" ca="1" si="21"/>
        <v>1.7</v>
      </c>
    </row>
    <row r="32" spans="1:96" s="357" customFormat="1" ht="11.25" customHeight="1" x14ac:dyDescent="0.2">
      <c r="A32" s="355"/>
      <c r="B32" s="356"/>
      <c r="C32" s="2033"/>
      <c r="D32" s="2033"/>
      <c r="E32" s="2033"/>
      <c r="F32" s="553" t="s">
        <v>253</v>
      </c>
      <c r="G32" s="553"/>
      <c r="H32" s="255"/>
      <c r="I32" s="2038"/>
      <c r="J32" s="2036"/>
      <c r="K32" s="1683">
        <v>4.45</v>
      </c>
      <c r="L32" s="1684"/>
      <c r="M32" s="1777"/>
      <c r="N32" s="1684"/>
      <c r="O32" s="1777"/>
      <c r="P32" s="1684"/>
      <c r="Q32" s="2065"/>
      <c r="R32" s="2066"/>
      <c r="S32" s="2072">
        <f>IF(ISBLANK(L32),K32,L32)+IF(ISBLANK(N32),M32,N32)+IF(ISBLANK(P32),O32,P32)+Q31</f>
        <v>4.45</v>
      </c>
      <c r="T32" s="2073"/>
      <c r="U32" s="2052"/>
      <c r="V32" s="2055"/>
      <c r="W32" s="2088"/>
      <c r="X32" s="2085"/>
      <c r="Y32" s="2085"/>
      <c r="Z32" s="2085"/>
      <c r="AA32" s="2099"/>
      <c r="AB32" s="2099"/>
      <c r="AC32" s="2077"/>
      <c r="AD32" s="2077"/>
      <c r="AE32" s="2051"/>
      <c r="AF32" s="2115"/>
      <c r="AG32" s="761"/>
      <c r="AH32" s="784">
        <f>IF(ISBLANK(V31),U31,V31)</f>
        <v>1.4</v>
      </c>
      <c r="AI32" s="774"/>
      <c r="AJ32" s="2131"/>
      <c r="AK32" s="2133"/>
      <c r="AL32" s="2133"/>
      <c r="AM32" s="2314"/>
      <c r="AN32" s="323"/>
      <c r="AO32" s="323"/>
      <c r="AP32" s="323"/>
      <c r="AQ32" s="323"/>
      <c r="AR32" s="396"/>
      <c r="AS32" s="419">
        <v>1</v>
      </c>
      <c r="AT32" s="461">
        <f t="shared" ca="1" si="17"/>
        <v>1</v>
      </c>
      <c r="AU32" s="462">
        <f t="shared" ca="1" si="17"/>
        <v>1.014</v>
      </c>
      <c r="AV32" s="462">
        <f t="shared" ca="1" si="17"/>
        <v>1.028</v>
      </c>
      <c r="AW32" s="462">
        <f t="shared" ca="1" si="17"/>
        <v>1.042</v>
      </c>
      <c r="AX32" s="462">
        <f t="shared" ca="1" si="17"/>
        <v>1.056</v>
      </c>
      <c r="AY32" s="462">
        <f t="shared" ca="1" si="17"/>
        <v>1.07</v>
      </c>
      <c r="AZ32" s="462">
        <f t="shared" ca="1" si="17"/>
        <v>1.0840000000000001</v>
      </c>
      <c r="BA32" s="462">
        <f t="shared" ca="1" si="17"/>
        <v>1.0980000000000001</v>
      </c>
      <c r="BB32" s="462">
        <f t="shared" ca="1" si="17"/>
        <v>1.1120000000000001</v>
      </c>
      <c r="BC32" s="462">
        <f t="shared" ca="1" si="17"/>
        <v>1.1259999999999999</v>
      </c>
      <c r="BD32" s="462">
        <f t="shared" ca="1" si="18"/>
        <v>1.1400000000000001</v>
      </c>
      <c r="BE32" s="462">
        <f t="shared" ca="1" si="18"/>
        <v>1.1539999999999999</v>
      </c>
      <c r="BF32" s="462">
        <f t="shared" ca="1" si="18"/>
        <v>1.1679999999999999</v>
      </c>
      <c r="BG32" s="462">
        <f t="shared" ca="1" si="18"/>
        <v>1.1819999999999999</v>
      </c>
      <c r="BH32" s="462">
        <f t="shared" ca="1" si="18"/>
        <v>1.196</v>
      </c>
      <c r="BI32" s="462">
        <f t="shared" ca="1" si="18"/>
        <v>1.21</v>
      </c>
      <c r="BJ32" s="462">
        <f t="shared" ca="1" si="18"/>
        <v>1.224</v>
      </c>
      <c r="BK32" s="462">
        <f t="shared" ca="1" si="18"/>
        <v>1.238</v>
      </c>
      <c r="BL32" s="462">
        <f t="shared" ca="1" si="18"/>
        <v>1.252</v>
      </c>
      <c r="BM32" s="462">
        <f t="shared" ca="1" si="18"/>
        <v>1.266</v>
      </c>
      <c r="BN32" s="462">
        <f t="shared" ca="1" si="19"/>
        <v>1.28</v>
      </c>
      <c r="BO32" s="462">
        <f t="shared" ca="1" si="19"/>
        <v>1.294</v>
      </c>
      <c r="BP32" s="462">
        <f t="shared" ca="1" si="19"/>
        <v>1.3080000000000001</v>
      </c>
      <c r="BQ32" s="462">
        <f t="shared" ca="1" si="19"/>
        <v>1.3220000000000001</v>
      </c>
      <c r="BR32" s="462">
        <f t="shared" ca="1" si="19"/>
        <v>1.3359999999999999</v>
      </c>
      <c r="BS32" s="462">
        <f t="shared" ca="1" si="19"/>
        <v>1.35</v>
      </c>
      <c r="BT32" s="462">
        <f t="shared" ca="1" si="19"/>
        <v>1.3639999999999999</v>
      </c>
      <c r="BU32" s="462">
        <f t="shared" ca="1" si="19"/>
        <v>1.3779999999999999</v>
      </c>
      <c r="BV32" s="462">
        <f t="shared" ca="1" si="19"/>
        <v>1.3919999999999999</v>
      </c>
      <c r="BW32" s="462">
        <f t="shared" ca="1" si="19"/>
        <v>1.4059999999999999</v>
      </c>
      <c r="BX32" s="462">
        <f t="shared" ca="1" si="20"/>
        <v>1.42</v>
      </c>
      <c r="BY32" s="462">
        <f t="shared" ca="1" si="20"/>
        <v>1.4339999999999999</v>
      </c>
      <c r="BZ32" s="462">
        <f t="shared" ca="1" si="20"/>
        <v>1.448</v>
      </c>
      <c r="CA32" s="462">
        <f t="shared" ca="1" si="20"/>
        <v>1.462</v>
      </c>
      <c r="CB32" s="462">
        <f t="shared" ca="1" si="20"/>
        <v>1.476</v>
      </c>
      <c r="CC32" s="462">
        <f t="shared" ca="1" si="20"/>
        <v>1.49</v>
      </c>
      <c r="CD32" s="462">
        <f t="shared" ca="1" si="20"/>
        <v>1.504</v>
      </c>
      <c r="CE32" s="462">
        <f t="shared" ca="1" si="20"/>
        <v>1.518</v>
      </c>
      <c r="CF32" s="462">
        <f t="shared" ca="1" si="20"/>
        <v>1.532</v>
      </c>
      <c r="CG32" s="462">
        <f t="shared" ca="1" si="20"/>
        <v>1.5459999999999998</v>
      </c>
      <c r="CH32" s="462">
        <f t="shared" ca="1" si="21"/>
        <v>1.56</v>
      </c>
      <c r="CI32" s="462">
        <f t="shared" ca="1" si="21"/>
        <v>1.5739999999999998</v>
      </c>
      <c r="CJ32" s="462">
        <f t="shared" ca="1" si="21"/>
        <v>1.5880000000000001</v>
      </c>
      <c r="CK32" s="462">
        <f t="shared" ca="1" si="21"/>
        <v>1.6019999999999999</v>
      </c>
      <c r="CL32" s="462">
        <f t="shared" ca="1" si="21"/>
        <v>1.6160000000000001</v>
      </c>
      <c r="CM32" s="462">
        <f t="shared" ca="1" si="21"/>
        <v>1.63</v>
      </c>
      <c r="CN32" s="462">
        <f t="shared" ca="1" si="21"/>
        <v>1.6439999999999999</v>
      </c>
      <c r="CO32" s="462">
        <f t="shared" ca="1" si="21"/>
        <v>1.6579999999999999</v>
      </c>
      <c r="CP32" s="462">
        <f t="shared" ca="1" si="21"/>
        <v>1.6719999999999999</v>
      </c>
      <c r="CQ32" s="462">
        <f t="shared" ca="1" si="21"/>
        <v>1.6859999999999999</v>
      </c>
      <c r="CR32" s="463">
        <f t="shared" ca="1" si="21"/>
        <v>1.7</v>
      </c>
    </row>
    <row r="33" spans="1:96" s="788" customFormat="1" ht="11.25" customHeight="1" x14ac:dyDescent="0.2">
      <c r="A33" s="1346"/>
      <c r="B33" s="1347"/>
      <c r="C33" s="2039" t="s">
        <v>612</v>
      </c>
      <c r="D33" s="2039"/>
      <c r="E33" s="2039"/>
      <c r="F33" s="254" t="s">
        <v>252</v>
      </c>
      <c r="G33" s="254"/>
      <c r="H33" s="1677"/>
      <c r="I33" s="2024"/>
      <c r="J33" s="2025"/>
      <c r="K33" s="2022"/>
      <c r="L33" s="2023"/>
      <c r="M33" s="2022"/>
      <c r="N33" s="2023"/>
      <c r="O33" s="2022"/>
      <c r="P33" s="2023"/>
      <c r="Q33" s="2045"/>
      <c r="R33" s="2025"/>
      <c r="S33" s="2067">
        <f>IF(ISBLANK(L33),K33,L33)+IF(ISBLANK(N33),M33,N33)+IF(ISBLANK(P33),O33,P33)+Q33</f>
        <v>0</v>
      </c>
      <c r="T33" s="2068"/>
      <c r="U33" s="2056">
        <v>1.4</v>
      </c>
      <c r="V33" s="2071"/>
      <c r="W33" s="2118"/>
      <c r="X33" s="2106"/>
      <c r="Y33" s="2106"/>
      <c r="Z33" s="2106"/>
      <c r="AA33" s="2108"/>
      <c r="AB33" s="2108"/>
      <c r="AC33" s="2110"/>
      <c r="AD33" s="2111"/>
      <c r="AE33" s="2051"/>
      <c r="AF33" s="2115"/>
      <c r="AG33" s="761"/>
      <c r="AH33" s="785">
        <f t="shared" si="8"/>
        <v>1.4</v>
      </c>
      <c r="AI33" s="2104">
        <f>IF(ISBLANK($J33),$I33,$J33)</f>
        <v>0</v>
      </c>
      <c r="AJ33" s="2130">
        <f>S33</f>
        <v>0</v>
      </c>
      <c r="AK33" s="2132">
        <f>S34</f>
        <v>0</v>
      </c>
      <c r="AL33" s="2132">
        <f>S35</f>
        <v>0</v>
      </c>
      <c r="AM33" s="2313">
        <f>S36</f>
        <v>0</v>
      </c>
      <c r="AN33" s="323"/>
      <c r="AO33" s="323"/>
      <c r="AP33" s="323"/>
      <c r="AQ33" s="323"/>
      <c r="AS33" s="417"/>
      <c r="AT33" s="458">
        <f t="shared" si="17"/>
        <v>0</v>
      </c>
      <c r="AU33" s="459">
        <f t="shared" si="17"/>
        <v>0</v>
      </c>
      <c r="AV33" s="459">
        <f t="shared" si="17"/>
        <v>0</v>
      </c>
      <c r="AW33" s="459">
        <f t="shared" si="17"/>
        <v>0</v>
      </c>
      <c r="AX33" s="459">
        <f t="shared" si="17"/>
        <v>0</v>
      </c>
      <c r="AY33" s="459">
        <f t="shared" si="17"/>
        <v>0</v>
      </c>
      <c r="AZ33" s="459">
        <f t="shared" si="17"/>
        <v>0</v>
      </c>
      <c r="BA33" s="459">
        <f t="shared" si="17"/>
        <v>0</v>
      </c>
      <c r="BB33" s="459">
        <f t="shared" si="17"/>
        <v>0</v>
      </c>
      <c r="BC33" s="459">
        <f t="shared" si="17"/>
        <v>0</v>
      </c>
      <c r="BD33" s="459">
        <f t="shared" si="18"/>
        <v>0</v>
      </c>
      <c r="BE33" s="459">
        <f t="shared" si="18"/>
        <v>0</v>
      </c>
      <c r="BF33" s="459">
        <f t="shared" si="18"/>
        <v>0</v>
      </c>
      <c r="BG33" s="459">
        <f t="shared" si="18"/>
        <v>0</v>
      </c>
      <c r="BH33" s="459">
        <f t="shared" si="18"/>
        <v>0</v>
      </c>
      <c r="BI33" s="459">
        <f t="shared" si="18"/>
        <v>0</v>
      </c>
      <c r="BJ33" s="459">
        <f t="shared" si="18"/>
        <v>0</v>
      </c>
      <c r="BK33" s="459">
        <f t="shared" si="18"/>
        <v>0</v>
      </c>
      <c r="BL33" s="459">
        <f t="shared" si="18"/>
        <v>0</v>
      </c>
      <c r="BM33" s="459">
        <f t="shared" si="18"/>
        <v>0</v>
      </c>
      <c r="BN33" s="459">
        <f t="shared" si="19"/>
        <v>0</v>
      </c>
      <c r="BO33" s="459">
        <f t="shared" si="19"/>
        <v>0</v>
      </c>
      <c r="BP33" s="459">
        <f t="shared" si="19"/>
        <v>0</v>
      </c>
      <c r="BQ33" s="459">
        <f t="shared" si="19"/>
        <v>0</v>
      </c>
      <c r="BR33" s="459">
        <f t="shared" si="19"/>
        <v>0</v>
      </c>
      <c r="BS33" s="459">
        <f t="shared" si="19"/>
        <v>0</v>
      </c>
      <c r="BT33" s="459">
        <f t="shared" si="19"/>
        <v>0</v>
      </c>
      <c r="BU33" s="459">
        <f t="shared" si="19"/>
        <v>0</v>
      </c>
      <c r="BV33" s="459">
        <f t="shared" si="19"/>
        <v>0</v>
      </c>
      <c r="BW33" s="459">
        <f t="shared" si="19"/>
        <v>0</v>
      </c>
      <c r="BX33" s="459">
        <f t="shared" si="20"/>
        <v>0</v>
      </c>
      <c r="BY33" s="459">
        <f t="shared" si="20"/>
        <v>0</v>
      </c>
      <c r="BZ33" s="459">
        <f t="shared" si="20"/>
        <v>0</v>
      </c>
      <c r="CA33" s="459">
        <f t="shared" si="20"/>
        <v>0</v>
      </c>
      <c r="CB33" s="459">
        <f t="shared" si="20"/>
        <v>0</v>
      </c>
      <c r="CC33" s="459">
        <f t="shared" si="20"/>
        <v>0</v>
      </c>
      <c r="CD33" s="459">
        <f t="shared" si="20"/>
        <v>0</v>
      </c>
      <c r="CE33" s="459">
        <f t="shared" si="20"/>
        <v>0</v>
      </c>
      <c r="CF33" s="459">
        <f t="shared" si="20"/>
        <v>0</v>
      </c>
      <c r="CG33" s="459">
        <f t="shared" si="20"/>
        <v>0</v>
      </c>
      <c r="CH33" s="459">
        <f t="shared" si="21"/>
        <v>0</v>
      </c>
      <c r="CI33" s="459">
        <f t="shared" si="21"/>
        <v>0</v>
      </c>
      <c r="CJ33" s="459">
        <f t="shared" si="21"/>
        <v>0</v>
      </c>
      <c r="CK33" s="459">
        <f t="shared" si="21"/>
        <v>0</v>
      </c>
      <c r="CL33" s="459">
        <f t="shared" si="21"/>
        <v>0</v>
      </c>
      <c r="CM33" s="459">
        <f t="shared" si="21"/>
        <v>0</v>
      </c>
      <c r="CN33" s="459">
        <f t="shared" si="21"/>
        <v>0</v>
      </c>
      <c r="CO33" s="459">
        <f t="shared" si="21"/>
        <v>0</v>
      </c>
      <c r="CP33" s="459">
        <f t="shared" si="21"/>
        <v>0</v>
      </c>
      <c r="CQ33" s="459">
        <f t="shared" si="21"/>
        <v>0</v>
      </c>
      <c r="CR33" s="460">
        <f t="shared" si="21"/>
        <v>0</v>
      </c>
    </row>
    <row r="34" spans="1:96" s="788" customFormat="1" ht="11.25" customHeight="1" x14ac:dyDescent="0.2">
      <c r="A34" s="1346"/>
      <c r="B34" s="1347"/>
      <c r="C34" s="2016"/>
      <c r="D34" s="2016"/>
      <c r="E34" s="2016"/>
      <c r="F34" s="254" t="s">
        <v>253</v>
      </c>
      <c r="G34" s="254"/>
      <c r="H34" s="1677"/>
      <c r="I34" s="2026"/>
      <c r="J34" s="2023"/>
      <c r="K34" s="2022"/>
      <c r="L34" s="2023"/>
      <c r="M34" s="2022"/>
      <c r="N34" s="2023"/>
      <c r="O34" s="2022"/>
      <c r="P34" s="2023"/>
      <c r="Q34" s="2046"/>
      <c r="R34" s="2023"/>
      <c r="S34" s="2067">
        <f>IF(ISBLANK(L34),K34,L34)+IF(ISBLANK(N34),M34,N34)+IF(ISBLANK(P34),O34,P34)+Q33</f>
        <v>0</v>
      </c>
      <c r="T34" s="2068"/>
      <c r="U34" s="2051"/>
      <c r="V34" s="2054"/>
      <c r="W34" s="2119"/>
      <c r="X34" s="2107"/>
      <c r="Y34" s="2107"/>
      <c r="Z34" s="2107"/>
      <c r="AA34" s="2109"/>
      <c r="AB34" s="2109"/>
      <c r="AC34" s="2112"/>
      <c r="AD34" s="2113"/>
      <c r="AE34" s="2051"/>
      <c r="AF34" s="2115"/>
      <c r="AG34" s="761"/>
      <c r="AH34" s="783">
        <f>IF(ISBLANK(V33),U33,V33)</f>
        <v>1.4</v>
      </c>
      <c r="AI34" s="2104"/>
      <c r="AJ34" s="2131"/>
      <c r="AK34" s="2133"/>
      <c r="AL34" s="2133"/>
      <c r="AM34" s="2314"/>
      <c r="AN34" s="323"/>
      <c r="AO34" s="323"/>
      <c r="AP34" s="323"/>
      <c r="AQ34" s="323"/>
      <c r="AS34" s="417"/>
      <c r="AT34" s="458">
        <f t="shared" si="17"/>
        <v>0</v>
      </c>
      <c r="AU34" s="459">
        <f t="shared" si="17"/>
        <v>0</v>
      </c>
      <c r="AV34" s="459">
        <f t="shared" si="17"/>
        <v>0</v>
      </c>
      <c r="AW34" s="459">
        <f t="shared" si="17"/>
        <v>0</v>
      </c>
      <c r="AX34" s="459">
        <f t="shared" si="17"/>
        <v>0</v>
      </c>
      <c r="AY34" s="459">
        <f t="shared" si="17"/>
        <v>0</v>
      </c>
      <c r="AZ34" s="459">
        <f t="shared" si="17"/>
        <v>0</v>
      </c>
      <c r="BA34" s="459">
        <f t="shared" si="17"/>
        <v>0</v>
      </c>
      <c r="BB34" s="459">
        <f t="shared" si="17"/>
        <v>0</v>
      </c>
      <c r="BC34" s="459">
        <f t="shared" si="17"/>
        <v>0</v>
      </c>
      <c r="BD34" s="459">
        <f t="shared" si="18"/>
        <v>0</v>
      </c>
      <c r="BE34" s="459">
        <f t="shared" si="18"/>
        <v>0</v>
      </c>
      <c r="BF34" s="459">
        <f t="shared" si="18"/>
        <v>0</v>
      </c>
      <c r="BG34" s="459">
        <f t="shared" si="18"/>
        <v>0</v>
      </c>
      <c r="BH34" s="459">
        <f t="shared" si="18"/>
        <v>0</v>
      </c>
      <c r="BI34" s="459">
        <f t="shared" si="18"/>
        <v>0</v>
      </c>
      <c r="BJ34" s="459">
        <f t="shared" si="18"/>
        <v>0</v>
      </c>
      <c r="BK34" s="459">
        <f t="shared" si="18"/>
        <v>0</v>
      </c>
      <c r="BL34" s="459">
        <f t="shared" si="18"/>
        <v>0</v>
      </c>
      <c r="BM34" s="459">
        <f t="shared" si="18"/>
        <v>0</v>
      </c>
      <c r="BN34" s="459">
        <f t="shared" si="19"/>
        <v>0</v>
      </c>
      <c r="BO34" s="459">
        <f t="shared" si="19"/>
        <v>0</v>
      </c>
      <c r="BP34" s="459">
        <f t="shared" si="19"/>
        <v>0</v>
      </c>
      <c r="BQ34" s="459">
        <f t="shared" si="19"/>
        <v>0</v>
      </c>
      <c r="BR34" s="459">
        <f t="shared" si="19"/>
        <v>0</v>
      </c>
      <c r="BS34" s="459">
        <f t="shared" si="19"/>
        <v>0</v>
      </c>
      <c r="BT34" s="459">
        <f t="shared" si="19"/>
        <v>0</v>
      </c>
      <c r="BU34" s="459">
        <f t="shared" si="19"/>
        <v>0</v>
      </c>
      <c r="BV34" s="459">
        <f t="shared" si="19"/>
        <v>0</v>
      </c>
      <c r="BW34" s="459">
        <f t="shared" si="19"/>
        <v>0</v>
      </c>
      <c r="BX34" s="459">
        <f t="shared" si="20"/>
        <v>0</v>
      </c>
      <c r="BY34" s="459">
        <f t="shared" si="20"/>
        <v>0</v>
      </c>
      <c r="BZ34" s="459">
        <f t="shared" si="20"/>
        <v>0</v>
      </c>
      <c r="CA34" s="459">
        <f t="shared" si="20"/>
        <v>0</v>
      </c>
      <c r="CB34" s="459">
        <f t="shared" si="20"/>
        <v>0</v>
      </c>
      <c r="CC34" s="459">
        <f t="shared" si="20"/>
        <v>0</v>
      </c>
      <c r="CD34" s="459">
        <f t="shared" si="20"/>
        <v>0</v>
      </c>
      <c r="CE34" s="459">
        <f t="shared" si="20"/>
        <v>0</v>
      </c>
      <c r="CF34" s="459">
        <f t="shared" si="20"/>
        <v>0</v>
      </c>
      <c r="CG34" s="459">
        <f t="shared" si="20"/>
        <v>0</v>
      </c>
      <c r="CH34" s="459">
        <f t="shared" si="21"/>
        <v>0</v>
      </c>
      <c r="CI34" s="459">
        <f t="shared" si="21"/>
        <v>0</v>
      </c>
      <c r="CJ34" s="459">
        <f t="shared" si="21"/>
        <v>0</v>
      </c>
      <c r="CK34" s="459">
        <f t="shared" si="21"/>
        <v>0</v>
      </c>
      <c r="CL34" s="459">
        <f t="shared" si="21"/>
        <v>0</v>
      </c>
      <c r="CM34" s="459">
        <f t="shared" si="21"/>
        <v>0</v>
      </c>
      <c r="CN34" s="459">
        <f t="shared" si="21"/>
        <v>0</v>
      </c>
      <c r="CO34" s="459">
        <f t="shared" si="21"/>
        <v>0</v>
      </c>
      <c r="CP34" s="459">
        <f t="shared" si="21"/>
        <v>0</v>
      </c>
      <c r="CQ34" s="459">
        <f t="shared" si="21"/>
        <v>0</v>
      </c>
      <c r="CR34" s="460">
        <f t="shared" si="21"/>
        <v>0</v>
      </c>
    </row>
    <row r="35" spans="1:96" s="788" customFormat="1" ht="11.25" customHeight="1" x14ac:dyDescent="0.2">
      <c r="A35" s="1346"/>
      <c r="B35" s="1347"/>
      <c r="C35" s="2016"/>
      <c r="D35" s="2016"/>
      <c r="E35" s="2016"/>
      <c r="F35" s="254" t="s">
        <v>254</v>
      </c>
      <c r="G35" s="254"/>
      <c r="H35" s="1677"/>
      <c r="I35" s="2026"/>
      <c r="J35" s="2023"/>
      <c r="K35" s="2022"/>
      <c r="L35" s="2023"/>
      <c r="M35" s="2022"/>
      <c r="N35" s="2023"/>
      <c r="O35" s="2022"/>
      <c r="P35" s="2023"/>
      <c r="Q35" s="2046"/>
      <c r="R35" s="2023"/>
      <c r="S35" s="2067">
        <f>IF(ISBLANK(L35),K35,L35)+IF(ISBLANK(N35),M35,N35)+IF(ISBLANK(P35),O35,P35)+Q33</f>
        <v>0</v>
      </c>
      <c r="T35" s="2068"/>
      <c r="U35" s="2051"/>
      <c r="V35" s="2054"/>
      <c r="W35" s="2119"/>
      <c r="X35" s="2107"/>
      <c r="Y35" s="2107"/>
      <c r="Z35" s="2107"/>
      <c r="AA35" s="2109"/>
      <c r="AB35" s="2109"/>
      <c r="AC35" s="2112"/>
      <c r="AD35" s="2113"/>
      <c r="AE35" s="2051"/>
      <c r="AF35" s="2115"/>
      <c r="AG35" s="761"/>
      <c r="AH35" s="783">
        <f>IF(ISBLANK(V33),U33,V33)</f>
        <v>1.4</v>
      </c>
      <c r="AI35" s="2104"/>
      <c r="AJ35" s="2131"/>
      <c r="AK35" s="2133"/>
      <c r="AL35" s="2133"/>
      <c r="AM35" s="2314"/>
      <c r="AN35" s="323"/>
      <c r="AO35" s="323"/>
      <c r="AP35" s="323"/>
      <c r="AQ35" s="323"/>
      <c r="AS35" s="417"/>
      <c r="AT35" s="458">
        <f t="shared" si="17"/>
        <v>0</v>
      </c>
      <c r="AU35" s="459">
        <f t="shared" si="17"/>
        <v>0</v>
      </c>
      <c r="AV35" s="459">
        <f t="shared" si="17"/>
        <v>0</v>
      </c>
      <c r="AW35" s="459">
        <f t="shared" si="17"/>
        <v>0</v>
      </c>
      <c r="AX35" s="459">
        <f t="shared" si="17"/>
        <v>0</v>
      </c>
      <c r="AY35" s="459">
        <f t="shared" si="17"/>
        <v>0</v>
      </c>
      <c r="AZ35" s="459">
        <f t="shared" si="17"/>
        <v>0</v>
      </c>
      <c r="BA35" s="459">
        <f t="shared" si="17"/>
        <v>0</v>
      </c>
      <c r="BB35" s="459">
        <f t="shared" si="17"/>
        <v>0</v>
      </c>
      <c r="BC35" s="459">
        <f t="shared" si="17"/>
        <v>0</v>
      </c>
      <c r="BD35" s="459">
        <f t="shared" si="18"/>
        <v>0</v>
      </c>
      <c r="BE35" s="459">
        <f t="shared" si="18"/>
        <v>0</v>
      </c>
      <c r="BF35" s="459">
        <f t="shared" si="18"/>
        <v>0</v>
      </c>
      <c r="BG35" s="459">
        <f t="shared" si="18"/>
        <v>0</v>
      </c>
      <c r="BH35" s="459">
        <f t="shared" si="18"/>
        <v>0</v>
      </c>
      <c r="BI35" s="459">
        <f t="shared" si="18"/>
        <v>0</v>
      </c>
      <c r="BJ35" s="459">
        <f t="shared" si="18"/>
        <v>0</v>
      </c>
      <c r="BK35" s="459">
        <f t="shared" si="18"/>
        <v>0</v>
      </c>
      <c r="BL35" s="459">
        <f t="shared" si="18"/>
        <v>0</v>
      </c>
      <c r="BM35" s="459">
        <f t="shared" si="18"/>
        <v>0</v>
      </c>
      <c r="BN35" s="459">
        <f t="shared" si="19"/>
        <v>0</v>
      </c>
      <c r="BO35" s="459">
        <f t="shared" si="19"/>
        <v>0</v>
      </c>
      <c r="BP35" s="459">
        <f t="shared" si="19"/>
        <v>0</v>
      </c>
      <c r="BQ35" s="459">
        <f t="shared" si="19"/>
        <v>0</v>
      </c>
      <c r="BR35" s="459">
        <f t="shared" si="19"/>
        <v>0</v>
      </c>
      <c r="BS35" s="459">
        <f t="shared" si="19"/>
        <v>0</v>
      </c>
      <c r="BT35" s="459">
        <f t="shared" si="19"/>
        <v>0</v>
      </c>
      <c r="BU35" s="459">
        <f t="shared" si="19"/>
        <v>0</v>
      </c>
      <c r="BV35" s="459">
        <f t="shared" si="19"/>
        <v>0</v>
      </c>
      <c r="BW35" s="459">
        <f t="shared" si="19"/>
        <v>0</v>
      </c>
      <c r="BX35" s="459">
        <f t="shared" si="20"/>
        <v>0</v>
      </c>
      <c r="BY35" s="459">
        <f t="shared" si="20"/>
        <v>0</v>
      </c>
      <c r="BZ35" s="459">
        <f t="shared" si="20"/>
        <v>0</v>
      </c>
      <c r="CA35" s="459">
        <f t="shared" si="20"/>
        <v>0</v>
      </c>
      <c r="CB35" s="459">
        <f t="shared" si="20"/>
        <v>0</v>
      </c>
      <c r="CC35" s="459">
        <f t="shared" si="20"/>
        <v>0</v>
      </c>
      <c r="CD35" s="459">
        <f t="shared" si="20"/>
        <v>0</v>
      </c>
      <c r="CE35" s="459">
        <f t="shared" si="20"/>
        <v>0</v>
      </c>
      <c r="CF35" s="459">
        <f t="shared" si="20"/>
        <v>0</v>
      </c>
      <c r="CG35" s="459">
        <f t="shared" si="20"/>
        <v>0</v>
      </c>
      <c r="CH35" s="459">
        <f t="shared" si="21"/>
        <v>0</v>
      </c>
      <c r="CI35" s="459">
        <f t="shared" si="21"/>
        <v>0</v>
      </c>
      <c r="CJ35" s="459">
        <f t="shared" si="21"/>
        <v>0</v>
      </c>
      <c r="CK35" s="459">
        <f t="shared" si="21"/>
        <v>0</v>
      </c>
      <c r="CL35" s="459">
        <f t="shared" si="21"/>
        <v>0</v>
      </c>
      <c r="CM35" s="459">
        <f t="shared" si="21"/>
        <v>0</v>
      </c>
      <c r="CN35" s="459">
        <f t="shared" si="21"/>
        <v>0</v>
      </c>
      <c r="CO35" s="459">
        <f t="shared" si="21"/>
        <v>0</v>
      </c>
      <c r="CP35" s="459">
        <f t="shared" si="21"/>
        <v>0</v>
      </c>
      <c r="CQ35" s="459">
        <f t="shared" si="21"/>
        <v>0</v>
      </c>
      <c r="CR35" s="460">
        <f t="shared" si="21"/>
        <v>0</v>
      </c>
    </row>
    <row r="36" spans="1:96" s="788" customFormat="1" ht="11.25" customHeight="1" x14ac:dyDescent="0.2">
      <c r="A36" s="1346"/>
      <c r="B36" s="1347"/>
      <c r="C36" s="2040"/>
      <c r="D36" s="2040"/>
      <c r="E36" s="2040"/>
      <c r="F36" s="553" t="s">
        <v>255</v>
      </c>
      <c r="G36" s="553"/>
      <c r="H36" s="1678"/>
      <c r="I36" s="2034"/>
      <c r="J36" s="2030"/>
      <c r="K36" s="2029"/>
      <c r="L36" s="2030"/>
      <c r="M36" s="2029"/>
      <c r="N36" s="2030"/>
      <c r="O36" s="2029"/>
      <c r="P36" s="2030"/>
      <c r="Q36" s="2047"/>
      <c r="R36" s="2030"/>
      <c r="S36" s="2072">
        <f>IF(ISBLANK(L36),K36,L36)+IF(ISBLANK(N36),M36,N36)+IF(ISBLANK(P36),O36,P36)+Q33</f>
        <v>0</v>
      </c>
      <c r="T36" s="2073"/>
      <c r="U36" s="2052"/>
      <c r="V36" s="2055"/>
      <c r="W36" s="2119"/>
      <c r="X36" s="2107"/>
      <c r="Y36" s="2107"/>
      <c r="Z36" s="2107"/>
      <c r="AA36" s="2109"/>
      <c r="AB36" s="2109"/>
      <c r="AC36" s="2112"/>
      <c r="AD36" s="2113"/>
      <c r="AE36" s="2051"/>
      <c r="AF36" s="2115"/>
      <c r="AG36" s="761"/>
      <c r="AH36" s="786">
        <f>IF(ISBLANK(V33),U33,V33)</f>
        <v>1.4</v>
      </c>
      <c r="AI36" s="2105"/>
      <c r="AJ36" s="2364"/>
      <c r="AK36" s="2315"/>
      <c r="AL36" s="2315"/>
      <c r="AM36" s="2347"/>
      <c r="AN36" s="323"/>
      <c r="AO36" s="323"/>
      <c r="AP36" s="323"/>
      <c r="AQ36" s="323"/>
      <c r="AS36" s="417"/>
      <c r="AT36" s="461">
        <f t="shared" si="17"/>
        <v>0</v>
      </c>
      <c r="AU36" s="462">
        <f t="shared" si="17"/>
        <v>0</v>
      </c>
      <c r="AV36" s="462">
        <f t="shared" si="17"/>
        <v>0</v>
      </c>
      <c r="AW36" s="462">
        <f t="shared" si="17"/>
        <v>0</v>
      </c>
      <c r="AX36" s="462">
        <f t="shared" si="17"/>
        <v>0</v>
      </c>
      <c r="AY36" s="462">
        <f t="shared" si="17"/>
        <v>0</v>
      </c>
      <c r="AZ36" s="462">
        <f t="shared" si="17"/>
        <v>0</v>
      </c>
      <c r="BA36" s="462">
        <f t="shared" si="17"/>
        <v>0</v>
      </c>
      <c r="BB36" s="462">
        <f t="shared" si="17"/>
        <v>0</v>
      </c>
      <c r="BC36" s="462">
        <f t="shared" si="17"/>
        <v>0</v>
      </c>
      <c r="BD36" s="462">
        <f t="shared" si="18"/>
        <v>0</v>
      </c>
      <c r="BE36" s="462">
        <f t="shared" si="18"/>
        <v>0</v>
      </c>
      <c r="BF36" s="462">
        <f t="shared" si="18"/>
        <v>0</v>
      </c>
      <c r="BG36" s="462">
        <f t="shared" si="18"/>
        <v>0</v>
      </c>
      <c r="BH36" s="462">
        <f t="shared" si="18"/>
        <v>0</v>
      </c>
      <c r="BI36" s="462">
        <f t="shared" si="18"/>
        <v>0</v>
      </c>
      <c r="BJ36" s="462">
        <f t="shared" si="18"/>
        <v>0</v>
      </c>
      <c r="BK36" s="462">
        <f t="shared" si="18"/>
        <v>0</v>
      </c>
      <c r="BL36" s="462">
        <f t="shared" si="18"/>
        <v>0</v>
      </c>
      <c r="BM36" s="462">
        <f t="shared" si="18"/>
        <v>0</v>
      </c>
      <c r="BN36" s="462">
        <f t="shared" si="19"/>
        <v>0</v>
      </c>
      <c r="BO36" s="462">
        <f t="shared" si="19"/>
        <v>0</v>
      </c>
      <c r="BP36" s="462">
        <f t="shared" si="19"/>
        <v>0</v>
      </c>
      <c r="BQ36" s="462">
        <f t="shared" si="19"/>
        <v>0</v>
      </c>
      <c r="BR36" s="462">
        <f t="shared" si="19"/>
        <v>0</v>
      </c>
      <c r="BS36" s="462">
        <f t="shared" si="19"/>
        <v>0</v>
      </c>
      <c r="BT36" s="462">
        <f t="shared" si="19"/>
        <v>0</v>
      </c>
      <c r="BU36" s="462">
        <f t="shared" si="19"/>
        <v>0</v>
      </c>
      <c r="BV36" s="462">
        <f t="shared" si="19"/>
        <v>0</v>
      </c>
      <c r="BW36" s="462">
        <f t="shared" si="19"/>
        <v>0</v>
      </c>
      <c r="BX36" s="462">
        <f t="shared" si="20"/>
        <v>0</v>
      </c>
      <c r="BY36" s="462">
        <f t="shared" si="20"/>
        <v>0</v>
      </c>
      <c r="BZ36" s="462">
        <f t="shared" si="20"/>
        <v>0</v>
      </c>
      <c r="CA36" s="462">
        <f t="shared" si="20"/>
        <v>0</v>
      </c>
      <c r="CB36" s="462">
        <f t="shared" si="20"/>
        <v>0</v>
      </c>
      <c r="CC36" s="462">
        <f t="shared" si="20"/>
        <v>0</v>
      </c>
      <c r="CD36" s="462">
        <f t="shared" si="20"/>
        <v>0</v>
      </c>
      <c r="CE36" s="462">
        <f t="shared" si="20"/>
        <v>0</v>
      </c>
      <c r="CF36" s="462">
        <f t="shared" si="20"/>
        <v>0</v>
      </c>
      <c r="CG36" s="462">
        <f t="shared" si="20"/>
        <v>0</v>
      </c>
      <c r="CH36" s="462">
        <f t="shared" si="21"/>
        <v>0</v>
      </c>
      <c r="CI36" s="462">
        <f t="shared" si="21"/>
        <v>0</v>
      </c>
      <c r="CJ36" s="462">
        <f t="shared" si="21"/>
        <v>0</v>
      </c>
      <c r="CK36" s="462">
        <f t="shared" si="21"/>
        <v>0</v>
      </c>
      <c r="CL36" s="462">
        <f t="shared" si="21"/>
        <v>0</v>
      </c>
      <c r="CM36" s="462">
        <f t="shared" si="21"/>
        <v>0</v>
      </c>
      <c r="CN36" s="462">
        <f t="shared" si="21"/>
        <v>0</v>
      </c>
      <c r="CO36" s="462">
        <f t="shared" si="21"/>
        <v>0</v>
      </c>
      <c r="CP36" s="462">
        <f t="shared" si="21"/>
        <v>0</v>
      </c>
      <c r="CQ36" s="462">
        <f t="shared" si="21"/>
        <v>0</v>
      </c>
      <c r="CR36" s="463">
        <f t="shared" si="21"/>
        <v>0</v>
      </c>
    </row>
    <row r="37" spans="1:96" s="788" customFormat="1" ht="11.25" customHeight="1" x14ac:dyDescent="0.2">
      <c r="A37" s="1346"/>
      <c r="B37" s="1347"/>
      <c r="C37" s="2039" t="s">
        <v>613</v>
      </c>
      <c r="D37" s="2039"/>
      <c r="E37" s="2039"/>
      <c r="F37" s="254" t="s">
        <v>252</v>
      </c>
      <c r="G37" s="254"/>
      <c r="H37" s="1677"/>
      <c r="I37" s="2024"/>
      <c r="J37" s="2025"/>
      <c r="K37" s="2022"/>
      <c r="L37" s="2023"/>
      <c r="M37" s="2022"/>
      <c r="N37" s="2023"/>
      <c r="O37" s="2022"/>
      <c r="P37" s="2023"/>
      <c r="Q37" s="2045"/>
      <c r="R37" s="2025"/>
      <c r="S37" s="2067">
        <f>IF(ISBLANK(L37),K37,L37)+IF(ISBLANK(N37),M37,N37)+IF(ISBLANK(P37),O37,P37)+Q37</f>
        <v>0</v>
      </c>
      <c r="T37" s="2068"/>
      <c r="U37" s="2056">
        <v>1.4</v>
      </c>
      <c r="V37" s="2071"/>
      <c r="W37" s="2118"/>
      <c r="X37" s="2106"/>
      <c r="Y37" s="2106"/>
      <c r="Z37" s="2106"/>
      <c r="AA37" s="2108"/>
      <c r="AB37" s="2108"/>
      <c r="AC37" s="2110"/>
      <c r="AD37" s="2111"/>
      <c r="AE37" s="2051"/>
      <c r="AF37" s="2115"/>
      <c r="AG37" s="761"/>
      <c r="AH37" s="785">
        <f t="shared" si="8"/>
        <v>1.4</v>
      </c>
      <c r="AI37" s="2104">
        <f>IF(ISBLANK($J37),$I37,$J37)</f>
        <v>0</v>
      </c>
      <c r="AJ37" s="2130">
        <f>S37</f>
        <v>0</v>
      </c>
      <c r="AK37" s="2132">
        <f>S38</f>
        <v>0</v>
      </c>
      <c r="AL37" s="2132">
        <f>S39</f>
        <v>0</v>
      </c>
      <c r="AM37" s="2313">
        <f>S40</f>
        <v>0</v>
      </c>
      <c r="AN37" s="323"/>
      <c r="AO37" s="323"/>
      <c r="AP37" s="323"/>
      <c r="AQ37" s="323"/>
      <c r="AS37" s="417"/>
      <c r="AT37" s="458">
        <f t="shared" si="17"/>
        <v>0</v>
      </c>
      <c r="AU37" s="459">
        <f t="shared" si="17"/>
        <v>0</v>
      </c>
      <c r="AV37" s="459">
        <f t="shared" si="17"/>
        <v>0</v>
      </c>
      <c r="AW37" s="459">
        <f t="shared" si="17"/>
        <v>0</v>
      </c>
      <c r="AX37" s="459">
        <f t="shared" si="17"/>
        <v>0</v>
      </c>
      <c r="AY37" s="459">
        <f t="shared" si="17"/>
        <v>0</v>
      </c>
      <c r="AZ37" s="459">
        <f t="shared" si="17"/>
        <v>0</v>
      </c>
      <c r="BA37" s="459">
        <f t="shared" si="17"/>
        <v>0</v>
      </c>
      <c r="BB37" s="459">
        <f t="shared" si="17"/>
        <v>0</v>
      </c>
      <c r="BC37" s="459">
        <f t="shared" si="17"/>
        <v>0</v>
      </c>
      <c r="BD37" s="459">
        <f t="shared" si="18"/>
        <v>0</v>
      </c>
      <c r="BE37" s="459">
        <f t="shared" si="18"/>
        <v>0</v>
      </c>
      <c r="BF37" s="459">
        <f t="shared" si="18"/>
        <v>0</v>
      </c>
      <c r="BG37" s="459">
        <f t="shared" si="18"/>
        <v>0</v>
      </c>
      <c r="BH37" s="459">
        <f t="shared" si="18"/>
        <v>0</v>
      </c>
      <c r="BI37" s="459">
        <f t="shared" si="18"/>
        <v>0</v>
      </c>
      <c r="BJ37" s="459">
        <f t="shared" si="18"/>
        <v>0</v>
      </c>
      <c r="BK37" s="459">
        <f t="shared" si="18"/>
        <v>0</v>
      </c>
      <c r="BL37" s="459">
        <f t="shared" si="18"/>
        <v>0</v>
      </c>
      <c r="BM37" s="459">
        <f t="shared" si="18"/>
        <v>0</v>
      </c>
      <c r="BN37" s="459">
        <f t="shared" si="19"/>
        <v>0</v>
      </c>
      <c r="BO37" s="459">
        <f t="shared" si="19"/>
        <v>0</v>
      </c>
      <c r="BP37" s="459">
        <f t="shared" si="19"/>
        <v>0</v>
      </c>
      <c r="BQ37" s="459">
        <f t="shared" si="19"/>
        <v>0</v>
      </c>
      <c r="BR37" s="459">
        <f t="shared" si="19"/>
        <v>0</v>
      </c>
      <c r="BS37" s="459">
        <f t="shared" si="19"/>
        <v>0</v>
      </c>
      <c r="BT37" s="459">
        <f t="shared" si="19"/>
        <v>0</v>
      </c>
      <c r="BU37" s="459">
        <f t="shared" si="19"/>
        <v>0</v>
      </c>
      <c r="BV37" s="459">
        <f t="shared" si="19"/>
        <v>0</v>
      </c>
      <c r="BW37" s="459">
        <f t="shared" si="19"/>
        <v>0</v>
      </c>
      <c r="BX37" s="459">
        <f t="shared" si="20"/>
        <v>0</v>
      </c>
      <c r="BY37" s="459">
        <f t="shared" si="20"/>
        <v>0</v>
      </c>
      <c r="BZ37" s="459">
        <f t="shared" si="20"/>
        <v>0</v>
      </c>
      <c r="CA37" s="459">
        <f t="shared" si="20"/>
        <v>0</v>
      </c>
      <c r="CB37" s="459">
        <f t="shared" si="20"/>
        <v>0</v>
      </c>
      <c r="CC37" s="459">
        <f t="shared" si="20"/>
        <v>0</v>
      </c>
      <c r="CD37" s="459">
        <f t="shared" si="20"/>
        <v>0</v>
      </c>
      <c r="CE37" s="459">
        <f t="shared" si="20"/>
        <v>0</v>
      </c>
      <c r="CF37" s="459">
        <f t="shared" si="20"/>
        <v>0</v>
      </c>
      <c r="CG37" s="459">
        <f t="shared" si="20"/>
        <v>0</v>
      </c>
      <c r="CH37" s="459">
        <f t="shared" si="21"/>
        <v>0</v>
      </c>
      <c r="CI37" s="459">
        <f t="shared" si="21"/>
        <v>0</v>
      </c>
      <c r="CJ37" s="459">
        <f t="shared" si="21"/>
        <v>0</v>
      </c>
      <c r="CK37" s="459">
        <f t="shared" si="21"/>
        <v>0</v>
      </c>
      <c r="CL37" s="459">
        <f t="shared" si="21"/>
        <v>0</v>
      </c>
      <c r="CM37" s="459">
        <f t="shared" si="21"/>
        <v>0</v>
      </c>
      <c r="CN37" s="459">
        <f t="shared" si="21"/>
        <v>0</v>
      </c>
      <c r="CO37" s="459">
        <f t="shared" si="21"/>
        <v>0</v>
      </c>
      <c r="CP37" s="459">
        <f t="shared" si="21"/>
        <v>0</v>
      </c>
      <c r="CQ37" s="459">
        <f t="shared" si="21"/>
        <v>0</v>
      </c>
      <c r="CR37" s="460">
        <f t="shared" si="21"/>
        <v>0</v>
      </c>
    </row>
    <row r="38" spans="1:96" s="788" customFormat="1" ht="11.25" customHeight="1" x14ac:dyDescent="0.2">
      <c r="A38" s="1346"/>
      <c r="B38" s="1347"/>
      <c r="C38" s="2016"/>
      <c r="D38" s="2016"/>
      <c r="E38" s="2016"/>
      <c r="F38" s="254" t="s">
        <v>253</v>
      </c>
      <c r="G38" s="254"/>
      <c r="H38" s="1677"/>
      <c r="I38" s="2026"/>
      <c r="J38" s="2023"/>
      <c r="K38" s="2022"/>
      <c r="L38" s="2023"/>
      <c r="M38" s="2022"/>
      <c r="N38" s="2023"/>
      <c r="O38" s="2022"/>
      <c r="P38" s="2023"/>
      <c r="Q38" s="2046"/>
      <c r="R38" s="2023"/>
      <c r="S38" s="2067">
        <f>IF(ISBLANK(L38),K38,L38)+IF(ISBLANK(N38),M38,N38)+IF(ISBLANK(P38),O38,P38)+Q37</f>
        <v>0</v>
      </c>
      <c r="T38" s="2068"/>
      <c r="U38" s="2051"/>
      <c r="V38" s="2054"/>
      <c r="W38" s="2119"/>
      <c r="X38" s="2107"/>
      <c r="Y38" s="2107"/>
      <c r="Z38" s="2107"/>
      <c r="AA38" s="2109"/>
      <c r="AB38" s="2109"/>
      <c r="AC38" s="2112"/>
      <c r="AD38" s="2113"/>
      <c r="AE38" s="2051"/>
      <c r="AF38" s="2115"/>
      <c r="AG38" s="761"/>
      <c r="AH38" s="783">
        <f>IF(ISBLANK(V37),U37,V37)</f>
        <v>1.4</v>
      </c>
      <c r="AI38" s="2104"/>
      <c r="AJ38" s="2131"/>
      <c r="AK38" s="2133"/>
      <c r="AL38" s="2133"/>
      <c r="AM38" s="2314"/>
      <c r="AN38" s="323"/>
      <c r="AO38" s="323"/>
      <c r="AP38" s="323"/>
      <c r="AQ38" s="323"/>
      <c r="AS38" s="417"/>
      <c r="AT38" s="458">
        <f t="shared" si="17"/>
        <v>0</v>
      </c>
      <c r="AU38" s="459">
        <f t="shared" si="17"/>
        <v>0</v>
      </c>
      <c r="AV38" s="459">
        <f t="shared" si="17"/>
        <v>0</v>
      </c>
      <c r="AW38" s="459">
        <f t="shared" si="17"/>
        <v>0</v>
      </c>
      <c r="AX38" s="459">
        <f t="shared" si="17"/>
        <v>0</v>
      </c>
      <c r="AY38" s="459">
        <f t="shared" si="17"/>
        <v>0</v>
      </c>
      <c r="AZ38" s="459">
        <f t="shared" si="17"/>
        <v>0</v>
      </c>
      <c r="BA38" s="459">
        <f t="shared" si="17"/>
        <v>0</v>
      </c>
      <c r="BB38" s="459">
        <f t="shared" si="17"/>
        <v>0</v>
      </c>
      <c r="BC38" s="459">
        <f t="shared" si="17"/>
        <v>0</v>
      </c>
      <c r="BD38" s="459">
        <f t="shared" si="18"/>
        <v>0</v>
      </c>
      <c r="BE38" s="459">
        <f t="shared" si="18"/>
        <v>0</v>
      </c>
      <c r="BF38" s="459">
        <f t="shared" si="18"/>
        <v>0</v>
      </c>
      <c r="BG38" s="459">
        <f t="shared" si="18"/>
        <v>0</v>
      </c>
      <c r="BH38" s="459">
        <f t="shared" si="18"/>
        <v>0</v>
      </c>
      <c r="BI38" s="459">
        <f t="shared" si="18"/>
        <v>0</v>
      </c>
      <c r="BJ38" s="459">
        <f t="shared" si="18"/>
        <v>0</v>
      </c>
      <c r="BK38" s="459">
        <f t="shared" si="18"/>
        <v>0</v>
      </c>
      <c r="BL38" s="459">
        <f t="shared" si="18"/>
        <v>0</v>
      </c>
      <c r="BM38" s="459">
        <f t="shared" si="18"/>
        <v>0</v>
      </c>
      <c r="BN38" s="459">
        <f t="shared" si="19"/>
        <v>0</v>
      </c>
      <c r="BO38" s="459">
        <f t="shared" si="19"/>
        <v>0</v>
      </c>
      <c r="BP38" s="459">
        <f t="shared" si="19"/>
        <v>0</v>
      </c>
      <c r="BQ38" s="459">
        <f t="shared" si="19"/>
        <v>0</v>
      </c>
      <c r="BR38" s="459">
        <f t="shared" si="19"/>
        <v>0</v>
      </c>
      <c r="BS38" s="459">
        <f t="shared" si="19"/>
        <v>0</v>
      </c>
      <c r="BT38" s="459">
        <f t="shared" si="19"/>
        <v>0</v>
      </c>
      <c r="BU38" s="459">
        <f t="shared" si="19"/>
        <v>0</v>
      </c>
      <c r="BV38" s="459">
        <f t="shared" si="19"/>
        <v>0</v>
      </c>
      <c r="BW38" s="459">
        <f t="shared" si="19"/>
        <v>0</v>
      </c>
      <c r="BX38" s="459">
        <f t="shared" si="20"/>
        <v>0</v>
      </c>
      <c r="BY38" s="459">
        <f t="shared" si="20"/>
        <v>0</v>
      </c>
      <c r="BZ38" s="459">
        <f t="shared" si="20"/>
        <v>0</v>
      </c>
      <c r="CA38" s="459">
        <f t="shared" si="20"/>
        <v>0</v>
      </c>
      <c r="CB38" s="459">
        <f t="shared" si="20"/>
        <v>0</v>
      </c>
      <c r="CC38" s="459">
        <f t="shared" si="20"/>
        <v>0</v>
      </c>
      <c r="CD38" s="459">
        <f t="shared" si="20"/>
        <v>0</v>
      </c>
      <c r="CE38" s="459">
        <f t="shared" si="20"/>
        <v>0</v>
      </c>
      <c r="CF38" s="459">
        <f t="shared" si="20"/>
        <v>0</v>
      </c>
      <c r="CG38" s="459">
        <f t="shared" si="20"/>
        <v>0</v>
      </c>
      <c r="CH38" s="459">
        <f t="shared" si="21"/>
        <v>0</v>
      </c>
      <c r="CI38" s="459">
        <f t="shared" si="21"/>
        <v>0</v>
      </c>
      <c r="CJ38" s="459">
        <f t="shared" si="21"/>
        <v>0</v>
      </c>
      <c r="CK38" s="459">
        <f t="shared" si="21"/>
        <v>0</v>
      </c>
      <c r="CL38" s="459">
        <f t="shared" si="21"/>
        <v>0</v>
      </c>
      <c r="CM38" s="459">
        <f t="shared" si="21"/>
        <v>0</v>
      </c>
      <c r="CN38" s="459">
        <f t="shared" si="21"/>
        <v>0</v>
      </c>
      <c r="CO38" s="459">
        <f t="shared" si="21"/>
        <v>0</v>
      </c>
      <c r="CP38" s="459">
        <f t="shared" si="21"/>
        <v>0</v>
      </c>
      <c r="CQ38" s="459">
        <f t="shared" si="21"/>
        <v>0</v>
      </c>
      <c r="CR38" s="460">
        <f t="shared" si="21"/>
        <v>0</v>
      </c>
    </row>
    <row r="39" spans="1:96" s="788" customFormat="1" ht="11.25" customHeight="1" x14ac:dyDescent="0.2">
      <c r="A39" s="1346"/>
      <c r="B39" s="1347"/>
      <c r="C39" s="2016"/>
      <c r="D39" s="2016"/>
      <c r="E39" s="2016"/>
      <c r="F39" s="254" t="s">
        <v>254</v>
      </c>
      <c r="G39" s="254"/>
      <c r="H39" s="1677"/>
      <c r="I39" s="2026"/>
      <c r="J39" s="2023"/>
      <c r="K39" s="2022"/>
      <c r="L39" s="2023"/>
      <c r="M39" s="2022"/>
      <c r="N39" s="2023"/>
      <c r="O39" s="2022"/>
      <c r="P39" s="2023"/>
      <c r="Q39" s="2046"/>
      <c r="R39" s="2023"/>
      <c r="S39" s="2067">
        <f>IF(ISBLANK(L39),K39,L39)+IF(ISBLANK(N39),M39,N39)+IF(ISBLANK(P39),O39,P39)+Q37</f>
        <v>0</v>
      </c>
      <c r="T39" s="2068"/>
      <c r="U39" s="2051"/>
      <c r="V39" s="2054"/>
      <c r="W39" s="2119"/>
      <c r="X39" s="2107"/>
      <c r="Y39" s="2107"/>
      <c r="Z39" s="2107"/>
      <c r="AA39" s="2109"/>
      <c r="AB39" s="2109"/>
      <c r="AC39" s="2112"/>
      <c r="AD39" s="2113"/>
      <c r="AE39" s="2051"/>
      <c r="AF39" s="2115"/>
      <c r="AG39" s="761"/>
      <c r="AH39" s="783">
        <f>IF(ISBLANK(V37),U37,V37)</f>
        <v>1.4</v>
      </c>
      <c r="AI39" s="2104"/>
      <c r="AJ39" s="2131"/>
      <c r="AK39" s="2133"/>
      <c r="AL39" s="2133"/>
      <c r="AM39" s="2314"/>
      <c r="AN39" s="323"/>
      <c r="AO39" s="323"/>
      <c r="AP39" s="323"/>
      <c r="AQ39" s="323"/>
      <c r="AS39" s="417"/>
      <c r="AT39" s="458">
        <f t="shared" ref="AT39:BC47" si="22">IF(OR(ISBLANK($S39),$S39=0),0,(1+(AT$10-$AT$10)*$AH39/100))</f>
        <v>0</v>
      </c>
      <c r="AU39" s="459">
        <f t="shared" si="22"/>
        <v>0</v>
      </c>
      <c r="AV39" s="459">
        <f t="shared" si="22"/>
        <v>0</v>
      </c>
      <c r="AW39" s="459">
        <f t="shared" si="22"/>
        <v>0</v>
      </c>
      <c r="AX39" s="459">
        <f t="shared" si="22"/>
        <v>0</v>
      </c>
      <c r="AY39" s="459">
        <f t="shared" si="22"/>
        <v>0</v>
      </c>
      <c r="AZ39" s="459">
        <f t="shared" si="22"/>
        <v>0</v>
      </c>
      <c r="BA39" s="459">
        <f t="shared" si="22"/>
        <v>0</v>
      </c>
      <c r="BB39" s="459">
        <f t="shared" si="22"/>
        <v>0</v>
      </c>
      <c r="BC39" s="459">
        <f t="shared" si="22"/>
        <v>0</v>
      </c>
      <c r="BD39" s="459">
        <f t="shared" ref="BD39:BM47" si="23">IF(OR(ISBLANK($S39),$S39=0),0,(1+(BD$10-$AT$10)*$AH39/100))</f>
        <v>0</v>
      </c>
      <c r="BE39" s="459">
        <f t="shared" si="23"/>
        <v>0</v>
      </c>
      <c r="BF39" s="459">
        <f t="shared" si="23"/>
        <v>0</v>
      </c>
      <c r="BG39" s="459">
        <f t="shared" si="23"/>
        <v>0</v>
      </c>
      <c r="BH39" s="459">
        <f t="shared" si="23"/>
        <v>0</v>
      </c>
      <c r="BI39" s="459">
        <f t="shared" si="23"/>
        <v>0</v>
      </c>
      <c r="BJ39" s="459">
        <f t="shared" si="23"/>
        <v>0</v>
      </c>
      <c r="BK39" s="459">
        <f t="shared" si="23"/>
        <v>0</v>
      </c>
      <c r="BL39" s="459">
        <f t="shared" si="23"/>
        <v>0</v>
      </c>
      <c r="BM39" s="459">
        <f t="shared" si="23"/>
        <v>0</v>
      </c>
      <c r="BN39" s="459">
        <f t="shared" ref="BN39:BW47" si="24">IF(OR(ISBLANK($S39),$S39=0),0,(1+(BN$10-$AT$10)*$AH39/100))</f>
        <v>0</v>
      </c>
      <c r="BO39" s="459">
        <f t="shared" si="24"/>
        <v>0</v>
      </c>
      <c r="BP39" s="459">
        <f t="shared" si="24"/>
        <v>0</v>
      </c>
      <c r="BQ39" s="459">
        <f t="shared" si="24"/>
        <v>0</v>
      </c>
      <c r="BR39" s="459">
        <f t="shared" si="24"/>
        <v>0</v>
      </c>
      <c r="BS39" s="459">
        <f t="shared" si="24"/>
        <v>0</v>
      </c>
      <c r="BT39" s="459">
        <f t="shared" si="24"/>
        <v>0</v>
      </c>
      <c r="BU39" s="459">
        <f t="shared" si="24"/>
        <v>0</v>
      </c>
      <c r="BV39" s="459">
        <f t="shared" si="24"/>
        <v>0</v>
      </c>
      <c r="BW39" s="459">
        <f t="shared" si="24"/>
        <v>0</v>
      </c>
      <c r="BX39" s="459">
        <f t="shared" ref="BX39:CG47" si="25">IF(OR(ISBLANK($S39),$S39=0),0,(1+(BX$10-$AT$10)*$AH39/100))</f>
        <v>0</v>
      </c>
      <c r="BY39" s="459">
        <f t="shared" si="25"/>
        <v>0</v>
      </c>
      <c r="BZ39" s="459">
        <f t="shared" si="25"/>
        <v>0</v>
      </c>
      <c r="CA39" s="459">
        <f t="shared" si="25"/>
        <v>0</v>
      </c>
      <c r="CB39" s="459">
        <f t="shared" si="25"/>
        <v>0</v>
      </c>
      <c r="CC39" s="459">
        <f t="shared" si="25"/>
        <v>0</v>
      </c>
      <c r="CD39" s="459">
        <f t="shared" si="25"/>
        <v>0</v>
      </c>
      <c r="CE39" s="459">
        <f t="shared" si="25"/>
        <v>0</v>
      </c>
      <c r="CF39" s="459">
        <f t="shared" si="25"/>
        <v>0</v>
      </c>
      <c r="CG39" s="459">
        <f t="shared" si="25"/>
        <v>0</v>
      </c>
      <c r="CH39" s="459">
        <f t="shared" ref="CH39:CR47" si="26">IF(OR(ISBLANK($S39),$S39=0),0,(1+(CH$10-$AT$10)*$AH39/100))</f>
        <v>0</v>
      </c>
      <c r="CI39" s="459">
        <f t="shared" si="26"/>
        <v>0</v>
      </c>
      <c r="CJ39" s="459">
        <f t="shared" si="26"/>
        <v>0</v>
      </c>
      <c r="CK39" s="459">
        <f t="shared" si="26"/>
        <v>0</v>
      </c>
      <c r="CL39" s="459">
        <f t="shared" si="26"/>
        <v>0</v>
      </c>
      <c r="CM39" s="459">
        <f t="shared" si="26"/>
        <v>0</v>
      </c>
      <c r="CN39" s="459">
        <f t="shared" si="26"/>
        <v>0</v>
      </c>
      <c r="CO39" s="459">
        <f t="shared" si="26"/>
        <v>0</v>
      </c>
      <c r="CP39" s="459">
        <f t="shared" si="26"/>
        <v>0</v>
      </c>
      <c r="CQ39" s="459">
        <f t="shared" si="26"/>
        <v>0</v>
      </c>
      <c r="CR39" s="460">
        <f t="shared" si="26"/>
        <v>0</v>
      </c>
    </row>
    <row r="40" spans="1:96" s="788" customFormat="1" ht="11.25" customHeight="1" x14ac:dyDescent="0.2">
      <c r="A40" s="1346"/>
      <c r="B40" s="1347"/>
      <c r="C40" s="2040"/>
      <c r="D40" s="2040"/>
      <c r="E40" s="2040"/>
      <c r="F40" s="553" t="s">
        <v>255</v>
      </c>
      <c r="G40" s="553"/>
      <c r="H40" s="1678"/>
      <c r="I40" s="2034"/>
      <c r="J40" s="2030"/>
      <c r="K40" s="2029"/>
      <c r="L40" s="2030"/>
      <c r="M40" s="2029"/>
      <c r="N40" s="2030"/>
      <c r="O40" s="2029"/>
      <c r="P40" s="2030"/>
      <c r="Q40" s="2047"/>
      <c r="R40" s="2030"/>
      <c r="S40" s="2072">
        <f>IF(ISBLANK(L40),K40,L40)+IF(ISBLANK(N40),M40,N40)+IF(ISBLANK(P40),O40,P40)+Q37</f>
        <v>0</v>
      </c>
      <c r="T40" s="2073"/>
      <c r="U40" s="2052"/>
      <c r="V40" s="2055"/>
      <c r="W40" s="2119"/>
      <c r="X40" s="2107"/>
      <c r="Y40" s="2107"/>
      <c r="Z40" s="2107"/>
      <c r="AA40" s="2109"/>
      <c r="AB40" s="2109"/>
      <c r="AC40" s="2112"/>
      <c r="AD40" s="2113"/>
      <c r="AE40" s="2051"/>
      <c r="AF40" s="2115"/>
      <c r="AG40" s="761"/>
      <c r="AH40" s="786">
        <f>IF(ISBLANK(V37),U37,V37)</f>
        <v>1.4</v>
      </c>
      <c r="AI40" s="2105"/>
      <c r="AJ40" s="2364"/>
      <c r="AK40" s="2315"/>
      <c r="AL40" s="2315"/>
      <c r="AM40" s="2347"/>
      <c r="AN40" s="323"/>
      <c r="AO40" s="323"/>
      <c r="AP40" s="323"/>
      <c r="AQ40" s="323"/>
      <c r="AS40" s="417"/>
      <c r="AT40" s="461">
        <f t="shared" si="22"/>
        <v>0</v>
      </c>
      <c r="AU40" s="462">
        <f t="shared" si="22"/>
        <v>0</v>
      </c>
      <c r="AV40" s="462">
        <f t="shared" si="22"/>
        <v>0</v>
      </c>
      <c r="AW40" s="462">
        <f t="shared" si="22"/>
        <v>0</v>
      </c>
      <c r="AX40" s="462">
        <f t="shared" si="22"/>
        <v>0</v>
      </c>
      <c r="AY40" s="462">
        <f t="shared" si="22"/>
        <v>0</v>
      </c>
      <c r="AZ40" s="462">
        <f t="shared" si="22"/>
        <v>0</v>
      </c>
      <c r="BA40" s="462">
        <f t="shared" si="22"/>
        <v>0</v>
      </c>
      <c r="BB40" s="462">
        <f t="shared" si="22"/>
        <v>0</v>
      </c>
      <c r="BC40" s="462">
        <f t="shared" si="22"/>
        <v>0</v>
      </c>
      <c r="BD40" s="462">
        <f t="shared" si="23"/>
        <v>0</v>
      </c>
      <c r="BE40" s="462">
        <f t="shared" si="23"/>
        <v>0</v>
      </c>
      <c r="BF40" s="462">
        <f t="shared" si="23"/>
        <v>0</v>
      </c>
      <c r="BG40" s="462">
        <f t="shared" si="23"/>
        <v>0</v>
      </c>
      <c r="BH40" s="462">
        <f t="shared" si="23"/>
        <v>0</v>
      </c>
      <c r="BI40" s="462">
        <f t="shared" si="23"/>
        <v>0</v>
      </c>
      <c r="BJ40" s="462">
        <f t="shared" si="23"/>
        <v>0</v>
      </c>
      <c r="BK40" s="462">
        <f t="shared" si="23"/>
        <v>0</v>
      </c>
      <c r="BL40" s="462">
        <f t="shared" si="23"/>
        <v>0</v>
      </c>
      <c r="BM40" s="462">
        <f t="shared" si="23"/>
        <v>0</v>
      </c>
      <c r="BN40" s="462">
        <f t="shared" si="24"/>
        <v>0</v>
      </c>
      <c r="BO40" s="462">
        <f t="shared" si="24"/>
        <v>0</v>
      </c>
      <c r="BP40" s="462">
        <f t="shared" si="24"/>
        <v>0</v>
      </c>
      <c r="BQ40" s="462">
        <f t="shared" si="24"/>
        <v>0</v>
      </c>
      <c r="BR40" s="462">
        <f t="shared" si="24"/>
        <v>0</v>
      </c>
      <c r="BS40" s="462">
        <f t="shared" si="24"/>
        <v>0</v>
      </c>
      <c r="BT40" s="462">
        <f t="shared" si="24"/>
        <v>0</v>
      </c>
      <c r="BU40" s="462">
        <f t="shared" si="24"/>
        <v>0</v>
      </c>
      <c r="BV40" s="462">
        <f t="shared" si="24"/>
        <v>0</v>
      </c>
      <c r="BW40" s="462">
        <f t="shared" si="24"/>
        <v>0</v>
      </c>
      <c r="BX40" s="462">
        <f t="shared" si="25"/>
        <v>0</v>
      </c>
      <c r="BY40" s="462">
        <f t="shared" si="25"/>
        <v>0</v>
      </c>
      <c r="BZ40" s="462">
        <f t="shared" si="25"/>
        <v>0</v>
      </c>
      <c r="CA40" s="462">
        <f t="shared" si="25"/>
        <v>0</v>
      </c>
      <c r="CB40" s="462">
        <f t="shared" si="25"/>
        <v>0</v>
      </c>
      <c r="CC40" s="462">
        <f t="shared" si="25"/>
        <v>0</v>
      </c>
      <c r="CD40" s="462">
        <f t="shared" si="25"/>
        <v>0</v>
      </c>
      <c r="CE40" s="462">
        <f t="shared" si="25"/>
        <v>0</v>
      </c>
      <c r="CF40" s="462">
        <f t="shared" si="25"/>
        <v>0</v>
      </c>
      <c r="CG40" s="462">
        <f t="shared" si="25"/>
        <v>0</v>
      </c>
      <c r="CH40" s="462">
        <f t="shared" si="26"/>
        <v>0</v>
      </c>
      <c r="CI40" s="462">
        <f t="shared" si="26"/>
        <v>0</v>
      </c>
      <c r="CJ40" s="462">
        <f t="shared" si="26"/>
        <v>0</v>
      </c>
      <c r="CK40" s="462">
        <f t="shared" si="26"/>
        <v>0</v>
      </c>
      <c r="CL40" s="462">
        <f t="shared" si="26"/>
        <v>0</v>
      </c>
      <c r="CM40" s="462">
        <f t="shared" si="26"/>
        <v>0</v>
      </c>
      <c r="CN40" s="462">
        <f t="shared" si="26"/>
        <v>0</v>
      </c>
      <c r="CO40" s="462">
        <f t="shared" si="26"/>
        <v>0</v>
      </c>
      <c r="CP40" s="462">
        <f t="shared" si="26"/>
        <v>0</v>
      </c>
      <c r="CQ40" s="462">
        <f t="shared" si="26"/>
        <v>0</v>
      </c>
      <c r="CR40" s="463">
        <f t="shared" si="26"/>
        <v>0</v>
      </c>
    </row>
    <row r="41" spans="1:96" s="707" customFormat="1" ht="11.25" customHeight="1" x14ac:dyDescent="0.2">
      <c r="A41" s="355"/>
      <c r="B41" s="356"/>
      <c r="C41" s="2016" t="s">
        <v>614</v>
      </c>
      <c r="D41" s="2016"/>
      <c r="E41" s="2016"/>
      <c r="F41" s="254" t="s">
        <v>252</v>
      </c>
      <c r="G41" s="254"/>
      <c r="H41" s="1677"/>
      <c r="I41" s="2024"/>
      <c r="J41" s="2025"/>
      <c r="K41" s="2022"/>
      <c r="L41" s="2023"/>
      <c r="M41" s="2022"/>
      <c r="N41" s="2023"/>
      <c r="O41" s="2022"/>
      <c r="P41" s="2023"/>
      <c r="Q41" s="2045"/>
      <c r="R41" s="2025"/>
      <c r="S41" s="2067">
        <f>IF(ISBLANK(L41),K41,L41)+IF(ISBLANK(N41),M41,N41)+IF(ISBLANK(P41),O41,P41)+Q41</f>
        <v>0</v>
      </c>
      <c r="T41" s="2068"/>
      <c r="U41" s="2056">
        <v>1.4</v>
      </c>
      <c r="V41" s="2071"/>
      <c r="W41" s="2118"/>
      <c r="X41" s="2106"/>
      <c r="Y41" s="2106"/>
      <c r="Z41" s="2106"/>
      <c r="AA41" s="2108"/>
      <c r="AB41" s="2108"/>
      <c r="AC41" s="2110"/>
      <c r="AD41" s="2111"/>
      <c r="AE41" s="2051"/>
      <c r="AF41" s="2115"/>
      <c r="AG41" s="761"/>
      <c r="AH41" s="785">
        <f t="shared" si="8"/>
        <v>1.4</v>
      </c>
      <c r="AI41" s="2104">
        <f>IF(ISBLANK($J41),$I41,$J41)</f>
        <v>0</v>
      </c>
      <c r="AJ41" s="2130">
        <f>S41</f>
        <v>0</v>
      </c>
      <c r="AK41" s="2132">
        <f>S42</f>
        <v>0</v>
      </c>
      <c r="AL41" s="2132">
        <f>S43</f>
        <v>0</v>
      </c>
      <c r="AM41" s="2313">
        <f>S44</f>
        <v>0</v>
      </c>
      <c r="AN41" s="323"/>
      <c r="AO41" s="323"/>
      <c r="AP41" s="323"/>
      <c r="AQ41" s="323"/>
      <c r="AS41" s="417"/>
      <c r="AT41" s="458">
        <f t="shared" si="22"/>
        <v>0</v>
      </c>
      <c r="AU41" s="459">
        <f t="shared" si="22"/>
        <v>0</v>
      </c>
      <c r="AV41" s="459">
        <f t="shared" si="22"/>
        <v>0</v>
      </c>
      <c r="AW41" s="459">
        <f t="shared" si="22"/>
        <v>0</v>
      </c>
      <c r="AX41" s="459">
        <f t="shared" si="22"/>
        <v>0</v>
      </c>
      <c r="AY41" s="459">
        <f t="shared" si="22"/>
        <v>0</v>
      </c>
      <c r="AZ41" s="459">
        <f t="shared" si="22"/>
        <v>0</v>
      </c>
      <c r="BA41" s="459">
        <f t="shared" si="22"/>
        <v>0</v>
      </c>
      <c r="BB41" s="459">
        <f t="shared" si="22"/>
        <v>0</v>
      </c>
      <c r="BC41" s="459">
        <f t="shared" si="22"/>
        <v>0</v>
      </c>
      <c r="BD41" s="459">
        <f t="shared" si="23"/>
        <v>0</v>
      </c>
      <c r="BE41" s="459">
        <f t="shared" si="23"/>
        <v>0</v>
      </c>
      <c r="BF41" s="459">
        <f t="shared" si="23"/>
        <v>0</v>
      </c>
      <c r="BG41" s="459">
        <f t="shared" si="23"/>
        <v>0</v>
      </c>
      <c r="BH41" s="459">
        <f t="shared" si="23"/>
        <v>0</v>
      </c>
      <c r="BI41" s="459">
        <f t="shared" si="23"/>
        <v>0</v>
      </c>
      <c r="BJ41" s="459">
        <f t="shared" si="23"/>
        <v>0</v>
      </c>
      <c r="BK41" s="459">
        <f t="shared" si="23"/>
        <v>0</v>
      </c>
      <c r="BL41" s="459">
        <f t="shared" si="23"/>
        <v>0</v>
      </c>
      <c r="BM41" s="459">
        <f t="shared" si="23"/>
        <v>0</v>
      </c>
      <c r="BN41" s="459">
        <f t="shared" si="24"/>
        <v>0</v>
      </c>
      <c r="BO41" s="459">
        <f t="shared" si="24"/>
        <v>0</v>
      </c>
      <c r="BP41" s="459">
        <f t="shared" si="24"/>
        <v>0</v>
      </c>
      <c r="BQ41" s="459">
        <f t="shared" si="24"/>
        <v>0</v>
      </c>
      <c r="BR41" s="459">
        <f t="shared" si="24"/>
        <v>0</v>
      </c>
      <c r="BS41" s="459">
        <f t="shared" si="24"/>
        <v>0</v>
      </c>
      <c r="BT41" s="459">
        <f t="shared" si="24"/>
        <v>0</v>
      </c>
      <c r="BU41" s="459">
        <f t="shared" si="24"/>
        <v>0</v>
      </c>
      <c r="BV41" s="459">
        <f t="shared" si="24"/>
        <v>0</v>
      </c>
      <c r="BW41" s="459">
        <f t="shared" si="24"/>
        <v>0</v>
      </c>
      <c r="BX41" s="459">
        <f t="shared" si="25"/>
        <v>0</v>
      </c>
      <c r="BY41" s="459">
        <f t="shared" si="25"/>
        <v>0</v>
      </c>
      <c r="BZ41" s="459">
        <f t="shared" si="25"/>
        <v>0</v>
      </c>
      <c r="CA41" s="459">
        <f t="shared" si="25"/>
        <v>0</v>
      </c>
      <c r="CB41" s="459">
        <f t="shared" si="25"/>
        <v>0</v>
      </c>
      <c r="CC41" s="459">
        <f t="shared" si="25"/>
        <v>0</v>
      </c>
      <c r="CD41" s="459">
        <f t="shared" si="25"/>
        <v>0</v>
      </c>
      <c r="CE41" s="459">
        <f t="shared" si="25"/>
        <v>0</v>
      </c>
      <c r="CF41" s="459">
        <f t="shared" si="25"/>
        <v>0</v>
      </c>
      <c r="CG41" s="459">
        <f t="shared" si="25"/>
        <v>0</v>
      </c>
      <c r="CH41" s="459">
        <f t="shared" si="26"/>
        <v>0</v>
      </c>
      <c r="CI41" s="459">
        <f t="shared" si="26"/>
        <v>0</v>
      </c>
      <c r="CJ41" s="459">
        <f t="shared" si="26"/>
        <v>0</v>
      </c>
      <c r="CK41" s="459">
        <f t="shared" si="26"/>
        <v>0</v>
      </c>
      <c r="CL41" s="459">
        <f t="shared" si="26"/>
        <v>0</v>
      </c>
      <c r="CM41" s="459">
        <f t="shared" si="26"/>
        <v>0</v>
      </c>
      <c r="CN41" s="459">
        <f t="shared" si="26"/>
        <v>0</v>
      </c>
      <c r="CO41" s="459">
        <f t="shared" si="26"/>
        <v>0</v>
      </c>
      <c r="CP41" s="459">
        <f t="shared" si="26"/>
        <v>0</v>
      </c>
      <c r="CQ41" s="459">
        <f t="shared" si="26"/>
        <v>0</v>
      </c>
      <c r="CR41" s="460">
        <f t="shared" si="26"/>
        <v>0</v>
      </c>
    </row>
    <row r="42" spans="1:96" s="707" customFormat="1" ht="11.25" customHeight="1" x14ac:dyDescent="0.2">
      <c r="A42" s="355"/>
      <c r="B42" s="356"/>
      <c r="C42" s="2016"/>
      <c r="D42" s="2016"/>
      <c r="E42" s="2016"/>
      <c r="F42" s="254" t="s">
        <v>253</v>
      </c>
      <c r="G42" s="254"/>
      <c r="H42" s="1677"/>
      <c r="I42" s="2026"/>
      <c r="J42" s="2023"/>
      <c r="K42" s="2022"/>
      <c r="L42" s="2023"/>
      <c r="M42" s="2022"/>
      <c r="N42" s="2023"/>
      <c r="O42" s="2022"/>
      <c r="P42" s="2023"/>
      <c r="Q42" s="2046"/>
      <c r="R42" s="2023"/>
      <c r="S42" s="2067">
        <f>IF(ISBLANK(L42),K42,L42)+IF(ISBLANK(N42),M42,N42)+IF(ISBLANK(P42),O42,P42)+Q41</f>
        <v>0</v>
      </c>
      <c r="T42" s="2068"/>
      <c r="U42" s="2051"/>
      <c r="V42" s="2054"/>
      <c r="W42" s="2119"/>
      <c r="X42" s="2107"/>
      <c r="Y42" s="2107"/>
      <c r="Z42" s="2107"/>
      <c r="AA42" s="2109"/>
      <c r="AB42" s="2109"/>
      <c r="AC42" s="2112"/>
      <c r="AD42" s="2113"/>
      <c r="AE42" s="2051"/>
      <c r="AF42" s="2115"/>
      <c r="AG42" s="761"/>
      <c r="AH42" s="783">
        <f>IF(ISBLANK(V41),U41,V41)</f>
        <v>1.4</v>
      </c>
      <c r="AI42" s="2104"/>
      <c r="AJ42" s="2131"/>
      <c r="AK42" s="2133"/>
      <c r="AL42" s="2133"/>
      <c r="AM42" s="2314"/>
      <c r="AN42" s="323"/>
      <c r="AO42" s="323"/>
      <c r="AP42" s="323"/>
      <c r="AQ42" s="323"/>
      <c r="AS42" s="417"/>
      <c r="AT42" s="458">
        <f t="shared" si="22"/>
        <v>0</v>
      </c>
      <c r="AU42" s="459">
        <f t="shared" si="22"/>
        <v>0</v>
      </c>
      <c r="AV42" s="459">
        <f t="shared" si="22"/>
        <v>0</v>
      </c>
      <c r="AW42" s="459">
        <f t="shared" si="22"/>
        <v>0</v>
      </c>
      <c r="AX42" s="459">
        <f t="shared" si="22"/>
        <v>0</v>
      </c>
      <c r="AY42" s="459">
        <f t="shared" si="22"/>
        <v>0</v>
      </c>
      <c r="AZ42" s="459">
        <f t="shared" si="22"/>
        <v>0</v>
      </c>
      <c r="BA42" s="459">
        <f t="shared" si="22"/>
        <v>0</v>
      </c>
      <c r="BB42" s="459">
        <f t="shared" si="22"/>
        <v>0</v>
      </c>
      <c r="BC42" s="459">
        <f t="shared" si="22"/>
        <v>0</v>
      </c>
      <c r="BD42" s="459">
        <f t="shared" si="23"/>
        <v>0</v>
      </c>
      <c r="BE42" s="459">
        <f t="shared" si="23"/>
        <v>0</v>
      </c>
      <c r="BF42" s="459">
        <f t="shared" si="23"/>
        <v>0</v>
      </c>
      <c r="BG42" s="459">
        <f t="shared" si="23"/>
        <v>0</v>
      </c>
      <c r="BH42" s="459">
        <f t="shared" si="23"/>
        <v>0</v>
      </c>
      <c r="BI42" s="459">
        <f t="shared" si="23"/>
        <v>0</v>
      </c>
      <c r="BJ42" s="459">
        <f t="shared" si="23"/>
        <v>0</v>
      </c>
      <c r="BK42" s="459">
        <f t="shared" si="23"/>
        <v>0</v>
      </c>
      <c r="BL42" s="459">
        <f t="shared" si="23"/>
        <v>0</v>
      </c>
      <c r="BM42" s="459">
        <f t="shared" si="23"/>
        <v>0</v>
      </c>
      <c r="BN42" s="459">
        <f t="shared" si="24"/>
        <v>0</v>
      </c>
      <c r="BO42" s="459">
        <f t="shared" si="24"/>
        <v>0</v>
      </c>
      <c r="BP42" s="459">
        <f t="shared" si="24"/>
        <v>0</v>
      </c>
      <c r="BQ42" s="459">
        <f t="shared" si="24"/>
        <v>0</v>
      </c>
      <c r="BR42" s="459">
        <f t="shared" si="24"/>
        <v>0</v>
      </c>
      <c r="BS42" s="459">
        <f t="shared" si="24"/>
        <v>0</v>
      </c>
      <c r="BT42" s="459">
        <f t="shared" si="24"/>
        <v>0</v>
      </c>
      <c r="BU42" s="459">
        <f t="shared" si="24"/>
        <v>0</v>
      </c>
      <c r="BV42" s="459">
        <f t="shared" si="24"/>
        <v>0</v>
      </c>
      <c r="BW42" s="459">
        <f t="shared" si="24"/>
        <v>0</v>
      </c>
      <c r="BX42" s="459">
        <f t="shared" si="25"/>
        <v>0</v>
      </c>
      <c r="BY42" s="459">
        <f t="shared" si="25"/>
        <v>0</v>
      </c>
      <c r="BZ42" s="459">
        <f t="shared" si="25"/>
        <v>0</v>
      </c>
      <c r="CA42" s="459">
        <f t="shared" si="25"/>
        <v>0</v>
      </c>
      <c r="CB42" s="459">
        <f t="shared" si="25"/>
        <v>0</v>
      </c>
      <c r="CC42" s="459">
        <f t="shared" si="25"/>
        <v>0</v>
      </c>
      <c r="CD42" s="459">
        <f t="shared" si="25"/>
        <v>0</v>
      </c>
      <c r="CE42" s="459">
        <f t="shared" si="25"/>
        <v>0</v>
      </c>
      <c r="CF42" s="459">
        <f t="shared" si="25"/>
        <v>0</v>
      </c>
      <c r="CG42" s="459">
        <f t="shared" si="25"/>
        <v>0</v>
      </c>
      <c r="CH42" s="459">
        <f t="shared" si="26"/>
        <v>0</v>
      </c>
      <c r="CI42" s="459">
        <f t="shared" si="26"/>
        <v>0</v>
      </c>
      <c r="CJ42" s="459">
        <f t="shared" si="26"/>
        <v>0</v>
      </c>
      <c r="CK42" s="459">
        <f t="shared" si="26"/>
        <v>0</v>
      </c>
      <c r="CL42" s="459">
        <f t="shared" si="26"/>
        <v>0</v>
      </c>
      <c r="CM42" s="459">
        <f t="shared" si="26"/>
        <v>0</v>
      </c>
      <c r="CN42" s="459">
        <f t="shared" si="26"/>
        <v>0</v>
      </c>
      <c r="CO42" s="459">
        <f t="shared" si="26"/>
        <v>0</v>
      </c>
      <c r="CP42" s="459">
        <f t="shared" si="26"/>
        <v>0</v>
      </c>
      <c r="CQ42" s="459">
        <f t="shared" si="26"/>
        <v>0</v>
      </c>
      <c r="CR42" s="460">
        <f t="shared" si="26"/>
        <v>0</v>
      </c>
    </row>
    <row r="43" spans="1:96" s="707" customFormat="1" ht="11.25" customHeight="1" x14ac:dyDescent="0.2">
      <c r="A43" s="355"/>
      <c r="B43" s="356"/>
      <c r="C43" s="2016"/>
      <c r="D43" s="2016"/>
      <c r="E43" s="2016"/>
      <c r="F43" s="254" t="s">
        <v>254</v>
      </c>
      <c r="G43" s="254"/>
      <c r="H43" s="1677"/>
      <c r="I43" s="2026"/>
      <c r="J43" s="2023"/>
      <c r="K43" s="2022"/>
      <c r="L43" s="2023"/>
      <c r="M43" s="2022"/>
      <c r="N43" s="2023"/>
      <c r="O43" s="2022"/>
      <c r="P43" s="2023"/>
      <c r="Q43" s="2046"/>
      <c r="R43" s="2023"/>
      <c r="S43" s="2067">
        <f>IF(ISBLANK(L43),K43,L43)+IF(ISBLANK(N43),M43,N43)+IF(ISBLANK(P43),O43,P43)+Q41</f>
        <v>0</v>
      </c>
      <c r="T43" s="2068"/>
      <c r="U43" s="2051"/>
      <c r="V43" s="2054"/>
      <c r="W43" s="2119"/>
      <c r="X43" s="2107"/>
      <c r="Y43" s="2107"/>
      <c r="Z43" s="2107"/>
      <c r="AA43" s="2109"/>
      <c r="AB43" s="2109"/>
      <c r="AC43" s="2112"/>
      <c r="AD43" s="2113"/>
      <c r="AE43" s="2051"/>
      <c r="AF43" s="2115"/>
      <c r="AG43" s="761"/>
      <c r="AH43" s="783">
        <f>IF(ISBLANK(V41),U41,V41)</f>
        <v>1.4</v>
      </c>
      <c r="AI43" s="2104"/>
      <c r="AJ43" s="2131"/>
      <c r="AK43" s="2133"/>
      <c r="AL43" s="2133"/>
      <c r="AM43" s="2314"/>
      <c r="AN43" s="323"/>
      <c r="AO43" s="323"/>
      <c r="AP43" s="323"/>
      <c r="AQ43" s="323"/>
      <c r="AS43" s="417"/>
      <c r="AT43" s="458">
        <f t="shared" si="22"/>
        <v>0</v>
      </c>
      <c r="AU43" s="459">
        <f t="shared" si="22"/>
        <v>0</v>
      </c>
      <c r="AV43" s="459">
        <f t="shared" si="22"/>
        <v>0</v>
      </c>
      <c r="AW43" s="459">
        <f t="shared" si="22"/>
        <v>0</v>
      </c>
      <c r="AX43" s="459">
        <f t="shared" si="22"/>
        <v>0</v>
      </c>
      <c r="AY43" s="459">
        <f t="shared" si="22"/>
        <v>0</v>
      </c>
      <c r="AZ43" s="459">
        <f t="shared" si="22"/>
        <v>0</v>
      </c>
      <c r="BA43" s="459">
        <f t="shared" si="22"/>
        <v>0</v>
      </c>
      <c r="BB43" s="459">
        <f t="shared" si="22"/>
        <v>0</v>
      </c>
      <c r="BC43" s="459">
        <f t="shared" si="22"/>
        <v>0</v>
      </c>
      <c r="BD43" s="459">
        <f t="shared" si="23"/>
        <v>0</v>
      </c>
      <c r="BE43" s="459">
        <f t="shared" si="23"/>
        <v>0</v>
      </c>
      <c r="BF43" s="459">
        <f t="shared" si="23"/>
        <v>0</v>
      </c>
      <c r="BG43" s="459">
        <f t="shared" si="23"/>
        <v>0</v>
      </c>
      <c r="BH43" s="459">
        <f t="shared" si="23"/>
        <v>0</v>
      </c>
      <c r="BI43" s="459">
        <f t="shared" si="23"/>
        <v>0</v>
      </c>
      <c r="BJ43" s="459">
        <f t="shared" si="23"/>
        <v>0</v>
      </c>
      <c r="BK43" s="459">
        <f t="shared" si="23"/>
        <v>0</v>
      </c>
      <c r="BL43" s="459">
        <f t="shared" si="23"/>
        <v>0</v>
      </c>
      <c r="BM43" s="459">
        <f t="shared" si="23"/>
        <v>0</v>
      </c>
      <c r="BN43" s="459">
        <f t="shared" si="24"/>
        <v>0</v>
      </c>
      <c r="BO43" s="459">
        <f t="shared" si="24"/>
        <v>0</v>
      </c>
      <c r="BP43" s="459">
        <f t="shared" si="24"/>
        <v>0</v>
      </c>
      <c r="BQ43" s="459">
        <f t="shared" si="24"/>
        <v>0</v>
      </c>
      <c r="BR43" s="459">
        <f t="shared" si="24"/>
        <v>0</v>
      </c>
      <c r="BS43" s="459">
        <f t="shared" si="24"/>
        <v>0</v>
      </c>
      <c r="BT43" s="459">
        <f t="shared" si="24"/>
        <v>0</v>
      </c>
      <c r="BU43" s="459">
        <f t="shared" si="24"/>
        <v>0</v>
      </c>
      <c r="BV43" s="459">
        <f t="shared" si="24"/>
        <v>0</v>
      </c>
      <c r="BW43" s="459">
        <f t="shared" si="24"/>
        <v>0</v>
      </c>
      <c r="BX43" s="459">
        <f t="shared" si="25"/>
        <v>0</v>
      </c>
      <c r="BY43" s="459">
        <f t="shared" si="25"/>
        <v>0</v>
      </c>
      <c r="BZ43" s="459">
        <f t="shared" si="25"/>
        <v>0</v>
      </c>
      <c r="CA43" s="459">
        <f t="shared" si="25"/>
        <v>0</v>
      </c>
      <c r="CB43" s="459">
        <f t="shared" si="25"/>
        <v>0</v>
      </c>
      <c r="CC43" s="459">
        <f t="shared" si="25"/>
        <v>0</v>
      </c>
      <c r="CD43" s="459">
        <f t="shared" si="25"/>
        <v>0</v>
      </c>
      <c r="CE43" s="459">
        <f t="shared" si="25"/>
        <v>0</v>
      </c>
      <c r="CF43" s="459">
        <f t="shared" si="25"/>
        <v>0</v>
      </c>
      <c r="CG43" s="459">
        <f t="shared" si="25"/>
        <v>0</v>
      </c>
      <c r="CH43" s="459">
        <f t="shared" si="26"/>
        <v>0</v>
      </c>
      <c r="CI43" s="459">
        <f t="shared" si="26"/>
        <v>0</v>
      </c>
      <c r="CJ43" s="459">
        <f t="shared" si="26"/>
        <v>0</v>
      </c>
      <c r="CK43" s="459">
        <f t="shared" si="26"/>
        <v>0</v>
      </c>
      <c r="CL43" s="459">
        <f t="shared" si="26"/>
        <v>0</v>
      </c>
      <c r="CM43" s="459">
        <f t="shared" si="26"/>
        <v>0</v>
      </c>
      <c r="CN43" s="459">
        <f t="shared" si="26"/>
        <v>0</v>
      </c>
      <c r="CO43" s="459">
        <f t="shared" si="26"/>
        <v>0</v>
      </c>
      <c r="CP43" s="459">
        <f t="shared" si="26"/>
        <v>0</v>
      </c>
      <c r="CQ43" s="459">
        <f t="shared" si="26"/>
        <v>0</v>
      </c>
      <c r="CR43" s="460">
        <f t="shared" si="26"/>
        <v>0</v>
      </c>
    </row>
    <row r="44" spans="1:96" s="707" customFormat="1" ht="11.25" customHeight="1" x14ac:dyDescent="0.2">
      <c r="A44" s="355"/>
      <c r="B44" s="356"/>
      <c r="C44" s="2017"/>
      <c r="D44" s="2017"/>
      <c r="E44" s="2017"/>
      <c r="F44" s="553" t="s">
        <v>255</v>
      </c>
      <c r="G44" s="553"/>
      <c r="H44" s="1678"/>
      <c r="I44" s="2027"/>
      <c r="J44" s="2028"/>
      <c r="K44" s="2029"/>
      <c r="L44" s="2030"/>
      <c r="M44" s="2029"/>
      <c r="N44" s="2030"/>
      <c r="O44" s="2029"/>
      <c r="P44" s="2030"/>
      <c r="Q44" s="2149"/>
      <c r="R44" s="2028"/>
      <c r="S44" s="2072">
        <f>IF(ISBLANK(L44),K44,L44)+IF(ISBLANK(N44),M44,N44)+IF(ISBLANK(P44),O44,P44)+Q41</f>
        <v>0</v>
      </c>
      <c r="T44" s="2073"/>
      <c r="U44" s="2116"/>
      <c r="V44" s="2336"/>
      <c r="W44" s="2119"/>
      <c r="X44" s="2107"/>
      <c r="Y44" s="2107"/>
      <c r="Z44" s="2107"/>
      <c r="AA44" s="2109"/>
      <c r="AB44" s="2109"/>
      <c r="AC44" s="2112"/>
      <c r="AD44" s="2113"/>
      <c r="AE44" s="2116"/>
      <c r="AF44" s="2117"/>
      <c r="AG44" s="761"/>
      <c r="AH44" s="786">
        <f>IF(ISBLANK(V41),U41,V41)</f>
        <v>1.4</v>
      </c>
      <c r="AI44" s="2105"/>
      <c r="AJ44" s="2364"/>
      <c r="AK44" s="2315"/>
      <c r="AL44" s="2315"/>
      <c r="AM44" s="2347"/>
      <c r="AN44" s="323"/>
      <c r="AO44" s="405" t="s">
        <v>546</v>
      </c>
      <c r="AP44" s="407"/>
      <c r="AQ44" s="1280">
        <f>MATCH(Projektdaten!$G$20,Grunddaten!C11:C44,0)-1</f>
        <v>0</v>
      </c>
      <c r="AS44" s="417"/>
      <c r="AT44" s="458">
        <f t="shared" si="22"/>
        <v>0</v>
      </c>
      <c r="AU44" s="459">
        <f t="shared" si="22"/>
        <v>0</v>
      </c>
      <c r="AV44" s="459">
        <f t="shared" si="22"/>
        <v>0</v>
      </c>
      <c r="AW44" s="459">
        <f t="shared" si="22"/>
        <v>0</v>
      </c>
      <c r="AX44" s="459">
        <f t="shared" si="22"/>
        <v>0</v>
      </c>
      <c r="AY44" s="459">
        <f t="shared" si="22"/>
        <v>0</v>
      </c>
      <c r="AZ44" s="459">
        <f t="shared" si="22"/>
        <v>0</v>
      </c>
      <c r="BA44" s="459">
        <f t="shared" si="22"/>
        <v>0</v>
      </c>
      <c r="BB44" s="459">
        <f t="shared" si="22"/>
        <v>0</v>
      </c>
      <c r="BC44" s="459">
        <f t="shared" si="22"/>
        <v>0</v>
      </c>
      <c r="BD44" s="459">
        <f t="shared" si="23"/>
        <v>0</v>
      </c>
      <c r="BE44" s="459">
        <f t="shared" si="23"/>
        <v>0</v>
      </c>
      <c r="BF44" s="459">
        <f t="shared" si="23"/>
        <v>0</v>
      </c>
      <c r="BG44" s="459">
        <f t="shared" si="23"/>
        <v>0</v>
      </c>
      <c r="BH44" s="459">
        <f t="shared" si="23"/>
        <v>0</v>
      </c>
      <c r="BI44" s="459">
        <f t="shared" si="23"/>
        <v>0</v>
      </c>
      <c r="BJ44" s="459">
        <f t="shared" si="23"/>
        <v>0</v>
      </c>
      <c r="BK44" s="459">
        <f t="shared" si="23"/>
        <v>0</v>
      </c>
      <c r="BL44" s="459">
        <f t="shared" si="23"/>
        <v>0</v>
      </c>
      <c r="BM44" s="459">
        <f t="shared" si="23"/>
        <v>0</v>
      </c>
      <c r="BN44" s="459">
        <f t="shared" si="24"/>
        <v>0</v>
      </c>
      <c r="BO44" s="459">
        <f t="shared" si="24"/>
        <v>0</v>
      </c>
      <c r="BP44" s="459">
        <f t="shared" si="24"/>
        <v>0</v>
      </c>
      <c r="BQ44" s="459">
        <f t="shared" si="24"/>
        <v>0</v>
      </c>
      <c r="BR44" s="459">
        <f t="shared" si="24"/>
        <v>0</v>
      </c>
      <c r="BS44" s="459">
        <f t="shared" si="24"/>
        <v>0</v>
      </c>
      <c r="BT44" s="459">
        <f t="shared" si="24"/>
        <v>0</v>
      </c>
      <c r="BU44" s="459">
        <f t="shared" si="24"/>
        <v>0</v>
      </c>
      <c r="BV44" s="459">
        <f t="shared" si="24"/>
        <v>0</v>
      </c>
      <c r="BW44" s="459">
        <f t="shared" si="24"/>
        <v>0</v>
      </c>
      <c r="BX44" s="459">
        <f t="shared" si="25"/>
        <v>0</v>
      </c>
      <c r="BY44" s="459">
        <f t="shared" si="25"/>
        <v>0</v>
      </c>
      <c r="BZ44" s="459">
        <f t="shared" si="25"/>
        <v>0</v>
      </c>
      <c r="CA44" s="459">
        <f t="shared" si="25"/>
        <v>0</v>
      </c>
      <c r="CB44" s="459">
        <f t="shared" si="25"/>
        <v>0</v>
      </c>
      <c r="CC44" s="459">
        <f t="shared" si="25"/>
        <v>0</v>
      </c>
      <c r="CD44" s="459">
        <f t="shared" si="25"/>
        <v>0</v>
      </c>
      <c r="CE44" s="459">
        <f t="shared" si="25"/>
        <v>0</v>
      </c>
      <c r="CF44" s="459">
        <f t="shared" si="25"/>
        <v>0</v>
      </c>
      <c r="CG44" s="459">
        <f t="shared" si="25"/>
        <v>0</v>
      </c>
      <c r="CH44" s="459">
        <f t="shared" si="26"/>
        <v>0</v>
      </c>
      <c r="CI44" s="459">
        <f t="shared" si="26"/>
        <v>0</v>
      </c>
      <c r="CJ44" s="459">
        <f t="shared" si="26"/>
        <v>0</v>
      </c>
      <c r="CK44" s="459">
        <f t="shared" si="26"/>
        <v>0</v>
      </c>
      <c r="CL44" s="459">
        <f t="shared" si="26"/>
        <v>0</v>
      </c>
      <c r="CM44" s="459">
        <f t="shared" si="26"/>
        <v>0</v>
      </c>
      <c r="CN44" s="459">
        <f t="shared" si="26"/>
        <v>0</v>
      </c>
      <c r="CO44" s="459">
        <f t="shared" si="26"/>
        <v>0</v>
      </c>
      <c r="CP44" s="459">
        <f t="shared" si="26"/>
        <v>0</v>
      </c>
      <c r="CQ44" s="459">
        <f t="shared" si="26"/>
        <v>0</v>
      </c>
      <c r="CR44" s="460">
        <f t="shared" si="26"/>
        <v>0</v>
      </c>
    </row>
    <row r="45" spans="1:96" s="250" customFormat="1" ht="11.25" customHeight="1" x14ac:dyDescent="0.2">
      <c r="A45" s="835" t="s">
        <v>256</v>
      </c>
      <c r="B45" s="836"/>
      <c r="C45" s="359" t="s">
        <v>43</v>
      </c>
      <c r="D45" s="359"/>
      <c r="E45" s="359"/>
      <c r="F45" s="359" t="s">
        <v>644</v>
      </c>
      <c r="G45" s="359"/>
      <c r="H45" s="1655"/>
      <c r="I45" s="1656"/>
      <c r="J45" s="1657"/>
      <c r="K45" s="1801">
        <f>R76*1.08</f>
        <v>6.8688000000000011</v>
      </c>
      <c r="L45" s="1658"/>
      <c r="M45" s="1651"/>
      <c r="N45" s="1652"/>
      <c r="O45" s="1651"/>
      <c r="P45" s="1652"/>
      <c r="Q45" s="2134">
        <v>2.2999999999999998</v>
      </c>
      <c r="R45" s="2135"/>
      <c r="S45" s="2178">
        <f>IF(ISBLANK(L45),K45,L45)+Q45</f>
        <v>9.1688000000000009</v>
      </c>
      <c r="T45" s="2179"/>
      <c r="U45" s="1659">
        <v>1.6</v>
      </c>
      <c r="V45" s="1660"/>
      <c r="W45" s="2155">
        <v>0.2</v>
      </c>
      <c r="X45" s="2156"/>
      <c r="Y45" s="2156">
        <f>1.22-W45</f>
        <v>1.02</v>
      </c>
      <c r="Z45" s="2156"/>
      <c r="AA45" s="2158">
        <f>0.00959*3.6</f>
        <v>3.4523999999999999E-2</v>
      </c>
      <c r="AB45" s="2158"/>
      <c r="AC45" s="2289">
        <f>21.5*3.6</f>
        <v>77.400000000000006</v>
      </c>
      <c r="AD45" s="2365"/>
      <c r="AE45" s="2050">
        <v>0.7</v>
      </c>
      <c r="AF45" s="2114"/>
      <c r="AG45" s="761"/>
      <c r="AH45" s="1349">
        <f>IF(ISBLANK(V45),U45,V45)</f>
        <v>1.6</v>
      </c>
      <c r="AI45" s="1350">
        <f t="shared" si="10"/>
        <v>0</v>
      </c>
      <c r="AJ45" s="323"/>
      <c r="AK45" s="323"/>
      <c r="AL45" s="323"/>
      <c r="AM45" s="323"/>
      <c r="AN45" s="323"/>
      <c r="AO45" s="323"/>
      <c r="AP45" s="323"/>
      <c r="AQ45" s="323"/>
      <c r="AR45" s="396"/>
      <c r="AS45" s="417"/>
      <c r="AT45" s="1758">
        <f t="shared" ca="1" si="22"/>
        <v>1</v>
      </c>
      <c r="AU45" s="1759">
        <f t="shared" ca="1" si="22"/>
        <v>1.016</v>
      </c>
      <c r="AV45" s="1759">
        <f t="shared" ca="1" si="22"/>
        <v>1.032</v>
      </c>
      <c r="AW45" s="1759">
        <f t="shared" ca="1" si="22"/>
        <v>1.048</v>
      </c>
      <c r="AX45" s="1759">
        <f t="shared" ca="1" si="22"/>
        <v>1.0640000000000001</v>
      </c>
      <c r="AY45" s="1759">
        <f t="shared" ca="1" si="22"/>
        <v>1.08</v>
      </c>
      <c r="AZ45" s="1759">
        <f t="shared" ca="1" si="22"/>
        <v>1.0960000000000001</v>
      </c>
      <c r="BA45" s="1759">
        <f t="shared" ca="1" si="22"/>
        <v>1.1120000000000001</v>
      </c>
      <c r="BB45" s="1759">
        <f t="shared" ca="1" si="22"/>
        <v>1.1280000000000001</v>
      </c>
      <c r="BC45" s="1759">
        <f t="shared" ca="1" si="22"/>
        <v>1.1440000000000001</v>
      </c>
      <c r="BD45" s="1759">
        <f t="shared" ca="1" si="23"/>
        <v>1.1599999999999999</v>
      </c>
      <c r="BE45" s="1759">
        <f t="shared" ca="1" si="23"/>
        <v>1.1759999999999999</v>
      </c>
      <c r="BF45" s="1759">
        <f t="shared" ca="1" si="23"/>
        <v>1.1919999999999999</v>
      </c>
      <c r="BG45" s="1759">
        <f t="shared" ca="1" si="23"/>
        <v>1.208</v>
      </c>
      <c r="BH45" s="1759">
        <f t="shared" ca="1" si="23"/>
        <v>1.224</v>
      </c>
      <c r="BI45" s="1759">
        <f t="shared" ca="1" si="23"/>
        <v>1.24</v>
      </c>
      <c r="BJ45" s="1759">
        <f t="shared" ca="1" si="23"/>
        <v>1.256</v>
      </c>
      <c r="BK45" s="1759">
        <f t="shared" ca="1" si="23"/>
        <v>1.272</v>
      </c>
      <c r="BL45" s="1759">
        <f t="shared" ca="1" si="23"/>
        <v>1.288</v>
      </c>
      <c r="BM45" s="1759">
        <f t="shared" ca="1" si="23"/>
        <v>1.304</v>
      </c>
      <c r="BN45" s="1759">
        <f t="shared" ca="1" si="24"/>
        <v>1.32</v>
      </c>
      <c r="BO45" s="1759">
        <f t="shared" ca="1" si="24"/>
        <v>1.3360000000000001</v>
      </c>
      <c r="BP45" s="1759">
        <f t="shared" ca="1" si="24"/>
        <v>1.3520000000000001</v>
      </c>
      <c r="BQ45" s="1759">
        <f t="shared" ca="1" si="24"/>
        <v>1.3680000000000001</v>
      </c>
      <c r="BR45" s="1759">
        <f t="shared" ca="1" si="24"/>
        <v>1.3840000000000001</v>
      </c>
      <c r="BS45" s="1759">
        <f t="shared" ca="1" si="24"/>
        <v>1.4</v>
      </c>
      <c r="BT45" s="1759">
        <f t="shared" ca="1" si="24"/>
        <v>1.4159999999999999</v>
      </c>
      <c r="BU45" s="1759">
        <f t="shared" ca="1" si="24"/>
        <v>1.4319999999999999</v>
      </c>
      <c r="BV45" s="1759">
        <f t="shared" ca="1" si="24"/>
        <v>1.448</v>
      </c>
      <c r="BW45" s="1759">
        <f t="shared" ca="1" si="24"/>
        <v>1.464</v>
      </c>
      <c r="BX45" s="1759">
        <f t="shared" ca="1" si="25"/>
        <v>1.48</v>
      </c>
      <c r="BY45" s="1759">
        <f t="shared" ca="1" si="25"/>
        <v>1.496</v>
      </c>
      <c r="BZ45" s="1759">
        <f t="shared" ca="1" si="25"/>
        <v>1.512</v>
      </c>
      <c r="CA45" s="1759">
        <f t="shared" ca="1" si="25"/>
        <v>1.528</v>
      </c>
      <c r="CB45" s="1759">
        <f t="shared" ca="1" si="25"/>
        <v>1.544</v>
      </c>
      <c r="CC45" s="1759">
        <f t="shared" ca="1" si="25"/>
        <v>1.56</v>
      </c>
      <c r="CD45" s="1759">
        <f t="shared" ca="1" si="25"/>
        <v>1.5760000000000001</v>
      </c>
      <c r="CE45" s="1759">
        <f t="shared" ca="1" si="25"/>
        <v>1.5920000000000001</v>
      </c>
      <c r="CF45" s="1759">
        <f t="shared" ca="1" si="25"/>
        <v>1.6080000000000001</v>
      </c>
      <c r="CG45" s="1759">
        <f t="shared" ca="1" si="25"/>
        <v>1.6240000000000001</v>
      </c>
      <c r="CH45" s="1759">
        <f t="shared" ca="1" si="26"/>
        <v>1.6400000000000001</v>
      </c>
      <c r="CI45" s="1759">
        <f t="shared" ca="1" si="26"/>
        <v>1.6560000000000001</v>
      </c>
      <c r="CJ45" s="1759">
        <f t="shared" ca="1" si="26"/>
        <v>1.6720000000000002</v>
      </c>
      <c r="CK45" s="1759">
        <f t="shared" ca="1" si="26"/>
        <v>1.6879999999999999</v>
      </c>
      <c r="CL45" s="1759">
        <f t="shared" ca="1" si="26"/>
        <v>1.7040000000000002</v>
      </c>
      <c r="CM45" s="1759">
        <f t="shared" ca="1" si="26"/>
        <v>1.72</v>
      </c>
      <c r="CN45" s="1759">
        <f t="shared" ca="1" si="26"/>
        <v>1.7360000000000002</v>
      </c>
      <c r="CO45" s="1759">
        <f t="shared" ca="1" si="26"/>
        <v>1.752</v>
      </c>
      <c r="CP45" s="1759">
        <f t="shared" ca="1" si="26"/>
        <v>1.7680000000000002</v>
      </c>
      <c r="CQ45" s="1759">
        <f t="shared" ca="1" si="26"/>
        <v>1.784</v>
      </c>
      <c r="CR45" s="1760">
        <f t="shared" ca="1" si="26"/>
        <v>1.8</v>
      </c>
    </row>
    <row r="46" spans="1:96" s="250" customFormat="1" ht="11.25" customHeight="1" x14ac:dyDescent="0.2">
      <c r="A46" s="837"/>
      <c r="B46" s="838"/>
      <c r="C46" s="362" t="s">
        <v>16</v>
      </c>
      <c r="D46" s="362"/>
      <c r="E46" s="362"/>
      <c r="F46" s="362" t="s">
        <v>644</v>
      </c>
      <c r="G46" s="362"/>
      <c r="H46" s="1661"/>
      <c r="I46" s="1662"/>
      <c r="J46" s="1663"/>
      <c r="K46" s="1664">
        <v>4.5999999999999996</v>
      </c>
      <c r="L46" s="1665"/>
      <c r="M46" s="1666"/>
      <c r="N46" s="1667"/>
      <c r="O46" s="1666"/>
      <c r="P46" s="1667"/>
      <c r="Q46" s="2128">
        <v>1.9</v>
      </c>
      <c r="R46" s="2129"/>
      <c r="S46" s="2153">
        <f>IF(ISBLANK(L46),K46,L46)+Q46</f>
        <v>6.5</v>
      </c>
      <c r="T46" s="2154"/>
      <c r="U46" s="1668">
        <v>2.9</v>
      </c>
      <c r="V46" s="1669"/>
      <c r="W46" s="2088">
        <v>6.6400000000000001E-2</v>
      </c>
      <c r="X46" s="2085"/>
      <c r="Y46" s="2085">
        <f>1.15-W46</f>
        <v>1.0835999999999999</v>
      </c>
      <c r="Z46" s="2085"/>
      <c r="AA46" s="2099">
        <f>0.00297*3.6</f>
        <v>1.0692E-2</v>
      </c>
      <c r="AB46" s="2099"/>
      <c r="AC46" s="2077">
        <f>17.8*3.6</f>
        <v>64.08</v>
      </c>
      <c r="AD46" s="2100"/>
      <c r="AE46" s="2051"/>
      <c r="AF46" s="2115"/>
      <c r="AG46" s="761"/>
      <c r="AH46" s="778">
        <f t="shared" ref="AH46:AH54" si="27">IF(ISBLANK(V46),U46,V46)</f>
        <v>2.9</v>
      </c>
      <c r="AI46" s="779">
        <f t="shared" si="10"/>
        <v>0</v>
      </c>
      <c r="AJ46" s="323"/>
      <c r="AK46" s="323"/>
      <c r="AL46" s="323"/>
      <c r="AM46" s="323"/>
      <c r="AN46" s="323"/>
      <c r="AO46" s="323"/>
      <c r="AP46" s="323"/>
      <c r="AQ46" s="323"/>
      <c r="AR46" s="396"/>
      <c r="AS46" s="417"/>
      <c r="AT46" s="467">
        <f t="shared" ca="1" si="22"/>
        <v>1</v>
      </c>
      <c r="AU46" s="468">
        <f t="shared" ca="1" si="22"/>
        <v>1.0289999999999999</v>
      </c>
      <c r="AV46" s="468">
        <f t="shared" ca="1" si="22"/>
        <v>1.0580000000000001</v>
      </c>
      <c r="AW46" s="468">
        <f t="shared" ca="1" si="22"/>
        <v>1.087</v>
      </c>
      <c r="AX46" s="468">
        <f t="shared" ca="1" si="22"/>
        <v>1.1160000000000001</v>
      </c>
      <c r="AY46" s="468">
        <f t="shared" ca="1" si="22"/>
        <v>1.145</v>
      </c>
      <c r="AZ46" s="468">
        <f t="shared" ca="1" si="22"/>
        <v>1.1739999999999999</v>
      </c>
      <c r="BA46" s="468">
        <f t="shared" ca="1" si="22"/>
        <v>1.2030000000000001</v>
      </c>
      <c r="BB46" s="468">
        <f t="shared" ca="1" si="22"/>
        <v>1.232</v>
      </c>
      <c r="BC46" s="468">
        <f t="shared" ca="1" si="22"/>
        <v>1.2609999999999999</v>
      </c>
      <c r="BD46" s="468">
        <f t="shared" ca="1" si="23"/>
        <v>1.29</v>
      </c>
      <c r="BE46" s="468">
        <f t="shared" ca="1" si="23"/>
        <v>1.319</v>
      </c>
      <c r="BF46" s="468">
        <f t="shared" ca="1" si="23"/>
        <v>1.3479999999999999</v>
      </c>
      <c r="BG46" s="468">
        <f t="shared" ca="1" si="23"/>
        <v>1.377</v>
      </c>
      <c r="BH46" s="468">
        <f t="shared" ca="1" si="23"/>
        <v>1.4060000000000001</v>
      </c>
      <c r="BI46" s="468">
        <f t="shared" ca="1" si="23"/>
        <v>1.4350000000000001</v>
      </c>
      <c r="BJ46" s="468">
        <f t="shared" ca="1" si="23"/>
        <v>1.464</v>
      </c>
      <c r="BK46" s="468">
        <f t="shared" ca="1" si="23"/>
        <v>1.4929999999999999</v>
      </c>
      <c r="BL46" s="468">
        <f t="shared" ca="1" si="23"/>
        <v>1.5219999999999998</v>
      </c>
      <c r="BM46" s="468">
        <f t="shared" ca="1" si="23"/>
        <v>1.5510000000000002</v>
      </c>
      <c r="BN46" s="468">
        <f t="shared" ca="1" si="24"/>
        <v>1.58</v>
      </c>
      <c r="BO46" s="468">
        <f t="shared" ca="1" si="24"/>
        <v>1.609</v>
      </c>
      <c r="BP46" s="468">
        <f t="shared" ca="1" si="24"/>
        <v>1.6379999999999999</v>
      </c>
      <c r="BQ46" s="468">
        <f t="shared" ca="1" si="24"/>
        <v>1.667</v>
      </c>
      <c r="BR46" s="468">
        <f t="shared" ca="1" si="24"/>
        <v>1.696</v>
      </c>
      <c r="BS46" s="468">
        <f t="shared" ca="1" si="24"/>
        <v>1.7250000000000001</v>
      </c>
      <c r="BT46" s="468">
        <f t="shared" ca="1" si="24"/>
        <v>1.754</v>
      </c>
      <c r="BU46" s="468">
        <f t="shared" ca="1" si="24"/>
        <v>1.7829999999999999</v>
      </c>
      <c r="BV46" s="468">
        <f t="shared" ca="1" si="24"/>
        <v>1.8120000000000001</v>
      </c>
      <c r="BW46" s="468">
        <f t="shared" ca="1" si="24"/>
        <v>1.841</v>
      </c>
      <c r="BX46" s="468">
        <f t="shared" ca="1" si="25"/>
        <v>1.87</v>
      </c>
      <c r="BY46" s="468">
        <f t="shared" ca="1" si="25"/>
        <v>1.899</v>
      </c>
      <c r="BZ46" s="468">
        <f t="shared" ca="1" si="25"/>
        <v>1.9279999999999999</v>
      </c>
      <c r="CA46" s="468">
        <f t="shared" ca="1" si="25"/>
        <v>1.9570000000000001</v>
      </c>
      <c r="CB46" s="468">
        <f t="shared" ca="1" si="25"/>
        <v>1.986</v>
      </c>
      <c r="CC46" s="468">
        <f t="shared" ca="1" si="25"/>
        <v>2.0149999999999997</v>
      </c>
      <c r="CD46" s="468">
        <f t="shared" ca="1" si="25"/>
        <v>2.0439999999999996</v>
      </c>
      <c r="CE46" s="468">
        <f t="shared" ca="1" si="25"/>
        <v>2.073</v>
      </c>
      <c r="CF46" s="468">
        <f t="shared" ca="1" si="25"/>
        <v>2.1020000000000003</v>
      </c>
      <c r="CG46" s="468">
        <f t="shared" ca="1" si="25"/>
        <v>2.1310000000000002</v>
      </c>
      <c r="CH46" s="468">
        <f t="shared" ca="1" si="26"/>
        <v>2.16</v>
      </c>
      <c r="CI46" s="468">
        <f t="shared" ca="1" si="26"/>
        <v>2.1890000000000001</v>
      </c>
      <c r="CJ46" s="468">
        <f t="shared" ca="1" si="26"/>
        <v>2.218</v>
      </c>
      <c r="CK46" s="468">
        <f t="shared" ca="1" si="26"/>
        <v>2.2469999999999999</v>
      </c>
      <c r="CL46" s="468">
        <f t="shared" ca="1" si="26"/>
        <v>2.2759999999999998</v>
      </c>
      <c r="CM46" s="468">
        <f t="shared" ca="1" si="26"/>
        <v>2.3049999999999997</v>
      </c>
      <c r="CN46" s="468">
        <f t="shared" ca="1" si="26"/>
        <v>2.3340000000000001</v>
      </c>
      <c r="CO46" s="468">
        <f t="shared" ca="1" si="26"/>
        <v>2.3629999999999995</v>
      </c>
      <c r="CP46" s="468">
        <f t="shared" ca="1" si="26"/>
        <v>2.3919999999999999</v>
      </c>
      <c r="CQ46" s="468">
        <f t="shared" ca="1" si="26"/>
        <v>2.4210000000000003</v>
      </c>
      <c r="CR46" s="469">
        <f t="shared" ca="1" si="26"/>
        <v>2.4500000000000002</v>
      </c>
    </row>
    <row r="47" spans="1:96" s="1824" customFormat="1" ht="11.25" customHeight="1" x14ac:dyDescent="0.2">
      <c r="A47" s="1817"/>
      <c r="B47" s="1818"/>
      <c r="C47" s="362" t="s">
        <v>846</v>
      </c>
      <c r="D47" s="1819"/>
      <c r="E47" s="1819"/>
      <c r="F47" s="1819"/>
      <c r="G47" s="1819"/>
      <c r="H47" s="1820"/>
      <c r="I47" s="1783"/>
      <c r="J47" s="1665"/>
      <c r="K47" s="1664">
        <v>16.7</v>
      </c>
      <c r="L47" s="1665"/>
      <c r="M47" s="1821"/>
      <c r="N47" s="1822"/>
      <c r="O47" s="1821"/>
      <c r="P47" s="1822"/>
      <c r="Q47" s="2128">
        <v>4.2</v>
      </c>
      <c r="R47" s="2129"/>
      <c r="S47" s="2153">
        <f t="shared" ref="S47:S54" si="28">IF(ISBLANK(L47),K47,L47)+Q47</f>
        <v>20.9</v>
      </c>
      <c r="T47" s="2154"/>
      <c r="U47" s="1668">
        <v>1.2</v>
      </c>
      <c r="V47" s="1669"/>
      <c r="W47" s="2088">
        <v>0.308</v>
      </c>
      <c r="X47" s="2085"/>
      <c r="Y47" s="2085">
        <f>0.338-W47</f>
        <v>3.0000000000000027E-2</v>
      </c>
      <c r="Z47" s="2085"/>
      <c r="AA47" s="2099">
        <f>0.0366*3.6</f>
        <v>0.13176000000000002</v>
      </c>
      <c r="AB47" s="2099"/>
      <c r="AC47" s="2077">
        <f>30.8*3.6</f>
        <v>110.88000000000001</v>
      </c>
      <c r="AD47" s="2100"/>
      <c r="AE47" s="2056">
        <v>1</v>
      </c>
      <c r="AF47" s="2366"/>
      <c r="AG47" s="1823"/>
      <c r="AH47" s="778">
        <f t="shared" si="27"/>
        <v>1.2</v>
      </c>
      <c r="AI47" s="779">
        <f t="shared" si="10"/>
        <v>0</v>
      </c>
      <c r="AJ47" s="323"/>
      <c r="AK47" s="323"/>
      <c r="AL47" s="323"/>
      <c r="AM47" s="323"/>
      <c r="AN47" s="323"/>
      <c r="AO47" s="323"/>
      <c r="AP47" s="323"/>
      <c r="AQ47" s="323"/>
      <c r="AR47" s="788"/>
      <c r="AS47" s="417"/>
      <c r="AT47" s="467">
        <f t="shared" ca="1" si="22"/>
        <v>1</v>
      </c>
      <c r="AU47" s="468">
        <f t="shared" ca="1" si="22"/>
        <v>1.012</v>
      </c>
      <c r="AV47" s="468">
        <f t="shared" ca="1" si="22"/>
        <v>1.024</v>
      </c>
      <c r="AW47" s="468">
        <f t="shared" ca="1" si="22"/>
        <v>1.036</v>
      </c>
      <c r="AX47" s="468">
        <f t="shared" ca="1" si="22"/>
        <v>1.048</v>
      </c>
      <c r="AY47" s="468">
        <f t="shared" ca="1" si="22"/>
        <v>1.06</v>
      </c>
      <c r="AZ47" s="468">
        <f t="shared" ca="1" si="22"/>
        <v>1.0720000000000001</v>
      </c>
      <c r="BA47" s="468">
        <f t="shared" ca="1" si="22"/>
        <v>1.0840000000000001</v>
      </c>
      <c r="BB47" s="468">
        <f t="shared" ca="1" si="22"/>
        <v>1.0960000000000001</v>
      </c>
      <c r="BC47" s="468">
        <f t="shared" ca="1" si="22"/>
        <v>1.1080000000000001</v>
      </c>
      <c r="BD47" s="468">
        <f t="shared" ca="1" si="23"/>
        <v>1.1200000000000001</v>
      </c>
      <c r="BE47" s="468">
        <f t="shared" ca="1" si="23"/>
        <v>1.1320000000000001</v>
      </c>
      <c r="BF47" s="468">
        <f t="shared" ca="1" si="23"/>
        <v>1.1439999999999999</v>
      </c>
      <c r="BG47" s="468">
        <f t="shared" ca="1" si="23"/>
        <v>1.1559999999999999</v>
      </c>
      <c r="BH47" s="468">
        <f t="shared" ca="1" si="23"/>
        <v>1.1679999999999999</v>
      </c>
      <c r="BI47" s="468">
        <f t="shared" ca="1" si="23"/>
        <v>1.18</v>
      </c>
      <c r="BJ47" s="468">
        <f t="shared" ca="1" si="23"/>
        <v>1.1919999999999999</v>
      </c>
      <c r="BK47" s="468">
        <f t="shared" ca="1" si="23"/>
        <v>1.204</v>
      </c>
      <c r="BL47" s="468">
        <f t="shared" ca="1" si="23"/>
        <v>1.216</v>
      </c>
      <c r="BM47" s="468">
        <f t="shared" ca="1" si="23"/>
        <v>1.228</v>
      </c>
      <c r="BN47" s="468">
        <f t="shared" ca="1" si="24"/>
        <v>1.24</v>
      </c>
      <c r="BO47" s="468">
        <f t="shared" ca="1" si="24"/>
        <v>1.252</v>
      </c>
      <c r="BP47" s="468">
        <f t="shared" ca="1" si="24"/>
        <v>1.264</v>
      </c>
      <c r="BQ47" s="468">
        <f t="shared" ca="1" si="24"/>
        <v>1.276</v>
      </c>
      <c r="BR47" s="468">
        <f t="shared" ca="1" si="24"/>
        <v>1.288</v>
      </c>
      <c r="BS47" s="468">
        <f t="shared" ca="1" si="24"/>
        <v>1.3</v>
      </c>
      <c r="BT47" s="468">
        <f t="shared" ca="1" si="24"/>
        <v>1.3120000000000001</v>
      </c>
      <c r="BU47" s="468">
        <f t="shared" ca="1" si="24"/>
        <v>1.3240000000000001</v>
      </c>
      <c r="BV47" s="468">
        <f t="shared" ca="1" si="24"/>
        <v>1.3360000000000001</v>
      </c>
      <c r="BW47" s="468">
        <f t="shared" ca="1" si="24"/>
        <v>1.3479999999999999</v>
      </c>
      <c r="BX47" s="468">
        <f t="shared" ca="1" si="25"/>
        <v>1.3599999999999999</v>
      </c>
      <c r="BY47" s="468">
        <f t="shared" ca="1" si="25"/>
        <v>1.3719999999999999</v>
      </c>
      <c r="BZ47" s="468">
        <f t="shared" ca="1" si="25"/>
        <v>1.3839999999999999</v>
      </c>
      <c r="CA47" s="468">
        <f t="shared" ca="1" si="25"/>
        <v>1.3959999999999999</v>
      </c>
      <c r="CB47" s="468">
        <f t="shared" ca="1" si="25"/>
        <v>1.4079999999999999</v>
      </c>
      <c r="CC47" s="468">
        <f t="shared" ca="1" si="25"/>
        <v>1.42</v>
      </c>
      <c r="CD47" s="468">
        <f t="shared" ca="1" si="25"/>
        <v>1.4319999999999999</v>
      </c>
      <c r="CE47" s="468">
        <f t="shared" ca="1" si="25"/>
        <v>1.444</v>
      </c>
      <c r="CF47" s="468">
        <f t="shared" ca="1" si="25"/>
        <v>1.456</v>
      </c>
      <c r="CG47" s="468">
        <f t="shared" ca="1" si="25"/>
        <v>1.468</v>
      </c>
      <c r="CH47" s="468">
        <f t="shared" ca="1" si="26"/>
        <v>1.48</v>
      </c>
      <c r="CI47" s="468">
        <f t="shared" ca="1" si="26"/>
        <v>1.492</v>
      </c>
      <c r="CJ47" s="468">
        <f t="shared" ca="1" si="26"/>
        <v>1.504</v>
      </c>
      <c r="CK47" s="468">
        <f t="shared" ca="1" si="26"/>
        <v>1.516</v>
      </c>
      <c r="CL47" s="468">
        <f t="shared" ca="1" si="26"/>
        <v>1.528</v>
      </c>
      <c r="CM47" s="468">
        <f t="shared" ca="1" si="26"/>
        <v>1.54</v>
      </c>
      <c r="CN47" s="468">
        <f t="shared" ca="1" si="26"/>
        <v>1.552</v>
      </c>
      <c r="CO47" s="468">
        <f t="shared" ca="1" si="26"/>
        <v>1.5640000000000001</v>
      </c>
      <c r="CP47" s="468">
        <f t="shared" ca="1" si="26"/>
        <v>1.5760000000000001</v>
      </c>
      <c r="CQ47" s="468">
        <f t="shared" ca="1" si="26"/>
        <v>1.5880000000000001</v>
      </c>
      <c r="CR47" s="469">
        <f t="shared" ca="1" si="26"/>
        <v>1.6</v>
      </c>
    </row>
    <row r="48" spans="1:96" s="1824" customFormat="1" ht="11.25" customHeight="1" x14ac:dyDescent="0.2">
      <c r="A48" s="1817"/>
      <c r="B48" s="1818"/>
      <c r="C48" s="362" t="s">
        <v>847</v>
      </c>
      <c r="D48" s="1819"/>
      <c r="E48" s="1819"/>
      <c r="F48" s="1819"/>
      <c r="G48" s="1819"/>
      <c r="H48" s="1820"/>
      <c r="I48" s="1783">
        <f>34*1.08</f>
        <v>36.72</v>
      </c>
      <c r="J48" s="1665"/>
      <c r="K48" s="1664">
        <f>13.2*1.08</f>
        <v>14.256</v>
      </c>
      <c r="L48" s="1665"/>
      <c r="M48" s="1821"/>
      <c r="N48" s="1822"/>
      <c r="O48" s="1821"/>
      <c r="P48" s="1822"/>
      <c r="Q48" s="2128">
        <v>2.1</v>
      </c>
      <c r="R48" s="2129"/>
      <c r="S48" s="2153">
        <f>IF(ISBLANK(L48),K48,L48)+Q48</f>
        <v>16.356000000000002</v>
      </c>
      <c r="T48" s="2154"/>
      <c r="U48" s="1668">
        <v>1.2</v>
      </c>
      <c r="V48" s="1669"/>
      <c r="W48" s="2088">
        <v>0.221</v>
      </c>
      <c r="X48" s="2085"/>
      <c r="Y48" s="2085">
        <f>0.259-W48</f>
        <v>3.8000000000000006E-2</v>
      </c>
      <c r="Z48" s="2085"/>
      <c r="AA48" s="2099">
        <v>7.6999999999999999E-2</v>
      </c>
      <c r="AB48" s="2099"/>
      <c r="AC48" s="2077">
        <v>56.9</v>
      </c>
      <c r="AD48" s="2100"/>
      <c r="AE48" s="2051"/>
      <c r="AF48" s="2115"/>
      <c r="AG48" s="1823"/>
      <c r="AH48" s="778">
        <f>IF(ISBLANK(V48),U48,V48)</f>
        <v>1.2</v>
      </c>
      <c r="AI48" s="779">
        <f>IF(ISBLANK($J48),$I48,$J48)</f>
        <v>36.72</v>
      </c>
      <c r="AJ48" s="323"/>
      <c r="AK48" s="323"/>
      <c r="AL48" s="323"/>
      <c r="AM48" s="323"/>
      <c r="AN48" s="323"/>
      <c r="AO48" s="323"/>
      <c r="AP48" s="323"/>
      <c r="AQ48" s="323"/>
      <c r="AR48" s="788"/>
      <c r="AS48" s="417"/>
      <c r="AT48" s="467">
        <f t="shared" ref="AT48:BY48" ca="1" si="29">IF(OR(ISBLANK($S48),$S48=0),0,(1+(AT$10-$AT$10)*$AH48/100))</f>
        <v>1</v>
      </c>
      <c r="AU48" s="468">
        <f t="shared" ca="1" si="29"/>
        <v>1.012</v>
      </c>
      <c r="AV48" s="468">
        <f t="shared" ca="1" si="29"/>
        <v>1.024</v>
      </c>
      <c r="AW48" s="468">
        <f t="shared" ca="1" si="29"/>
        <v>1.036</v>
      </c>
      <c r="AX48" s="468">
        <f t="shared" ca="1" si="29"/>
        <v>1.048</v>
      </c>
      <c r="AY48" s="468">
        <f t="shared" ca="1" si="29"/>
        <v>1.06</v>
      </c>
      <c r="AZ48" s="468">
        <f t="shared" ca="1" si="29"/>
        <v>1.0720000000000001</v>
      </c>
      <c r="BA48" s="468">
        <f t="shared" ca="1" si="29"/>
        <v>1.0840000000000001</v>
      </c>
      <c r="BB48" s="468">
        <f t="shared" ca="1" si="29"/>
        <v>1.0960000000000001</v>
      </c>
      <c r="BC48" s="468">
        <f t="shared" ca="1" si="29"/>
        <v>1.1080000000000001</v>
      </c>
      <c r="BD48" s="468">
        <f t="shared" ca="1" si="29"/>
        <v>1.1200000000000001</v>
      </c>
      <c r="BE48" s="468">
        <f t="shared" ca="1" si="29"/>
        <v>1.1320000000000001</v>
      </c>
      <c r="BF48" s="468">
        <f t="shared" ca="1" si="29"/>
        <v>1.1439999999999999</v>
      </c>
      <c r="BG48" s="468">
        <f t="shared" ca="1" si="29"/>
        <v>1.1559999999999999</v>
      </c>
      <c r="BH48" s="468">
        <f t="shared" ca="1" si="29"/>
        <v>1.1679999999999999</v>
      </c>
      <c r="BI48" s="468">
        <f t="shared" ca="1" si="29"/>
        <v>1.18</v>
      </c>
      <c r="BJ48" s="468">
        <f t="shared" ca="1" si="29"/>
        <v>1.1919999999999999</v>
      </c>
      <c r="BK48" s="468">
        <f t="shared" ca="1" si="29"/>
        <v>1.204</v>
      </c>
      <c r="BL48" s="468">
        <f t="shared" ca="1" si="29"/>
        <v>1.216</v>
      </c>
      <c r="BM48" s="468">
        <f t="shared" ca="1" si="29"/>
        <v>1.228</v>
      </c>
      <c r="BN48" s="468">
        <f t="shared" ca="1" si="29"/>
        <v>1.24</v>
      </c>
      <c r="BO48" s="468">
        <f t="shared" ca="1" si="29"/>
        <v>1.252</v>
      </c>
      <c r="BP48" s="468">
        <f t="shared" ca="1" si="29"/>
        <v>1.264</v>
      </c>
      <c r="BQ48" s="468">
        <f t="shared" ca="1" si="29"/>
        <v>1.276</v>
      </c>
      <c r="BR48" s="468">
        <f t="shared" ca="1" si="29"/>
        <v>1.288</v>
      </c>
      <c r="BS48" s="468">
        <f t="shared" ca="1" si="29"/>
        <v>1.3</v>
      </c>
      <c r="BT48" s="468">
        <f t="shared" ca="1" si="29"/>
        <v>1.3120000000000001</v>
      </c>
      <c r="BU48" s="468">
        <f t="shared" ca="1" si="29"/>
        <v>1.3240000000000001</v>
      </c>
      <c r="BV48" s="468">
        <f t="shared" ca="1" si="29"/>
        <v>1.3360000000000001</v>
      </c>
      <c r="BW48" s="468">
        <f t="shared" ca="1" si="29"/>
        <v>1.3479999999999999</v>
      </c>
      <c r="BX48" s="468">
        <f t="shared" ca="1" si="29"/>
        <v>1.3599999999999999</v>
      </c>
      <c r="BY48" s="468">
        <f t="shared" ca="1" si="29"/>
        <v>1.3719999999999999</v>
      </c>
      <c r="BZ48" s="468">
        <f t="shared" ref="BZ48:CR48" ca="1" si="30">IF(OR(ISBLANK($S48),$S48=0),0,(1+(BZ$10-$AT$10)*$AH48/100))</f>
        <v>1.3839999999999999</v>
      </c>
      <c r="CA48" s="468">
        <f t="shared" ca="1" si="30"/>
        <v>1.3959999999999999</v>
      </c>
      <c r="CB48" s="468">
        <f t="shared" ca="1" si="30"/>
        <v>1.4079999999999999</v>
      </c>
      <c r="CC48" s="468">
        <f t="shared" ca="1" si="30"/>
        <v>1.42</v>
      </c>
      <c r="CD48" s="468">
        <f t="shared" ca="1" si="30"/>
        <v>1.4319999999999999</v>
      </c>
      <c r="CE48" s="468">
        <f t="shared" ca="1" si="30"/>
        <v>1.444</v>
      </c>
      <c r="CF48" s="468">
        <f t="shared" ca="1" si="30"/>
        <v>1.456</v>
      </c>
      <c r="CG48" s="468">
        <f t="shared" ca="1" si="30"/>
        <v>1.468</v>
      </c>
      <c r="CH48" s="468">
        <f t="shared" ca="1" si="30"/>
        <v>1.48</v>
      </c>
      <c r="CI48" s="468">
        <f t="shared" ca="1" si="30"/>
        <v>1.492</v>
      </c>
      <c r="CJ48" s="468">
        <f t="shared" ca="1" si="30"/>
        <v>1.504</v>
      </c>
      <c r="CK48" s="468">
        <f t="shared" ca="1" si="30"/>
        <v>1.516</v>
      </c>
      <c r="CL48" s="468">
        <f t="shared" ca="1" si="30"/>
        <v>1.528</v>
      </c>
      <c r="CM48" s="468">
        <f t="shared" ca="1" si="30"/>
        <v>1.54</v>
      </c>
      <c r="CN48" s="468">
        <f t="shared" ca="1" si="30"/>
        <v>1.552</v>
      </c>
      <c r="CO48" s="468">
        <f t="shared" ca="1" si="30"/>
        <v>1.5640000000000001</v>
      </c>
      <c r="CP48" s="468">
        <f t="shared" ca="1" si="30"/>
        <v>1.5760000000000001</v>
      </c>
      <c r="CQ48" s="468">
        <f t="shared" ca="1" si="30"/>
        <v>1.5880000000000001</v>
      </c>
      <c r="CR48" s="469">
        <f t="shared" ca="1" si="30"/>
        <v>1.6</v>
      </c>
    </row>
    <row r="49" spans="1:100" s="250" customFormat="1" ht="11.25" customHeight="1" x14ac:dyDescent="0.2">
      <c r="A49" s="251"/>
      <c r="B49" s="252"/>
      <c r="C49" s="362" t="s">
        <v>15</v>
      </c>
      <c r="D49" s="362"/>
      <c r="E49" s="362"/>
      <c r="F49" s="362"/>
      <c r="G49" s="362"/>
      <c r="H49" s="1661"/>
      <c r="I49" s="1783">
        <f>34*1.08</f>
        <v>36.72</v>
      </c>
      <c r="J49" s="1665"/>
      <c r="K49" s="1664">
        <f>(6.1-0.48)*1.08</f>
        <v>6.0695999999999994</v>
      </c>
      <c r="L49" s="1665"/>
      <c r="M49" s="1666"/>
      <c r="N49" s="1667"/>
      <c r="O49" s="1666"/>
      <c r="P49" s="1667"/>
      <c r="Q49" s="2128">
        <v>2.2000000000000002</v>
      </c>
      <c r="R49" s="2129"/>
      <c r="S49" s="2153">
        <f t="shared" si="28"/>
        <v>8.2696000000000005</v>
      </c>
      <c r="T49" s="2154"/>
      <c r="U49" s="1668">
        <v>2.2000000000000002</v>
      </c>
      <c r="V49" s="1669"/>
      <c r="W49" s="2088">
        <v>1.06</v>
      </c>
      <c r="X49" s="2085"/>
      <c r="Y49" s="2085">
        <f>1.07-W49</f>
        <v>1.0000000000000009E-2</v>
      </c>
      <c r="Z49" s="2085"/>
      <c r="AA49" s="2099">
        <f>0.0633*3.6</f>
        <v>0.22788</v>
      </c>
      <c r="AB49" s="2099"/>
      <c r="AC49" s="2077">
        <f>38*3.6</f>
        <v>136.80000000000001</v>
      </c>
      <c r="AD49" s="2100"/>
      <c r="AE49" s="2051"/>
      <c r="AF49" s="2115"/>
      <c r="AG49" s="761"/>
      <c r="AH49" s="778">
        <f t="shared" si="27"/>
        <v>2.2000000000000002</v>
      </c>
      <c r="AI49" s="779">
        <f t="shared" si="10"/>
        <v>36.72</v>
      </c>
      <c r="AJ49" s="323"/>
      <c r="AK49" s="323"/>
      <c r="AL49" s="323"/>
      <c r="AM49" s="323"/>
      <c r="AN49" s="323"/>
      <c r="AO49" s="323"/>
      <c r="AP49" s="323"/>
      <c r="AQ49" s="323"/>
      <c r="AR49" s="396"/>
      <c r="AS49" s="417"/>
      <c r="AT49" s="467">
        <f t="shared" ref="AT49:BC56" ca="1" si="31">IF(OR(ISBLANK($S49),$S49=0),0,(1+(AT$10-$AT$10)*$AH49/100))</f>
        <v>1</v>
      </c>
      <c r="AU49" s="468">
        <f t="shared" ca="1" si="31"/>
        <v>1.022</v>
      </c>
      <c r="AV49" s="468">
        <f t="shared" ca="1" si="31"/>
        <v>1.044</v>
      </c>
      <c r="AW49" s="468">
        <f t="shared" ca="1" si="31"/>
        <v>1.0660000000000001</v>
      </c>
      <c r="AX49" s="468">
        <f t="shared" ca="1" si="31"/>
        <v>1.0880000000000001</v>
      </c>
      <c r="AY49" s="468">
        <f t="shared" ca="1" si="31"/>
        <v>1.1100000000000001</v>
      </c>
      <c r="AZ49" s="468">
        <f t="shared" ca="1" si="31"/>
        <v>1.1320000000000001</v>
      </c>
      <c r="BA49" s="468">
        <f t="shared" ca="1" si="31"/>
        <v>1.1539999999999999</v>
      </c>
      <c r="BB49" s="468">
        <f t="shared" ca="1" si="31"/>
        <v>1.1759999999999999</v>
      </c>
      <c r="BC49" s="468">
        <f t="shared" ca="1" si="31"/>
        <v>1.198</v>
      </c>
      <c r="BD49" s="468">
        <f t="shared" ref="BD49:BM56" ca="1" si="32">IF(OR(ISBLANK($S49),$S49=0),0,(1+(BD$10-$AT$10)*$AH49/100))</f>
        <v>1.22</v>
      </c>
      <c r="BE49" s="468">
        <f t="shared" ca="1" si="32"/>
        <v>1.242</v>
      </c>
      <c r="BF49" s="468">
        <f t="shared" ca="1" si="32"/>
        <v>1.264</v>
      </c>
      <c r="BG49" s="468">
        <f t="shared" ca="1" si="32"/>
        <v>1.286</v>
      </c>
      <c r="BH49" s="468">
        <f t="shared" ca="1" si="32"/>
        <v>1.3080000000000001</v>
      </c>
      <c r="BI49" s="468">
        <f t="shared" ca="1" si="32"/>
        <v>1.33</v>
      </c>
      <c r="BJ49" s="468">
        <f t="shared" ca="1" si="32"/>
        <v>1.3520000000000001</v>
      </c>
      <c r="BK49" s="468">
        <f t="shared" ca="1" si="32"/>
        <v>1.3740000000000001</v>
      </c>
      <c r="BL49" s="468">
        <f t="shared" ca="1" si="32"/>
        <v>1.3959999999999999</v>
      </c>
      <c r="BM49" s="468">
        <f t="shared" ca="1" si="32"/>
        <v>1.4180000000000001</v>
      </c>
      <c r="BN49" s="468">
        <f t="shared" ref="BN49:BW56" ca="1" si="33">IF(OR(ISBLANK($S49),$S49=0),0,(1+(BN$10-$AT$10)*$AH49/100))</f>
        <v>1.44</v>
      </c>
      <c r="BO49" s="468">
        <f t="shared" ca="1" si="33"/>
        <v>1.462</v>
      </c>
      <c r="BP49" s="468">
        <f t="shared" ca="1" si="33"/>
        <v>1.484</v>
      </c>
      <c r="BQ49" s="468">
        <f t="shared" ca="1" si="33"/>
        <v>1.506</v>
      </c>
      <c r="BR49" s="468">
        <f t="shared" ca="1" si="33"/>
        <v>1.528</v>
      </c>
      <c r="BS49" s="468">
        <f t="shared" ca="1" si="33"/>
        <v>1.55</v>
      </c>
      <c r="BT49" s="468">
        <f t="shared" ca="1" si="33"/>
        <v>1.5720000000000001</v>
      </c>
      <c r="BU49" s="468">
        <f t="shared" ca="1" si="33"/>
        <v>1.5940000000000001</v>
      </c>
      <c r="BV49" s="468">
        <f t="shared" ca="1" si="33"/>
        <v>1.6160000000000001</v>
      </c>
      <c r="BW49" s="468">
        <f t="shared" ca="1" si="33"/>
        <v>1.6379999999999999</v>
      </c>
      <c r="BX49" s="468">
        <f t="shared" ref="BX49:CG56" ca="1" si="34">IF(OR(ISBLANK($S49),$S49=0),0,(1+(BX$10-$AT$10)*$AH49/100))</f>
        <v>1.6600000000000001</v>
      </c>
      <c r="BY49" s="468">
        <f t="shared" ca="1" si="34"/>
        <v>1.6819999999999999</v>
      </c>
      <c r="BZ49" s="468">
        <f t="shared" ca="1" si="34"/>
        <v>1.7040000000000002</v>
      </c>
      <c r="CA49" s="468">
        <f t="shared" ca="1" si="34"/>
        <v>1.726</v>
      </c>
      <c r="CB49" s="468">
        <f t="shared" ca="1" si="34"/>
        <v>1.7480000000000002</v>
      </c>
      <c r="CC49" s="468">
        <f t="shared" ca="1" si="34"/>
        <v>1.77</v>
      </c>
      <c r="CD49" s="468">
        <f t="shared" ca="1" si="34"/>
        <v>1.792</v>
      </c>
      <c r="CE49" s="468">
        <f t="shared" ca="1" si="34"/>
        <v>1.8140000000000001</v>
      </c>
      <c r="CF49" s="468">
        <f t="shared" ca="1" si="34"/>
        <v>1.8360000000000001</v>
      </c>
      <c r="CG49" s="468">
        <f t="shared" ca="1" si="34"/>
        <v>1.8580000000000001</v>
      </c>
      <c r="CH49" s="468">
        <f t="shared" ref="CH49:CR56" ca="1" si="35">IF(OR(ISBLANK($S49),$S49=0),0,(1+(CH$10-$AT$10)*$AH49/100))</f>
        <v>1.88</v>
      </c>
      <c r="CI49" s="468">
        <f t="shared" ca="1" si="35"/>
        <v>1.9020000000000001</v>
      </c>
      <c r="CJ49" s="468">
        <f t="shared" ca="1" si="35"/>
        <v>1.9239999999999999</v>
      </c>
      <c r="CK49" s="468">
        <f t="shared" ca="1" si="35"/>
        <v>1.9460000000000002</v>
      </c>
      <c r="CL49" s="468">
        <f t="shared" ca="1" si="35"/>
        <v>1.968</v>
      </c>
      <c r="CM49" s="468">
        <f t="shared" ca="1" si="35"/>
        <v>1.9900000000000002</v>
      </c>
      <c r="CN49" s="468">
        <f t="shared" ca="1" si="35"/>
        <v>2.012</v>
      </c>
      <c r="CO49" s="468">
        <f t="shared" ca="1" si="35"/>
        <v>2.0339999999999998</v>
      </c>
      <c r="CP49" s="468">
        <f t="shared" ca="1" si="35"/>
        <v>2.056</v>
      </c>
      <c r="CQ49" s="468">
        <f t="shared" ca="1" si="35"/>
        <v>2.0780000000000003</v>
      </c>
      <c r="CR49" s="469">
        <f t="shared" ca="1" si="35"/>
        <v>2.1</v>
      </c>
    </row>
    <row r="50" spans="1:100" s="250" customFormat="1" ht="11.25" customHeight="1" x14ac:dyDescent="0.2">
      <c r="A50" s="837"/>
      <c r="B50" s="838"/>
      <c r="C50" s="362" t="s">
        <v>54</v>
      </c>
      <c r="D50" s="362"/>
      <c r="E50" s="362"/>
      <c r="F50" s="362"/>
      <c r="G50" s="362"/>
      <c r="H50" s="1661"/>
      <c r="I50" s="1662"/>
      <c r="J50" s="1663"/>
      <c r="K50" s="1664">
        <f>Q73/11.9</f>
        <v>7.610084033613445</v>
      </c>
      <c r="L50" s="1665"/>
      <c r="M50" s="1666"/>
      <c r="N50" s="1663"/>
      <c r="O50" s="1666"/>
      <c r="P50" s="1663"/>
      <c r="Q50" s="2128">
        <v>4.3</v>
      </c>
      <c r="R50" s="2129"/>
      <c r="S50" s="2153">
        <f t="shared" si="28"/>
        <v>11.910084033613444</v>
      </c>
      <c r="T50" s="2154"/>
      <c r="U50" s="1668">
        <v>1.6</v>
      </c>
      <c r="V50" s="1669"/>
      <c r="W50" s="2138">
        <v>1.22</v>
      </c>
      <c r="X50" s="2139"/>
      <c r="Y50" s="2139">
        <f>1.23-W50</f>
        <v>1.0000000000000009E-2</v>
      </c>
      <c r="Z50" s="2139"/>
      <c r="AA50" s="2368">
        <f>0.0827*3.6</f>
        <v>0.29771999999999998</v>
      </c>
      <c r="AB50" s="2368"/>
      <c r="AC50" s="2369">
        <f>61.4*3.6</f>
        <v>221.04</v>
      </c>
      <c r="AD50" s="2370"/>
      <c r="AE50" s="2052"/>
      <c r="AF50" s="2367"/>
      <c r="AG50" s="761"/>
      <c r="AH50" s="778">
        <f t="shared" si="27"/>
        <v>1.6</v>
      </c>
      <c r="AI50" s="779">
        <f t="shared" si="10"/>
        <v>0</v>
      </c>
      <c r="AJ50" s="323"/>
      <c r="AK50" s="323"/>
      <c r="AL50" s="323"/>
      <c r="AM50" s="323"/>
      <c r="AN50" s="323"/>
      <c r="AO50" s="323"/>
      <c r="AP50" s="323"/>
      <c r="AQ50" s="323"/>
      <c r="AR50" s="396"/>
      <c r="AS50" s="417"/>
      <c r="AT50" s="467">
        <f t="shared" ca="1" si="31"/>
        <v>1</v>
      </c>
      <c r="AU50" s="468">
        <f t="shared" ca="1" si="31"/>
        <v>1.016</v>
      </c>
      <c r="AV50" s="468">
        <f t="shared" ca="1" si="31"/>
        <v>1.032</v>
      </c>
      <c r="AW50" s="468">
        <f t="shared" ca="1" si="31"/>
        <v>1.048</v>
      </c>
      <c r="AX50" s="468">
        <f t="shared" ca="1" si="31"/>
        <v>1.0640000000000001</v>
      </c>
      <c r="AY50" s="468">
        <f t="shared" ca="1" si="31"/>
        <v>1.08</v>
      </c>
      <c r="AZ50" s="468">
        <f t="shared" ca="1" si="31"/>
        <v>1.0960000000000001</v>
      </c>
      <c r="BA50" s="468">
        <f t="shared" ca="1" si="31"/>
        <v>1.1120000000000001</v>
      </c>
      <c r="BB50" s="468">
        <f t="shared" ca="1" si="31"/>
        <v>1.1280000000000001</v>
      </c>
      <c r="BC50" s="468">
        <f t="shared" ca="1" si="31"/>
        <v>1.1440000000000001</v>
      </c>
      <c r="BD50" s="468">
        <f t="shared" ca="1" si="32"/>
        <v>1.1599999999999999</v>
      </c>
      <c r="BE50" s="468">
        <f t="shared" ca="1" si="32"/>
        <v>1.1759999999999999</v>
      </c>
      <c r="BF50" s="468">
        <f t="shared" ca="1" si="32"/>
        <v>1.1919999999999999</v>
      </c>
      <c r="BG50" s="468">
        <f t="shared" ca="1" si="32"/>
        <v>1.208</v>
      </c>
      <c r="BH50" s="468">
        <f t="shared" ca="1" si="32"/>
        <v>1.224</v>
      </c>
      <c r="BI50" s="468">
        <f t="shared" ca="1" si="32"/>
        <v>1.24</v>
      </c>
      <c r="BJ50" s="468">
        <f t="shared" ca="1" si="32"/>
        <v>1.256</v>
      </c>
      <c r="BK50" s="468">
        <f t="shared" ca="1" si="32"/>
        <v>1.272</v>
      </c>
      <c r="BL50" s="468">
        <f t="shared" ca="1" si="32"/>
        <v>1.288</v>
      </c>
      <c r="BM50" s="468">
        <f t="shared" ca="1" si="32"/>
        <v>1.304</v>
      </c>
      <c r="BN50" s="468">
        <f t="shared" ca="1" si="33"/>
        <v>1.32</v>
      </c>
      <c r="BO50" s="468">
        <f t="shared" ca="1" si="33"/>
        <v>1.3360000000000001</v>
      </c>
      <c r="BP50" s="468">
        <f t="shared" ca="1" si="33"/>
        <v>1.3520000000000001</v>
      </c>
      <c r="BQ50" s="468">
        <f t="shared" ca="1" si="33"/>
        <v>1.3680000000000001</v>
      </c>
      <c r="BR50" s="468">
        <f t="shared" ca="1" si="33"/>
        <v>1.3840000000000001</v>
      </c>
      <c r="BS50" s="468">
        <f t="shared" ca="1" si="33"/>
        <v>1.4</v>
      </c>
      <c r="BT50" s="468">
        <f t="shared" ca="1" si="33"/>
        <v>1.4159999999999999</v>
      </c>
      <c r="BU50" s="468">
        <f t="shared" ca="1" si="33"/>
        <v>1.4319999999999999</v>
      </c>
      <c r="BV50" s="468">
        <f t="shared" ca="1" si="33"/>
        <v>1.448</v>
      </c>
      <c r="BW50" s="468">
        <f t="shared" ca="1" si="33"/>
        <v>1.464</v>
      </c>
      <c r="BX50" s="468">
        <f t="shared" ca="1" si="34"/>
        <v>1.48</v>
      </c>
      <c r="BY50" s="468">
        <f t="shared" ca="1" si="34"/>
        <v>1.496</v>
      </c>
      <c r="BZ50" s="468">
        <f t="shared" ca="1" si="34"/>
        <v>1.512</v>
      </c>
      <c r="CA50" s="468">
        <f t="shared" ca="1" si="34"/>
        <v>1.528</v>
      </c>
      <c r="CB50" s="468">
        <f t="shared" ca="1" si="34"/>
        <v>1.544</v>
      </c>
      <c r="CC50" s="468">
        <f t="shared" ca="1" si="34"/>
        <v>1.56</v>
      </c>
      <c r="CD50" s="468">
        <f t="shared" ca="1" si="34"/>
        <v>1.5760000000000001</v>
      </c>
      <c r="CE50" s="468">
        <f t="shared" ca="1" si="34"/>
        <v>1.5920000000000001</v>
      </c>
      <c r="CF50" s="468">
        <f t="shared" ca="1" si="34"/>
        <v>1.6080000000000001</v>
      </c>
      <c r="CG50" s="468">
        <f t="shared" ca="1" si="34"/>
        <v>1.6240000000000001</v>
      </c>
      <c r="CH50" s="468">
        <f t="shared" ca="1" si="35"/>
        <v>1.6400000000000001</v>
      </c>
      <c r="CI50" s="468">
        <f t="shared" ca="1" si="35"/>
        <v>1.6560000000000001</v>
      </c>
      <c r="CJ50" s="468">
        <f t="shared" ca="1" si="35"/>
        <v>1.6720000000000002</v>
      </c>
      <c r="CK50" s="468">
        <f t="shared" ca="1" si="35"/>
        <v>1.6879999999999999</v>
      </c>
      <c r="CL50" s="468">
        <f t="shared" ca="1" si="35"/>
        <v>1.7040000000000002</v>
      </c>
      <c r="CM50" s="468">
        <f t="shared" ca="1" si="35"/>
        <v>1.72</v>
      </c>
      <c r="CN50" s="468">
        <f t="shared" ca="1" si="35"/>
        <v>1.7360000000000002</v>
      </c>
      <c r="CO50" s="468">
        <f t="shared" ca="1" si="35"/>
        <v>1.752</v>
      </c>
      <c r="CP50" s="468">
        <f t="shared" ca="1" si="35"/>
        <v>1.7680000000000002</v>
      </c>
      <c r="CQ50" s="468">
        <f t="shared" ca="1" si="35"/>
        <v>1.784</v>
      </c>
      <c r="CR50" s="469">
        <f t="shared" ca="1" si="35"/>
        <v>1.8</v>
      </c>
    </row>
    <row r="51" spans="1:100" s="357" customFormat="1" ht="11.25" customHeight="1" x14ac:dyDescent="0.2">
      <c r="A51" s="839"/>
      <c r="B51" s="840"/>
      <c r="C51" s="1986" t="s">
        <v>595</v>
      </c>
      <c r="D51" s="1986"/>
      <c r="E51" s="1986"/>
      <c r="F51" s="1986"/>
      <c r="G51" s="1986"/>
      <c r="H51" s="1987"/>
      <c r="I51" s="2279"/>
      <c r="J51" s="2280"/>
      <c r="K51" s="2281"/>
      <c r="L51" s="2280"/>
      <c r="M51" s="1670"/>
      <c r="N51" s="1671"/>
      <c r="O51" s="1670"/>
      <c r="P51" s="1671"/>
      <c r="Q51" s="2126"/>
      <c r="R51" s="2127"/>
      <c r="S51" s="2136">
        <f t="shared" si="28"/>
        <v>0</v>
      </c>
      <c r="T51" s="2137"/>
      <c r="U51" s="2281"/>
      <c r="V51" s="2341"/>
      <c r="W51" s="2335"/>
      <c r="X51" s="2140"/>
      <c r="Y51" s="2140"/>
      <c r="Z51" s="2140"/>
      <c r="AA51" s="2287"/>
      <c r="AB51" s="2287"/>
      <c r="AC51" s="2288"/>
      <c r="AD51" s="2288"/>
      <c r="AE51" s="2290"/>
      <c r="AF51" s="2291"/>
      <c r="AG51" s="1248"/>
      <c r="AH51" s="776">
        <f>U51</f>
        <v>0</v>
      </c>
      <c r="AI51" s="777">
        <f t="shared" si="10"/>
        <v>0</v>
      </c>
      <c r="AJ51" s="323"/>
      <c r="AK51" s="323"/>
      <c r="AL51" s="323"/>
      <c r="AM51" s="323"/>
      <c r="AN51" s="323"/>
      <c r="AO51" s="323"/>
      <c r="AP51" s="323"/>
      <c r="AQ51" s="323"/>
      <c r="AR51" s="396"/>
      <c r="AS51" s="417"/>
      <c r="AT51" s="470">
        <f t="shared" si="31"/>
        <v>0</v>
      </c>
      <c r="AU51" s="471">
        <f t="shared" si="31"/>
        <v>0</v>
      </c>
      <c r="AV51" s="471">
        <f t="shared" si="31"/>
        <v>0</v>
      </c>
      <c r="AW51" s="471">
        <f t="shared" si="31"/>
        <v>0</v>
      </c>
      <c r="AX51" s="471">
        <f t="shared" si="31"/>
        <v>0</v>
      </c>
      <c r="AY51" s="471">
        <f t="shared" si="31"/>
        <v>0</v>
      </c>
      <c r="AZ51" s="471">
        <f t="shared" si="31"/>
        <v>0</v>
      </c>
      <c r="BA51" s="471">
        <f t="shared" si="31"/>
        <v>0</v>
      </c>
      <c r="BB51" s="471">
        <f t="shared" si="31"/>
        <v>0</v>
      </c>
      <c r="BC51" s="471">
        <f t="shared" si="31"/>
        <v>0</v>
      </c>
      <c r="BD51" s="471">
        <f t="shared" si="32"/>
        <v>0</v>
      </c>
      <c r="BE51" s="471">
        <f t="shared" si="32"/>
        <v>0</v>
      </c>
      <c r="BF51" s="471">
        <f t="shared" si="32"/>
        <v>0</v>
      </c>
      <c r="BG51" s="471">
        <f t="shared" si="32"/>
        <v>0</v>
      </c>
      <c r="BH51" s="471">
        <f t="shared" si="32"/>
        <v>0</v>
      </c>
      <c r="BI51" s="471">
        <f t="shared" si="32"/>
        <v>0</v>
      </c>
      <c r="BJ51" s="471">
        <f t="shared" si="32"/>
        <v>0</v>
      </c>
      <c r="BK51" s="471">
        <f t="shared" si="32"/>
        <v>0</v>
      </c>
      <c r="BL51" s="471">
        <f t="shared" si="32"/>
        <v>0</v>
      </c>
      <c r="BM51" s="471">
        <f t="shared" si="32"/>
        <v>0</v>
      </c>
      <c r="BN51" s="471">
        <f t="shared" si="33"/>
        <v>0</v>
      </c>
      <c r="BO51" s="471">
        <f t="shared" si="33"/>
        <v>0</v>
      </c>
      <c r="BP51" s="471">
        <f t="shared" si="33"/>
        <v>0</v>
      </c>
      <c r="BQ51" s="471">
        <f t="shared" si="33"/>
        <v>0</v>
      </c>
      <c r="BR51" s="471">
        <f t="shared" si="33"/>
        <v>0</v>
      </c>
      <c r="BS51" s="471">
        <f t="shared" si="33"/>
        <v>0</v>
      </c>
      <c r="BT51" s="471">
        <f t="shared" si="33"/>
        <v>0</v>
      </c>
      <c r="BU51" s="471">
        <f t="shared" si="33"/>
        <v>0</v>
      </c>
      <c r="BV51" s="471">
        <f t="shared" si="33"/>
        <v>0</v>
      </c>
      <c r="BW51" s="471">
        <f t="shared" si="33"/>
        <v>0</v>
      </c>
      <c r="BX51" s="471">
        <f t="shared" si="34"/>
        <v>0</v>
      </c>
      <c r="BY51" s="471">
        <f t="shared" si="34"/>
        <v>0</v>
      </c>
      <c r="BZ51" s="471">
        <f t="shared" si="34"/>
        <v>0</v>
      </c>
      <c r="CA51" s="471">
        <f t="shared" si="34"/>
        <v>0</v>
      </c>
      <c r="CB51" s="471">
        <f t="shared" si="34"/>
        <v>0</v>
      </c>
      <c r="CC51" s="471">
        <f t="shared" si="34"/>
        <v>0</v>
      </c>
      <c r="CD51" s="471">
        <f t="shared" si="34"/>
        <v>0</v>
      </c>
      <c r="CE51" s="471">
        <f t="shared" si="34"/>
        <v>0</v>
      </c>
      <c r="CF51" s="471">
        <f t="shared" si="34"/>
        <v>0</v>
      </c>
      <c r="CG51" s="471">
        <f t="shared" si="34"/>
        <v>0</v>
      </c>
      <c r="CH51" s="471">
        <f t="shared" si="35"/>
        <v>0</v>
      </c>
      <c r="CI51" s="471">
        <f t="shared" si="35"/>
        <v>0</v>
      </c>
      <c r="CJ51" s="471">
        <f t="shared" si="35"/>
        <v>0</v>
      </c>
      <c r="CK51" s="471">
        <f t="shared" si="35"/>
        <v>0</v>
      </c>
      <c r="CL51" s="471">
        <f t="shared" si="35"/>
        <v>0</v>
      </c>
      <c r="CM51" s="471">
        <f t="shared" si="35"/>
        <v>0</v>
      </c>
      <c r="CN51" s="471">
        <f t="shared" si="35"/>
        <v>0</v>
      </c>
      <c r="CO51" s="471">
        <f t="shared" si="35"/>
        <v>0</v>
      </c>
      <c r="CP51" s="471">
        <f t="shared" si="35"/>
        <v>0</v>
      </c>
      <c r="CQ51" s="471">
        <f t="shared" si="35"/>
        <v>0</v>
      </c>
      <c r="CR51" s="472">
        <f t="shared" si="35"/>
        <v>0</v>
      </c>
    </row>
    <row r="52" spans="1:100" s="250" customFormat="1" ht="11.25" customHeight="1" x14ac:dyDescent="0.2">
      <c r="A52" s="2320" t="s">
        <v>46</v>
      </c>
      <c r="B52" s="2321"/>
      <c r="C52" s="359" t="s">
        <v>249</v>
      </c>
      <c r="D52" s="359"/>
      <c r="E52" s="359"/>
      <c r="F52" s="359"/>
      <c r="G52" s="2285" t="str">
        <f>AK54</f>
        <v>degressiv</v>
      </c>
      <c r="H52" s="2286"/>
      <c r="I52" s="1800">
        <f>S84/1000*1.08</f>
        <v>11.26764</v>
      </c>
      <c r="J52" s="1658"/>
      <c r="K52" s="1801">
        <f>((1.4*45+(R82-45)*0.5)+R83)*1.08/1000*100</f>
        <v>8.0487999999999982</v>
      </c>
      <c r="L52" s="1658"/>
      <c r="M52" s="1651"/>
      <c r="N52" s="1652"/>
      <c r="O52" s="1651"/>
      <c r="P52" s="1652"/>
      <c r="Q52" s="2134">
        <v>1.8</v>
      </c>
      <c r="R52" s="2135"/>
      <c r="S52" s="2178">
        <f t="shared" si="28"/>
        <v>9.8487999999999989</v>
      </c>
      <c r="T52" s="2179"/>
      <c r="U52" s="1659">
        <v>1.3</v>
      </c>
      <c r="V52" s="1660"/>
      <c r="W52" s="2155">
        <f>0.55-Y52</f>
        <v>0.37000000000000005</v>
      </c>
      <c r="X52" s="2156"/>
      <c r="Y52" s="2156">
        <v>0.18</v>
      </c>
      <c r="Z52" s="2156"/>
      <c r="AA52" s="2158">
        <f>0.019*3.6</f>
        <v>6.8400000000000002E-2</v>
      </c>
      <c r="AB52" s="2158"/>
      <c r="AC52" s="2289">
        <f>16.3*3.6</f>
        <v>58.680000000000007</v>
      </c>
      <c r="AD52" s="2289"/>
      <c r="AE52" s="2050">
        <v>0.6</v>
      </c>
      <c r="AF52" s="2114"/>
      <c r="AG52" s="761"/>
      <c r="AH52" s="775">
        <f t="shared" si="27"/>
        <v>1.3</v>
      </c>
      <c r="AI52" s="1351">
        <f t="shared" si="10"/>
        <v>11.26764</v>
      </c>
      <c r="AJ52" s="323"/>
      <c r="AK52" s="1284" t="s">
        <v>594</v>
      </c>
      <c r="AL52" s="1282"/>
      <c r="AM52" s="1283"/>
      <c r="AN52" s="323"/>
      <c r="AR52" s="396"/>
      <c r="AS52" s="417"/>
      <c r="AT52" s="461">
        <f t="shared" ca="1" si="31"/>
        <v>1</v>
      </c>
      <c r="AU52" s="462">
        <f t="shared" ca="1" si="31"/>
        <v>1.0129999999999999</v>
      </c>
      <c r="AV52" s="462">
        <f t="shared" ca="1" si="31"/>
        <v>1.026</v>
      </c>
      <c r="AW52" s="462">
        <f t="shared" ca="1" si="31"/>
        <v>1.0389999999999999</v>
      </c>
      <c r="AX52" s="462">
        <f t="shared" ca="1" si="31"/>
        <v>1.052</v>
      </c>
      <c r="AY52" s="462">
        <f t="shared" ca="1" si="31"/>
        <v>1.0649999999999999</v>
      </c>
      <c r="AZ52" s="462">
        <f t="shared" ca="1" si="31"/>
        <v>1.0780000000000001</v>
      </c>
      <c r="BA52" s="462">
        <f t="shared" ca="1" si="31"/>
        <v>1.091</v>
      </c>
      <c r="BB52" s="462">
        <f t="shared" ca="1" si="31"/>
        <v>1.1040000000000001</v>
      </c>
      <c r="BC52" s="462">
        <f t="shared" ca="1" si="31"/>
        <v>1.117</v>
      </c>
      <c r="BD52" s="462">
        <f t="shared" ca="1" si="32"/>
        <v>1.1299999999999999</v>
      </c>
      <c r="BE52" s="462">
        <f t="shared" ca="1" si="32"/>
        <v>1.143</v>
      </c>
      <c r="BF52" s="462">
        <f t="shared" ca="1" si="32"/>
        <v>1.1560000000000001</v>
      </c>
      <c r="BG52" s="462">
        <f t="shared" ca="1" si="32"/>
        <v>1.169</v>
      </c>
      <c r="BH52" s="462">
        <f t="shared" ca="1" si="32"/>
        <v>1.1819999999999999</v>
      </c>
      <c r="BI52" s="462">
        <f t="shared" ca="1" si="32"/>
        <v>1.1950000000000001</v>
      </c>
      <c r="BJ52" s="462">
        <f t="shared" ca="1" si="32"/>
        <v>1.208</v>
      </c>
      <c r="BK52" s="462">
        <f t="shared" ca="1" si="32"/>
        <v>1.2210000000000001</v>
      </c>
      <c r="BL52" s="462">
        <f t="shared" ca="1" si="32"/>
        <v>1.234</v>
      </c>
      <c r="BM52" s="462">
        <f t="shared" ca="1" si="32"/>
        <v>1.2469999999999999</v>
      </c>
      <c r="BN52" s="462">
        <f t="shared" ca="1" si="33"/>
        <v>1.26</v>
      </c>
      <c r="BO52" s="462">
        <f t="shared" ca="1" si="33"/>
        <v>1.2730000000000001</v>
      </c>
      <c r="BP52" s="462">
        <f t="shared" ca="1" si="33"/>
        <v>1.286</v>
      </c>
      <c r="BQ52" s="462">
        <f t="shared" ca="1" si="33"/>
        <v>1.2989999999999999</v>
      </c>
      <c r="BR52" s="462">
        <f t="shared" ca="1" si="33"/>
        <v>1.3120000000000001</v>
      </c>
      <c r="BS52" s="462">
        <f t="shared" ca="1" si="33"/>
        <v>1.325</v>
      </c>
      <c r="BT52" s="462">
        <f t="shared" ca="1" si="33"/>
        <v>1.3380000000000001</v>
      </c>
      <c r="BU52" s="462">
        <f t="shared" ca="1" si="33"/>
        <v>1.351</v>
      </c>
      <c r="BV52" s="462">
        <f t="shared" ca="1" si="33"/>
        <v>1.3639999999999999</v>
      </c>
      <c r="BW52" s="462">
        <f t="shared" ca="1" si="33"/>
        <v>1.377</v>
      </c>
      <c r="BX52" s="462">
        <f t="shared" ca="1" si="34"/>
        <v>1.3900000000000001</v>
      </c>
      <c r="BY52" s="462">
        <f t="shared" ca="1" si="34"/>
        <v>1.403</v>
      </c>
      <c r="BZ52" s="462">
        <f t="shared" ca="1" si="34"/>
        <v>1.4159999999999999</v>
      </c>
      <c r="CA52" s="462">
        <f t="shared" ca="1" si="34"/>
        <v>1.429</v>
      </c>
      <c r="CB52" s="462">
        <f t="shared" ca="1" si="34"/>
        <v>1.4419999999999999</v>
      </c>
      <c r="CC52" s="462">
        <f t="shared" ca="1" si="34"/>
        <v>1.4550000000000001</v>
      </c>
      <c r="CD52" s="462">
        <f t="shared" ca="1" si="34"/>
        <v>1.468</v>
      </c>
      <c r="CE52" s="462">
        <f t="shared" ca="1" si="34"/>
        <v>1.4810000000000001</v>
      </c>
      <c r="CF52" s="462">
        <f t="shared" ca="1" si="34"/>
        <v>1.494</v>
      </c>
      <c r="CG52" s="462">
        <f t="shared" ca="1" si="34"/>
        <v>1.5070000000000001</v>
      </c>
      <c r="CH52" s="462">
        <f t="shared" ca="1" si="35"/>
        <v>1.52</v>
      </c>
      <c r="CI52" s="462">
        <f t="shared" ca="1" si="35"/>
        <v>1.5329999999999999</v>
      </c>
      <c r="CJ52" s="462">
        <f t="shared" ca="1" si="35"/>
        <v>1.546</v>
      </c>
      <c r="CK52" s="462">
        <f t="shared" ca="1" si="35"/>
        <v>1.5589999999999999</v>
      </c>
      <c r="CL52" s="462">
        <f t="shared" ca="1" si="35"/>
        <v>1.5720000000000001</v>
      </c>
      <c r="CM52" s="462">
        <f t="shared" ca="1" si="35"/>
        <v>1.585</v>
      </c>
      <c r="CN52" s="462">
        <f t="shared" ca="1" si="35"/>
        <v>1.5980000000000001</v>
      </c>
      <c r="CO52" s="462">
        <f t="shared" ca="1" si="35"/>
        <v>1.611</v>
      </c>
      <c r="CP52" s="462">
        <f t="shared" ca="1" si="35"/>
        <v>1.6240000000000001</v>
      </c>
      <c r="CQ52" s="462">
        <f t="shared" ca="1" si="35"/>
        <v>1.637</v>
      </c>
      <c r="CR52" s="463">
        <f t="shared" ca="1" si="35"/>
        <v>1.65</v>
      </c>
    </row>
    <row r="53" spans="1:100" s="250" customFormat="1" ht="11.25" customHeight="1" x14ac:dyDescent="0.2">
      <c r="A53" s="2322"/>
      <c r="B53" s="2323"/>
      <c r="C53" s="362" t="s">
        <v>293</v>
      </c>
      <c r="D53" s="362"/>
      <c r="E53" s="362"/>
      <c r="F53" s="362"/>
      <c r="G53" s="1988" t="s">
        <v>590</v>
      </c>
      <c r="H53" s="1989"/>
      <c r="I53" s="1672">
        <v>0</v>
      </c>
      <c r="J53" s="1665"/>
      <c r="K53" s="1672">
        <v>7.4</v>
      </c>
      <c r="L53" s="1665"/>
      <c r="M53" s="1673"/>
      <c r="N53" s="1667"/>
      <c r="O53" s="1673"/>
      <c r="P53" s="1667"/>
      <c r="Q53" s="2128">
        <v>1.8</v>
      </c>
      <c r="R53" s="2129"/>
      <c r="S53" s="2153">
        <f t="shared" si="28"/>
        <v>9.2000000000000011</v>
      </c>
      <c r="T53" s="2154"/>
      <c r="U53" s="1668">
        <v>1.3</v>
      </c>
      <c r="V53" s="1669"/>
      <c r="W53" s="2088">
        <v>0.45100000000000001</v>
      </c>
      <c r="X53" s="2085"/>
      <c r="Y53" s="2085">
        <f>0.712-W53</f>
        <v>0.26099999999999995</v>
      </c>
      <c r="Z53" s="2085"/>
      <c r="AA53" s="2099">
        <f>0.0247*3.6</f>
        <v>8.8919999999999999E-2</v>
      </c>
      <c r="AB53" s="2099"/>
      <c r="AC53" s="2077">
        <f>20.5*3.6</f>
        <v>73.8</v>
      </c>
      <c r="AD53" s="2077"/>
      <c r="AE53" s="2051"/>
      <c r="AF53" s="2115"/>
      <c r="AG53" s="761"/>
      <c r="AH53" s="778">
        <f t="shared" si="27"/>
        <v>1.3</v>
      </c>
      <c r="AI53" s="779">
        <f t="shared" si="10"/>
        <v>0</v>
      </c>
      <c r="AJ53" s="323"/>
      <c r="AK53" s="1285" t="s">
        <v>590</v>
      </c>
      <c r="AL53" s="1286"/>
      <c r="AM53" s="1292"/>
      <c r="AN53" s="323"/>
      <c r="AR53" s="396"/>
      <c r="AS53" s="417"/>
      <c r="AT53" s="467">
        <f t="shared" ca="1" si="31"/>
        <v>1</v>
      </c>
      <c r="AU53" s="468">
        <f t="shared" ca="1" si="31"/>
        <v>1.0129999999999999</v>
      </c>
      <c r="AV53" s="468">
        <f t="shared" ca="1" si="31"/>
        <v>1.026</v>
      </c>
      <c r="AW53" s="468">
        <f t="shared" ca="1" si="31"/>
        <v>1.0389999999999999</v>
      </c>
      <c r="AX53" s="468">
        <f t="shared" ca="1" si="31"/>
        <v>1.052</v>
      </c>
      <c r="AY53" s="468">
        <f t="shared" ca="1" si="31"/>
        <v>1.0649999999999999</v>
      </c>
      <c r="AZ53" s="468">
        <f t="shared" ca="1" si="31"/>
        <v>1.0780000000000001</v>
      </c>
      <c r="BA53" s="468">
        <f t="shared" ca="1" si="31"/>
        <v>1.091</v>
      </c>
      <c r="BB53" s="468">
        <f t="shared" ca="1" si="31"/>
        <v>1.1040000000000001</v>
      </c>
      <c r="BC53" s="468">
        <f t="shared" ca="1" si="31"/>
        <v>1.117</v>
      </c>
      <c r="BD53" s="468">
        <f t="shared" ca="1" si="32"/>
        <v>1.1299999999999999</v>
      </c>
      <c r="BE53" s="468">
        <f t="shared" ca="1" si="32"/>
        <v>1.143</v>
      </c>
      <c r="BF53" s="468">
        <f t="shared" ca="1" si="32"/>
        <v>1.1560000000000001</v>
      </c>
      <c r="BG53" s="468">
        <f t="shared" ca="1" si="32"/>
        <v>1.169</v>
      </c>
      <c r="BH53" s="468">
        <f t="shared" ca="1" si="32"/>
        <v>1.1819999999999999</v>
      </c>
      <c r="BI53" s="468">
        <f t="shared" ca="1" si="32"/>
        <v>1.1950000000000001</v>
      </c>
      <c r="BJ53" s="468">
        <f t="shared" ca="1" si="32"/>
        <v>1.208</v>
      </c>
      <c r="BK53" s="468">
        <f t="shared" ca="1" si="32"/>
        <v>1.2210000000000001</v>
      </c>
      <c r="BL53" s="468">
        <f t="shared" ca="1" si="32"/>
        <v>1.234</v>
      </c>
      <c r="BM53" s="468">
        <f t="shared" ca="1" si="32"/>
        <v>1.2469999999999999</v>
      </c>
      <c r="BN53" s="468">
        <f t="shared" ca="1" si="33"/>
        <v>1.26</v>
      </c>
      <c r="BO53" s="468">
        <f t="shared" ca="1" si="33"/>
        <v>1.2730000000000001</v>
      </c>
      <c r="BP53" s="468">
        <f t="shared" ca="1" si="33"/>
        <v>1.286</v>
      </c>
      <c r="BQ53" s="468">
        <f t="shared" ca="1" si="33"/>
        <v>1.2989999999999999</v>
      </c>
      <c r="BR53" s="468">
        <f t="shared" ca="1" si="33"/>
        <v>1.3120000000000001</v>
      </c>
      <c r="BS53" s="468">
        <f t="shared" ca="1" si="33"/>
        <v>1.325</v>
      </c>
      <c r="BT53" s="468">
        <f t="shared" ca="1" si="33"/>
        <v>1.3380000000000001</v>
      </c>
      <c r="BU53" s="468">
        <f t="shared" ca="1" si="33"/>
        <v>1.351</v>
      </c>
      <c r="BV53" s="468">
        <f t="shared" ca="1" si="33"/>
        <v>1.3639999999999999</v>
      </c>
      <c r="BW53" s="468">
        <f t="shared" ca="1" si="33"/>
        <v>1.377</v>
      </c>
      <c r="BX53" s="468">
        <f t="shared" ca="1" si="34"/>
        <v>1.3900000000000001</v>
      </c>
      <c r="BY53" s="468">
        <f t="shared" ca="1" si="34"/>
        <v>1.403</v>
      </c>
      <c r="BZ53" s="468">
        <f t="shared" ca="1" si="34"/>
        <v>1.4159999999999999</v>
      </c>
      <c r="CA53" s="468">
        <f t="shared" ca="1" si="34"/>
        <v>1.429</v>
      </c>
      <c r="CB53" s="468">
        <f t="shared" ca="1" si="34"/>
        <v>1.4419999999999999</v>
      </c>
      <c r="CC53" s="468">
        <f t="shared" ca="1" si="34"/>
        <v>1.4550000000000001</v>
      </c>
      <c r="CD53" s="468">
        <f t="shared" ca="1" si="34"/>
        <v>1.468</v>
      </c>
      <c r="CE53" s="468">
        <f t="shared" ca="1" si="34"/>
        <v>1.4810000000000001</v>
      </c>
      <c r="CF53" s="468">
        <f t="shared" ca="1" si="34"/>
        <v>1.494</v>
      </c>
      <c r="CG53" s="468">
        <f t="shared" ca="1" si="34"/>
        <v>1.5070000000000001</v>
      </c>
      <c r="CH53" s="468">
        <f t="shared" ca="1" si="35"/>
        <v>1.52</v>
      </c>
      <c r="CI53" s="468">
        <f t="shared" ca="1" si="35"/>
        <v>1.5329999999999999</v>
      </c>
      <c r="CJ53" s="468">
        <f t="shared" ca="1" si="35"/>
        <v>1.546</v>
      </c>
      <c r="CK53" s="468">
        <f t="shared" ca="1" si="35"/>
        <v>1.5589999999999999</v>
      </c>
      <c r="CL53" s="468">
        <f t="shared" ca="1" si="35"/>
        <v>1.5720000000000001</v>
      </c>
      <c r="CM53" s="468">
        <f t="shared" ca="1" si="35"/>
        <v>1.585</v>
      </c>
      <c r="CN53" s="468">
        <f t="shared" ca="1" si="35"/>
        <v>1.5980000000000001</v>
      </c>
      <c r="CO53" s="468">
        <f t="shared" ca="1" si="35"/>
        <v>1.611</v>
      </c>
      <c r="CP53" s="468">
        <f t="shared" ca="1" si="35"/>
        <v>1.6240000000000001</v>
      </c>
      <c r="CQ53" s="468">
        <f t="shared" ca="1" si="35"/>
        <v>1.637</v>
      </c>
      <c r="CR53" s="469">
        <f t="shared" ca="1" si="35"/>
        <v>1.65</v>
      </c>
    </row>
    <row r="54" spans="1:100" s="707" customFormat="1" ht="11.25" customHeight="1" x14ac:dyDescent="0.2">
      <c r="A54" s="2324"/>
      <c r="B54" s="2325"/>
      <c r="C54" s="1986" t="s">
        <v>819</v>
      </c>
      <c r="D54" s="1986"/>
      <c r="E54" s="1986"/>
      <c r="F54" s="1987"/>
      <c r="G54" s="2317" t="s">
        <v>590</v>
      </c>
      <c r="H54" s="2318"/>
      <c r="I54" s="2281"/>
      <c r="J54" s="2280"/>
      <c r="K54" s="2281"/>
      <c r="L54" s="2280"/>
      <c r="M54" s="1674"/>
      <c r="N54" s="1675"/>
      <c r="O54" s="1674"/>
      <c r="P54" s="1675"/>
      <c r="Q54" s="2126"/>
      <c r="R54" s="2127"/>
      <c r="S54" s="2161">
        <f t="shared" si="28"/>
        <v>0</v>
      </c>
      <c r="T54" s="2162"/>
      <c r="U54" s="1775">
        <v>1.3</v>
      </c>
      <c r="V54" s="1676"/>
      <c r="W54" s="2335"/>
      <c r="X54" s="2140"/>
      <c r="Y54" s="2140"/>
      <c r="Z54" s="2140"/>
      <c r="AA54" s="2287"/>
      <c r="AB54" s="2287"/>
      <c r="AC54" s="2288"/>
      <c r="AD54" s="2288"/>
      <c r="AE54" s="2116"/>
      <c r="AF54" s="2117"/>
      <c r="AG54" s="1248"/>
      <c r="AH54" s="776">
        <f t="shared" si="27"/>
        <v>1.3</v>
      </c>
      <c r="AI54" s="777">
        <f t="shared" si="10"/>
        <v>0</v>
      </c>
      <c r="AJ54" s="323"/>
      <c r="AK54" s="1287" t="s">
        <v>597</v>
      </c>
      <c r="AL54" s="1288"/>
      <c r="AM54" s="1289"/>
      <c r="AN54" s="323"/>
      <c r="AO54" s="405" t="s">
        <v>547</v>
      </c>
      <c r="AP54" s="407"/>
      <c r="AQ54" s="818">
        <f>MATCH(Projektdaten!$G$22,Grunddaten!C52:C54,0)-1</f>
        <v>0</v>
      </c>
      <c r="AS54" s="417"/>
      <c r="AT54" s="464">
        <f t="shared" si="31"/>
        <v>0</v>
      </c>
      <c r="AU54" s="465">
        <f t="shared" si="31"/>
        <v>0</v>
      </c>
      <c r="AV54" s="465">
        <f t="shared" si="31"/>
        <v>0</v>
      </c>
      <c r="AW54" s="465">
        <f t="shared" si="31"/>
        <v>0</v>
      </c>
      <c r="AX54" s="465">
        <f t="shared" si="31"/>
        <v>0</v>
      </c>
      <c r="AY54" s="465">
        <f t="shared" si="31"/>
        <v>0</v>
      </c>
      <c r="AZ54" s="465">
        <f t="shared" si="31"/>
        <v>0</v>
      </c>
      <c r="BA54" s="465">
        <f t="shared" si="31"/>
        <v>0</v>
      </c>
      <c r="BB54" s="465">
        <f t="shared" si="31"/>
        <v>0</v>
      </c>
      <c r="BC54" s="465">
        <f t="shared" si="31"/>
        <v>0</v>
      </c>
      <c r="BD54" s="465">
        <f t="shared" si="32"/>
        <v>0</v>
      </c>
      <c r="BE54" s="465">
        <f t="shared" si="32"/>
        <v>0</v>
      </c>
      <c r="BF54" s="465">
        <f t="shared" si="32"/>
        <v>0</v>
      </c>
      <c r="BG54" s="465">
        <f t="shared" si="32"/>
        <v>0</v>
      </c>
      <c r="BH54" s="465">
        <f t="shared" si="32"/>
        <v>0</v>
      </c>
      <c r="BI54" s="465">
        <f t="shared" si="32"/>
        <v>0</v>
      </c>
      <c r="BJ54" s="465">
        <f t="shared" si="32"/>
        <v>0</v>
      </c>
      <c r="BK54" s="465">
        <f t="shared" si="32"/>
        <v>0</v>
      </c>
      <c r="BL54" s="465">
        <f t="shared" si="32"/>
        <v>0</v>
      </c>
      <c r="BM54" s="465">
        <f t="shared" si="32"/>
        <v>0</v>
      </c>
      <c r="BN54" s="465">
        <f t="shared" si="33"/>
        <v>0</v>
      </c>
      <c r="BO54" s="465">
        <f t="shared" si="33"/>
        <v>0</v>
      </c>
      <c r="BP54" s="465">
        <f t="shared" si="33"/>
        <v>0</v>
      </c>
      <c r="BQ54" s="465">
        <f t="shared" si="33"/>
        <v>0</v>
      </c>
      <c r="BR54" s="465">
        <f t="shared" si="33"/>
        <v>0</v>
      </c>
      <c r="BS54" s="465">
        <f t="shared" si="33"/>
        <v>0</v>
      </c>
      <c r="BT54" s="465">
        <f t="shared" si="33"/>
        <v>0</v>
      </c>
      <c r="BU54" s="465">
        <f t="shared" si="33"/>
        <v>0</v>
      </c>
      <c r="BV54" s="465">
        <f t="shared" si="33"/>
        <v>0</v>
      </c>
      <c r="BW54" s="465">
        <f t="shared" si="33"/>
        <v>0</v>
      </c>
      <c r="BX54" s="465">
        <f t="shared" si="34"/>
        <v>0</v>
      </c>
      <c r="BY54" s="465">
        <f t="shared" si="34"/>
        <v>0</v>
      </c>
      <c r="BZ54" s="465">
        <f t="shared" si="34"/>
        <v>0</v>
      </c>
      <c r="CA54" s="465">
        <f t="shared" si="34"/>
        <v>0</v>
      </c>
      <c r="CB54" s="465">
        <f t="shared" si="34"/>
        <v>0</v>
      </c>
      <c r="CC54" s="465">
        <f t="shared" si="34"/>
        <v>0</v>
      </c>
      <c r="CD54" s="465">
        <f t="shared" si="34"/>
        <v>0</v>
      </c>
      <c r="CE54" s="465">
        <f t="shared" si="34"/>
        <v>0</v>
      </c>
      <c r="CF54" s="465">
        <f t="shared" si="34"/>
        <v>0</v>
      </c>
      <c r="CG54" s="465">
        <f t="shared" si="34"/>
        <v>0</v>
      </c>
      <c r="CH54" s="465">
        <f t="shared" si="35"/>
        <v>0</v>
      </c>
      <c r="CI54" s="465">
        <f t="shared" si="35"/>
        <v>0</v>
      </c>
      <c r="CJ54" s="465">
        <f t="shared" si="35"/>
        <v>0</v>
      </c>
      <c r="CK54" s="465">
        <f t="shared" si="35"/>
        <v>0</v>
      </c>
      <c r="CL54" s="465">
        <f t="shared" si="35"/>
        <v>0</v>
      </c>
      <c r="CM54" s="465">
        <f t="shared" si="35"/>
        <v>0</v>
      </c>
      <c r="CN54" s="465">
        <f t="shared" si="35"/>
        <v>0</v>
      </c>
      <c r="CO54" s="465">
        <f t="shared" si="35"/>
        <v>0</v>
      </c>
      <c r="CP54" s="465">
        <f t="shared" si="35"/>
        <v>0</v>
      </c>
      <c r="CQ54" s="465">
        <f t="shared" si="35"/>
        <v>0</v>
      </c>
      <c r="CR54" s="466">
        <f t="shared" si="35"/>
        <v>0</v>
      </c>
    </row>
    <row r="55" spans="1:100" s="788" customFormat="1" ht="11.25" customHeight="1" x14ac:dyDescent="0.2">
      <c r="A55" s="2180" t="s">
        <v>799</v>
      </c>
      <c r="B55" s="2181"/>
      <c r="C55" s="2012" t="s">
        <v>721</v>
      </c>
      <c r="D55" s="2012"/>
      <c r="E55" s="2012"/>
      <c r="F55" s="2012"/>
      <c r="G55" s="2012"/>
      <c r="H55" s="2013"/>
      <c r="I55" s="2319"/>
      <c r="J55" s="2188"/>
      <c r="K55" s="2187"/>
      <c r="L55" s="2188"/>
      <c r="M55" s="1651"/>
      <c r="N55" s="1652"/>
      <c r="O55" s="1651"/>
      <c r="P55" s="1652"/>
      <c r="Q55" s="2332"/>
      <c r="R55" s="2333"/>
      <c r="S55" s="2178">
        <f t="shared" ref="S55" si="36">IF(ISBLANK(L55),K55,L55)+Q55</f>
        <v>0</v>
      </c>
      <c r="T55" s="2179"/>
      <c r="U55" s="2187"/>
      <c r="V55" s="2342"/>
      <c r="W55" s="2189"/>
      <c r="X55" s="2190"/>
      <c r="Y55" s="2190"/>
      <c r="Z55" s="2190"/>
      <c r="AA55" s="2157"/>
      <c r="AB55" s="2157"/>
      <c r="AC55" s="2343"/>
      <c r="AD55" s="2343"/>
      <c r="AE55" s="2344"/>
      <c r="AF55" s="2345"/>
      <c r="AG55" s="761"/>
      <c r="AH55" s="776">
        <f>U55</f>
        <v>0</v>
      </c>
      <c r="AI55" s="1352">
        <f t="shared" si="10"/>
        <v>0</v>
      </c>
      <c r="AJ55" s="323"/>
      <c r="AK55" s="1281" t="s">
        <v>593</v>
      </c>
      <c r="AL55" s="1282"/>
      <c r="AM55" s="1293" t="str">
        <f>VLOOKUP(Projektdaten!G22,Grunddaten!C52:H54,5,FALSE)</f>
        <v>degressiv</v>
      </c>
      <c r="AN55" s="323"/>
      <c r="AS55" s="417"/>
      <c r="AT55" s="1758">
        <f t="shared" si="31"/>
        <v>0</v>
      </c>
      <c r="AU55" s="1759">
        <f t="shared" si="31"/>
        <v>0</v>
      </c>
      <c r="AV55" s="1759">
        <f t="shared" si="31"/>
        <v>0</v>
      </c>
      <c r="AW55" s="1759">
        <f t="shared" si="31"/>
        <v>0</v>
      </c>
      <c r="AX55" s="1759">
        <f t="shared" si="31"/>
        <v>0</v>
      </c>
      <c r="AY55" s="1759">
        <f t="shared" si="31"/>
        <v>0</v>
      </c>
      <c r="AZ55" s="1759">
        <f t="shared" si="31"/>
        <v>0</v>
      </c>
      <c r="BA55" s="1759">
        <f t="shared" si="31"/>
        <v>0</v>
      </c>
      <c r="BB55" s="1759">
        <f t="shared" si="31"/>
        <v>0</v>
      </c>
      <c r="BC55" s="1759">
        <f t="shared" si="31"/>
        <v>0</v>
      </c>
      <c r="BD55" s="1759">
        <f t="shared" si="32"/>
        <v>0</v>
      </c>
      <c r="BE55" s="1759">
        <f t="shared" si="32"/>
        <v>0</v>
      </c>
      <c r="BF55" s="1759">
        <f t="shared" si="32"/>
        <v>0</v>
      </c>
      <c r="BG55" s="1759">
        <f t="shared" si="32"/>
        <v>0</v>
      </c>
      <c r="BH55" s="1759">
        <f t="shared" si="32"/>
        <v>0</v>
      </c>
      <c r="BI55" s="1759">
        <f t="shared" si="32"/>
        <v>0</v>
      </c>
      <c r="BJ55" s="1759">
        <f t="shared" si="32"/>
        <v>0</v>
      </c>
      <c r="BK55" s="1759">
        <f t="shared" si="32"/>
        <v>0</v>
      </c>
      <c r="BL55" s="1759">
        <f t="shared" si="32"/>
        <v>0</v>
      </c>
      <c r="BM55" s="1759">
        <f t="shared" si="32"/>
        <v>0</v>
      </c>
      <c r="BN55" s="1759">
        <f t="shared" si="33"/>
        <v>0</v>
      </c>
      <c r="BO55" s="1759">
        <f t="shared" si="33"/>
        <v>0</v>
      </c>
      <c r="BP55" s="1759">
        <f t="shared" si="33"/>
        <v>0</v>
      </c>
      <c r="BQ55" s="1759">
        <f t="shared" si="33"/>
        <v>0</v>
      </c>
      <c r="BR55" s="1759">
        <f t="shared" si="33"/>
        <v>0</v>
      </c>
      <c r="BS55" s="1759">
        <f t="shared" si="33"/>
        <v>0</v>
      </c>
      <c r="BT55" s="1759">
        <f t="shared" si="33"/>
        <v>0</v>
      </c>
      <c r="BU55" s="1759">
        <f t="shared" si="33"/>
        <v>0</v>
      </c>
      <c r="BV55" s="1759">
        <f t="shared" si="33"/>
        <v>0</v>
      </c>
      <c r="BW55" s="1759">
        <f t="shared" si="33"/>
        <v>0</v>
      </c>
      <c r="BX55" s="1759">
        <f t="shared" si="34"/>
        <v>0</v>
      </c>
      <c r="BY55" s="1759">
        <f t="shared" si="34"/>
        <v>0</v>
      </c>
      <c r="BZ55" s="1759">
        <f t="shared" si="34"/>
        <v>0</v>
      </c>
      <c r="CA55" s="1759">
        <f t="shared" si="34"/>
        <v>0</v>
      </c>
      <c r="CB55" s="1759">
        <f t="shared" si="34"/>
        <v>0</v>
      </c>
      <c r="CC55" s="1759">
        <f t="shared" si="34"/>
        <v>0</v>
      </c>
      <c r="CD55" s="1759">
        <f t="shared" si="34"/>
        <v>0</v>
      </c>
      <c r="CE55" s="1759">
        <f t="shared" si="34"/>
        <v>0</v>
      </c>
      <c r="CF55" s="1759">
        <f t="shared" si="34"/>
        <v>0</v>
      </c>
      <c r="CG55" s="1759">
        <f t="shared" si="34"/>
        <v>0</v>
      </c>
      <c r="CH55" s="1759">
        <f t="shared" si="35"/>
        <v>0</v>
      </c>
      <c r="CI55" s="1759">
        <f t="shared" si="35"/>
        <v>0</v>
      </c>
      <c r="CJ55" s="1759">
        <f t="shared" si="35"/>
        <v>0</v>
      </c>
      <c r="CK55" s="1759">
        <f t="shared" si="35"/>
        <v>0</v>
      </c>
      <c r="CL55" s="1759">
        <f t="shared" si="35"/>
        <v>0</v>
      </c>
      <c r="CM55" s="1759">
        <f t="shared" si="35"/>
        <v>0</v>
      </c>
      <c r="CN55" s="1759">
        <f t="shared" si="35"/>
        <v>0</v>
      </c>
      <c r="CO55" s="1759">
        <f t="shared" si="35"/>
        <v>0</v>
      </c>
      <c r="CP55" s="1759">
        <f t="shared" si="35"/>
        <v>0</v>
      </c>
      <c r="CQ55" s="1759">
        <f t="shared" si="35"/>
        <v>0</v>
      </c>
      <c r="CR55" s="1760">
        <f t="shared" si="35"/>
        <v>0</v>
      </c>
    </row>
    <row r="56" spans="1:100" s="266" customFormat="1" ht="11.25" customHeight="1" x14ac:dyDescent="0.2">
      <c r="A56" s="2182"/>
      <c r="B56" s="2183"/>
      <c r="C56" s="2197" t="s">
        <v>798</v>
      </c>
      <c r="D56" s="2197"/>
      <c r="E56" s="2197"/>
      <c r="F56" s="2197"/>
      <c r="G56" s="2197"/>
      <c r="H56" s="2198"/>
      <c r="I56" s="2027"/>
      <c r="J56" s="2028"/>
      <c r="K56" s="2149"/>
      <c r="L56" s="2028"/>
      <c r="M56" s="1653"/>
      <c r="N56" s="1654"/>
      <c r="O56" s="1653"/>
      <c r="P56" s="1654"/>
      <c r="Q56" s="2206"/>
      <c r="R56" s="2207"/>
      <c r="S56" s="2136">
        <f t="shared" ref="S56" si="37">IF(ISBLANK(L56),K56,L56)+Q56</f>
        <v>0</v>
      </c>
      <c r="T56" s="2137"/>
      <c r="U56" s="2149"/>
      <c r="V56" s="2336"/>
      <c r="W56" s="2199"/>
      <c r="X56" s="2200"/>
      <c r="Y56" s="2200"/>
      <c r="Z56" s="2200"/>
      <c r="AA56" s="2201"/>
      <c r="AB56" s="2201"/>
      <c r="AC56" s="2205"/>
      <c r="AD56" s="2205"/>
      <c r="AE56" s="2292"/>
      <c r="AF56" s="2293"/>
      <c r="AG56" s="761"/>
      <c r="AH56" s="776">
        <f>U56</f>
        <v>0</v>
      </c>
      <c r="AI56" s="1352">
        <f t="shared" si="10"/>
        <v>0</v>
      </c>
      <c r="AL56" s="247"/>
      <c r="AM56" s="247"/>
      <c r="AS56" s="1754"/>
      <c r="AT56" s="1755">
        <f t="shared" si="31"/>
        <v>0</v>
      </c>
      <c r="AU56" s="1756">
        <f t="shared" si="31"/>
        <v>0</v>
      </c>
      <c r="AV56" s="1756">
        <f t="shared" si="31"/>
        <v>0</v>
      </c>
      <c r="AW56" s="1756">
        <f t="shared" si="31"/>
        <v>0</v>
      </c>
      <c r="AX56" s="1756">
        <f t="shared" si="31"/>
        <v>0</v>
      </c>
      <c r="AY56" s="1756">
        <f t="shared" si="31"/>
        <v>0</v>
      </c>
      <c r="AZ56" s="1756">
        <f t="shared" si="31"/>
        <v>0</v>
      </c>
      <c r="BA56" s="1756">
        <f t="shared" si="31"/>
        <v>0</v>
      </c>
      <c r="BB56" s="1756">
        <f t="shared" si="31"/>
        <v>0</v>
      </c>
      <c r="BC56" s="1756">
        <f t="shared" si="31"/>
        <v>0</v>
      </c>
      <c r="BD56" s="1756">
        <f t="shared" si="32"/>
        <v>0</v>
      </c>
      <c r="BE56" s="1756">
        <f t="shared" si="32"/>
        <v>0</v>
      </c>
      <c r="BF56" s="1756">
        <f t="shared" si="32"/>
        <v>0</v>
      </c>
      <c r="BG56" s="1756">
        <f t="shared" si="32"/>
        <v>0</v>
      </c>
      <c r="BH56" s="1756">
        <f t="shared" si="32"/>
        <v>0</v>
      </c>
      <c r="BI56" s="1756">
        <f t="shared" si="32"/>
        <v>0</v>
      </c>
      <c r="BJ56" s="1756">
        <f t="shared" si="32"/>
        <v>0</v>
      </c>
      <c r="BK56" s="1756">
        <f t="shared" si="32"/>
        <v>0</v>
      </c>
      <c r="BL56" s="1756">
        <f t="shared" si="32"/>
        <v>0</v>
      </c>
      <c r="BM56" s="1756">
        <f t="shared" si="32"/>
        <v>0</v>
      </c>
      <c r="BN56" s="1756">
        <f t="shared" si="33"/>
        <v>0</v>
      </c>
      <c r="BO56" s="1756">
        <f t="shared" si="33"/>
        <v>0</v>
      </c>
      <c r="BP56" s="1756">
        <f t="shared" si="33"/>
        <v>0</v>
      </c>
      <c r="BQ56" s="1756">
        <f t="shared" si="33"/>
        <v>0</v>
      </c>
      <c r="BR56" s="1756">
        <f t="shared" si="33"/>
        <v>0</v>
      </c>
      <c r="BS56" s="1756">
        <f t="shared" si="33"/>
        <v>0</v>
      </c>
      <c r="BT56" s="1756">
        <f t="shared" si="33"/>
        <v>0</v>
      </c>
      <c r="BU56" s="1756">
        <f t="shared" si="33"/>
        <v>0</v>
      </c>
      <c r="BV56" s="1756">
        <f t="shared" si="33"/>
        <v>0</v>
      </c>
      <c r="BW56" s="1756">
        <f t="shared" si="33"/>
        <v>0</v>
      </c>
      <c r="BX56" s="1756">
        <f t="shared" si="34"/>
        <v>0</v>
      </c>
      <c r="BY56" s="1756">
        <f t="shared" si="34"/>
        <v>0</v>
      </c>
      <c r="BZ56" s="1756">
        <f t="shared" si="34"/>
        <v>0</v>
      </c>
      <c r="CA56" s="1756">
        <f t="shared" si="34"/>
        <v>0</v>
      </c>
      <c r="CB56" s="1756">
        <f t="shared" si="34"/>
        <v>0</v>
      </c>
      <c r="CC56" s="1756">
        <f t="shared" si="34"/>
        <v>0</v>
      </c>
      <c r="CD56" s="1756">
        <f t="shared" si="34"/>
        <v>0</v>
      </c>
      <c r="CE56" s="1756">
        <f t="shared" si="34"/>
        <v>0</v>
      </c>
      <c r="CF56" s="1756">
        <f t="shared" si="34"/>
        <v>0</v>
      </c>
      <c r="CG56" s="1756">
        <f t="shared" si="34"/>
        <v>0</v>
      </c>
      <c r="CH56" s="1756">
        <f t="shared" si="35"/>
        <v>0</v>
      </c>
      <c r="CI56" s="1756">
        <f t="shared" si="35"/>
        <v>0</v>
      </c>
      <c r="CJ56" s="1756">
        <f t="shared" si="35"/>
        <v>0</v>
      </c>
      <c r="CK56" s="1756">
        <f t="shared" si="35"/>
        <v>0</v>
      </c>
      <c r="CL56" s="1756">
        <f t="shared" si="35"/>
        <v>0</v>
      </c>
      <c r="CM56" s="1756">
        <f t="shared" si="35"/>
        <v>0</v>
      </c>
      <c r="CN56" s="1756">
        <f t="shared" si="35"/>
        <v>0</v>
      </c>
      <c r="CO56" s="1756">
        <f t="shared" si="35"/>
        <v>0</v>
      </c>
      <c r="CP56" s="1756">
        <f t="shared" si="35"/>
        <v>0</v>
      </c>
      <c r="CQ56" s="1756">
        <f t="shared" si="35"/>
        <v>0</v>
      </c>
      <c r="CR56" s="1757">
        <f t="shared" si="35"/>
        <v>0</v>
      </c>
      <c r="CS56" s="322"/>
      <c r="CT56" s="322"/>
    </row>
    <row r="57" spans="1:100" s="266" customFormat="1" ht="12.1" customHeight="1" x14ac:dyDescent="0.2">
      <c r="B57" s="39"/>
      <c r="C57" s="39"/>
      <c r="D57" s="39"/>
      <c r="E57" s="39"/>
      <c r="F57" s="34"/>
      <c r="G57" s="35"/>
      <c r="H57" s="35"/>
      <c r="I57" s="35"/>
      <c r="J57" s="35"/>
      <c r="K57" s="35"/>
      <c r="L57" s="35"/>
      <c r="M57" s="35"/>
      <c r="N57" s="247"/>
      <c r="O57" s="247"/>
      <c r="P57" s="247"/>
      <c r="Q57" s="186"/>
      <c r="R57" s="247"/>
      <c r="S57" s="247"/>
      <c r="T57" s="247"/>
      <c r="U57" s="247"/>
      <c r="V57" s="247"/>
      <c r="W57" s="247"/>
      <c r="X57" s="247"/>
      <c r="Y57" s="246"/>
      <c r="Z57" s="246"/>
      <c r="AA57" s="246"/>
      <c r="AB57" s="246"/>
      <c r="AL57" s="247"/>
      <c r="AV57" s="322"/>
      <c r="AW57" s="322"/>
      <c r="AX57" s="322"/>
      <c r="AY57" s="322"/>
      <c r="AZ57" s="322"/>
      <c r="BA57" s="322"/>
      <c r="BB57" s="322"/>
      <c r="BC57" s="322"/>
      <c r="BD57" s="322"/>
      <c r="BE57" s="322"/>
      <c r="BF57" s="322"/>
      <c r="BG57" s="322"/>
      <c r="BH57" s="322"/>
      <c r="BI57" s="322"/>
      <c r="BJ57" s="322"/>
      <c r="BK57" s="322"/>
      <c r="BL57" s="322"/>
      <c r="BM57" s="322"/>
      <c r="BN57" s="322"/>
      <c r="BO57" s="322"/>
      <c r="BP57" s="322"/>
      <c r="BQ57" s="322"/>
      <c r="BR57" s="322"/>
      <c r="BS57" s="322"/>
      <c r="BT57" s="322"/>
      <c r="BU57" s="322"/>
      <c r="BV57" s="322"/>
      <c r="BW57" s="322"/>
      <c r="BX57" s="322"/>
      <c r="BY57" s="322"/>
      <c r="BZ57" s="322"/>
      <c r="CA57" s="322"/>
      <c r="CB57" s="322"/>
      <c r="CC57" s="322"/>
      <c r="CD57" s="322"/>
      <c r="CE57" s="322"/>
      <c r="CF57" s="322"/>
      <c r="CG57" s="322"/>
      <c r="CH57" s="322"/>
      <c r="CI57" s="322"/>
      <c r="CJ57" s="322"/>
      <c r="CK57" s="322"/>
      <c r="CL57" s="322"/>
      <c r="CM57" s="322"/>
      <c r="CN57" s="322"/>
      <c r="CO57" s="322"/>
      <c r="CP57" s="322"/>
      <c r="CQ57" s="322"/>
      <c r="CR57" s="322"/>
      <c r="CS57" s="322"/>
      <c r="CT57" s="322"/>
    </row>
    <row r="58" spans="1:100" s="1558" customFormat="1" ht="27" customHeight="1" x14ac:dyDescent="0.2">
      <c r="A58" s="1105" t="s">
        <v>781</v>
      </c>
      <c r="B58" s="38"/>
      <c r="C58" s="38"/>
      <c r="D58" s="38"/>
      <c r="E58" s="38"/>
      <c r="F58" s="36"/>
      <c r="G58" s="37"/>
      <c r="H58" s="37"/>
      <c r="I58" s="37"/>
      <c r="J58" s="37"/>
      <c r="K58" s="37"/>
      <c r="L58" s="37"/>
      <c r="M58" s="37"/>
      <c r="N58" s="247"/>
      <c r="O58" s="247"/>
      <c r="P58" s="247"/>
      <c r="Q58" s="247"/>
      <c r="R58" s="247"/>
      <c r="S58" s="247"/>
      <c r="T58" s="247"/>
      <c r="U58" s="247"/>
      <c r="V58" s="247"/>
      <c r="W58" s="247"/>
      <c r="X58" s="247"/>
      <c r="Y58" s="246"/>
      <c r="Z58" s="246"/>
      <c r="AA58" s="246"/>
      <c r="AB58" s="246"/>
      <c r="AC58" s="266"/>
      <c r="AD58" s="266"/>
      <c r="AE58" s="266"/>
      <c r="AF58" s="266"/>
      <c r="AG58" s="266"/>
      <c r="AH58" s="266"/>
      <c r="AI58" s="266"/>
      <c r="AJ58" s="1557"/>
      <c r="AK58" s="1557"/>
      <c r="AL58" s="1557"/>
      <c r="AM58" s="1557"/>
      <c r="AN58" s="1557"/>
      <c r="AO58" s="1557"/>
      <c r="AS58" s="1557"/>
      <c r="AT58" s="1559"/>
      <c r="AU58" s="1559"/>
      <c r="AV58" s="1559"/>
      <c r="AW58" s="1559"/>
      <c r="AX58" s="1560"/>
      <c r="AY58" s="1560"/>
      <c r="AZ58" s="1560"/>
      <c r="BA58" s="1560"/>
      <c r="BB58" s="1560"/>
      <c r="BC58" s="1560"/>
      <c r="BD58" s="1560"/>
      <c r="BE58" s="1560"/>
      <c r="BF58" s="1560"/>
      <c r="BG58" s="1560"/>
      <c r="BH58" s="1560"/>
      <c r="BI58" s="1560"/>
      <c r="BJ58" s="1560"/>
      <c r="BK58" s="1560"/>
      <c r="BL58" s="1560"/>
      <c r="BM58" s="1560"/>
      <c r="BN58" s="1560"/>
      <c r="BO58" s="1560"/>
      <c r="BP58" s="1560"/>
      <c r="BQ58" s="1560"/>
      <c r="BR58" s="1560"/>
      <c r="BS58" s="1560"/>
      <c r="BT58" s="1560"/>
      <c r="BU58" s="1560"/>
      <c r="BV58" s="1560"/>
      <c r="BW58" s="1560"/>
      <c r="BX58" s="1560"/>
      <c r="BY58" s="1560"/>
      <c r="BZ58" s="1560"/>
      <c r="CA58" s="1560"/>
      <c r="CB58" s="1560"/>
      <c r="CC58" s="1560"/>
      <c r="CD58" s="1560"/>
      <c r="CE58" s="1560"/>
      <c r="CF58" s="1560"/>
      <c r="CG58" s="1560"/>
      <c r="CH58" s="1560"/>
      <c r="CI58" s="1560"/>
      <c r="CJ58" s="1560"/>
      <c r="CK58" s="1560"/>
      <c r="CL58" s="1560"/>
      <c r="CM58" s="1560"/>
      <c r="CN58" s="1560"/>
      <c r="CO58" s="1560"/>
      <c r="CP58" s="1560"/>
      <c r="CQ58" s="1560"/>
      <c r="CR58" s="1560"/>
      <c r="CS58" s="1560"/>
      <c r="CT58" s="1560"/>
      <c r="CU58" s="1560"/>
      <c r="CV58" s="1560"/>
    </row>
    <row r="59" spans="1:100" s="1558" customFormat="1" ht="12.75" customHeight="1" x14ac:dyDescent="0.2">
      <c r="A59" s="1547" t="s">
        <v>275</v>
      </c>
      <c r="B59" s="1548"/>
      <c r="C59" s="1548"/>
      <c r="D59" s="1548"/>
      <c r="E59" s="1548"/>
      <c r="F59" s="1548"/>
      <c r="G59" s="1548"/>
      <c r="H59" s="1548"/>
      <c r="I59" s="2346" t="s">
        <v>695</v>
      </c>
      <c r="J59" s="2346"/>
      <c r="K59" s="2346"/>
      <c r="L59" s="2346"/>
      <c r="M59" s="2346"/>
      <c r="N59" s="2346"/>
      <c r="O59" s="2346"/>
      <c r="P59" s="2346"/>
      <c r="Q59" s="2346"/>
      <c r="R59" s="2346"/>
      <c r="S59" s="2346"/>
      <c r="T59" s="2346"/>
      <c r="U59" s="1565"/>
      <c r="V59" s="1565"/>
      <c r="W59" s="1565"/>
      <c r="X59" s="1565"/>
      <c r="Y59" s="1565"/>
      <c r="Z59" s="1565"/>
      <c r="AA59" s="1565"/>
      <c r="AB59" s="1565"/>
      <c r="AC59" s="1565"/>
      <c r="AD59" s="1565"/>
      <c r="AE59" s="1565"/>
      <c r="AF59" s="1566"/>
      <c r="AG59" s="1557"/>
      <c r="AH59" s="1557"/>
      <c r="AI59" s="1557"/>
      <c r="AJ59" s="1557"/>
      <c r="AK59" s="1557"/>
      <c r="AL59" s="1557"/>
      <c r="AM59" s="1557"/>
      <c r="AN59" s="1557"/>
      <c r="AO59" s="1557"/>
      <c r="AP59" s="1557"/>
      <c r="AQ59" s="1557"/>
      <c r="AR59" s="1557"/>
      <c r="AS59" s="1557"/>
      <c r="AT59" s="1559"/>
      <c r="AU59" s="1559"/>
      <c r="AV59" s="1559"/>
      <c r="AW59" s="1559"/>
      <c r="AX59" s="1560"/>
      <c r="AY59" s="1560"/>
      <c r="AZ59" s="1560"/>
      <c r="BA59" s="1560"/>
      <c r="BB59" s="1560"/>
      <c r="BC59" s="1560"/>
      <c r="BD59" s="1560"/>
      <c r="BE59" s="1560"/>
      <c r="BF59" s="1560"/>
      <c r="BG59" s="1560"/>
      <c r="BH59" s="1560"/>
      <c r="BI59" s="1560"/>
      <c r="BJ59" s="1560"/>
      <c r="BK59" s="1560"/>
      <c r="BL59" s="1560"/>
      <c r="BM59" s="1560"/>
      <c r="BN59" s="1560"/>
      <c r="BO59" s="1560"/>
      <c r="BP59" s="1560"/>
      <c r="BQ59" s="1560"/>
      <c r="BR59" s="1560"/>
      <c r="BS59" s="1560"/>
      <c r="BT59" s="1560"/>
      <c r="BU59" s="1560"/>
      <c r="BV59" s="1560"/>
      <c r="BW59" s="1560"/>
      <c r="BX59" s="1560"/>
      <c r="BY59" s="1560"/>
      <c r="BZ59" s="1560"/>
      <c r="CA59" s="1560"/>
      <c r="CB59" s="1560"/>
      <c r="CC59" s="1560"/>
      <c r="CD59" s="1560"/>
      <c r="CE59" s="1560"/>
      <c r="CF59" s="1560"/>
      <c r="CG59" s="1560"/>
      <c r="CH59" s="1560"/>
      <c r="CI59" s="1560"/>
      <c r="CJ59" s="1560"/>
      <c r="CK59" s="1560"/>
      <c r="CL59" s="1560"/>
      <c r="CM59" s="1560"/>
      <c r="CN59" s="1560"/>
      <c r="CO59" s="1560"/>
      <c r="CP59" s="1560"/>
      <c r="CQ59" s="1560"/>
      <c r="CR59" s="1560"/>
      <c r="CS59" s="1560"/>
      <c r="CT59" s="1560"/>
      <c r="CU59" s="1560"/>
      <c r="CV59" s="1560"/>
    </row>
    <row r="60" spans="1:100" s="1558" customFormat="1" ht="12.75" customHeight="1" x14ac:dyDescent="0.2">
      <c r="A60" s="1547" t="s">
        <v>751</v>
      </c>
      <c r="B60" s="1548"/>
      <c r="C60" s="1548"/>
      <c r="D60" s="1548"/>
      <c r="E60" s="1548"/>
      <c r="F60" s="1548"/>
      <c r="G60" s="1548"/>
      <c r="H60" s="1548"/>
      <c r="I60" s="2186" t="s">
        <v>763</v>
      </c>
      <c r="J60" s="2186"/>
      <c r="K60" s="2186"/>
      <c r="L60" s="2186"/>
      <c r="M60" s="2186"/>
      <c r="N60" s="1740" t="s">
        <v>808</v>
      </c>
      <c r="O60" s="1739"/>
      <c r="P60" s="1739"/>
      <c r="Q60" s="1739"/>
      <c r="R60" s="1739"/>
      <c r="S60" s="1739"/>
      <c r="T60" s="1739"/>
      <c r="U60" s="1567"/>
      <c r="V60" s="1567"/>
      <c r="W60" s="1567"/>
      <c r="X60" s="1567"/>
      <c r="Y60" s="1567"/>
      <c r="Z60" s="1567"/>
      <c r="AA60" s="1567"/>
      <c r="AB60" s="1567"/>
      <c r="AC60" s="1567"/>
      <c r="AD60" s="1567"/>
      <c r="AE60" s="1567"/>
      <c r="AF60" s="1568"/>
      <c r="AG60" s="1557"/>
      <c r="AH60" s="1557"/>
      <c r="AI60" s="1557"/>
      <c r="AJ60" s="1557"/>
      <c r="AK60" s="1557"/>
      <c r="AL60" s="1557"/>
      <c r="AM60" s="1557"/>
      <c r="AN60" s="1557"/>
      <c r="AO60" s="1557"/>
      <c r="AP60" s="1557"/>
      <c r="AQ60" s="1557"/>
      <c r="AR60" s="1557"/>
      <c r="AS60" s="1557"/>
      <c r="AT60" s="1559"/>
      <c r="AU60" s="1559"/>
      <c r="AV60" s="1559"/>
      <c r="AW60" s="1559"/>
      <c r="AX60" s="1560"/>
      <c r="AY60" s="1560"/>
      <c r="AZ60" s="1560"/>
      <c r="BA60" s="1560"/>
      <c r="BB60" s="1560"/>
      <c r="BC60" s="1560"/>
      <c r="BD60" s="1560"/>
      <c r="BE60" s="1560"/>
      <c r="BF60" s="1560"/>
      <c r="BG60" s="1560"/>
      <c r="BH60" s="1560"/>
      <c r="BI60" s="1560"/>
      <c r="BJ60" s="1560"/>
      <c r="BK60" s="1560"/>
      <c r="BL60" s="1560"/>
      <c r="BM60" s="1560"/>
      <c r="BN60" s="1560"/>
      <c r="BO60" s="1560"/>
      <c r="BP60" s="1560"/>
      <c r="BQ60" s="1560"/>
      <c r="BR60" s="1560"/>
      <c r="BS60" s="1560"/>
      <c r="BT60" s="1560"/>
      <c r="BU60" s="1560"/>
      <c r="BV60" s="1560"/>
      <c r="BW60" s="1560"/>
      <c r="BX60" s="1560"/>
      <c r="BY60" s="1560"/>
      <c r="BZ60" s="1560"/>
      <c r="CA60" s="1560"/>
      <c r="CB60" s="1560"/>
      <c r="CC60" s="1560"/>
      <c r="CD60" s="1560"/>
      <c r="CE60" s="1560"/>
      <c r="CF60" s="1560"/>
      <c r="CG60" s="1560"/>
      <c r="CH60" s="1560"/>
      <c r="CI60" s="1560"/>
      <c r="CJ60" s="1560"/>
      <c r="CK60" s="1560"/>
      <c r="CL60" s="1560"/>
      <c r="CM60" s="1560"/>
      <c r="CN60" s="1560"/>
      <c r="CO60" s="1560"/>
      <c r="CP60" s="1560"/>
      <c r="CQ60" s="1560"/>
      <c r="CR60" s="1560"/>
      <c r="CS60" s="1560"/>
      <c r="CT60" s="1560"/>
      <c r="CU60" s="1560"/>
      <c r="CV60" s="1560"/>
    </row>
    <row r="61" spans="1:100" s="1558" customFormat="1" ht="12.75" customHeight="1" x14ac:dyDescent="0.2">
      <c r="A61" s="1547" t="s">
        <v>758</v>
      </c>
      <c r="B61" s="1548"/>
      <c r="C61" s="1548"/>
      <c r="D61" s="1548"/>
      <c r="E61" s="1548"/>
      <c r="F61" s="1548"/>
      <c r="G61" s="1548"/>
      <c r="H61" s="1548"/>
      <c r="I61" s="1569"/>
      <c r="J61" s="1569"/>
      <c r="K61" s="1569"/>
      <c r="L61" s="1569"/>
      <c r="M61" s="1569"/>
      <c r="N61" s="1569"/>
      <c r="O61" s="1569"/>
      <c r="P61" s="1569"/>
      <c r="Q61" s="1569"/>
      <c r="R61" s="1569"/>
      <c r="S61" s="1569"/>
      <c r="T61" s="1569"/>
      <c r="U61" s="1569"/>
      <c r="V61" s="1569"/>
      <c r="W61" s="1569"/>
      <c r="X61" s="1569"/>
      <c r="Y61" s="1569"/>
      <c r="Z61" s="1569"/>
      <c r="AA61" s="1569"/>
      <c r="AB61" s="1569"/>
      <c r="AC61" s="1569"/>
      <c r="AD61" s="1569"/>
      <c r="AE61" s="1569"/>
      <c r="AF61" s="1570"/>
      <c r="AG61" s="1557"/>
      <c r="AH61" s="1557"/>
      <c r="AI61" s="1557"/>
      <c r="AJ61" s="1557"/>
      <c r="AK61" s="1557"/>
      <c r="AL61" s="1557"/>
      <c r="AM61" s="1557"/>
      <c r="AN61" s="1557"/>
      <c r="AO61" s="1561"/>
      <c r="AP61" s="1561"/>
      <c r="AQ61" s="1561"/>
      <c r="AR61" s="1557"/>
      <c r="AS61" s="1557"/>
      <c r="AT61" s="1559"/>
      <c r="AU61" s="1559"/>
      <c r="AV61" s="1559"/>
      <c r="AW61" s="1559"/>
      <c r="AX61" s="1560"/>
      <c r="AY61" s="1560"/>
      <c r="AZ61" s="1560"/>
      <c r="BA61" s="1560"/>
      <c r="BB61" s="1560"/>
      <c r="BC61" s="1560"/>
      <c r="BD61" s="1560"/>
      <c r="BE61" s="1560"/>
      <c r="BF61" s="1560"/>
      <c r="BG61" s="1560"/>
      <c r="BH61" s="1560"/>
      <c r="BI61" s="1560"/>
      <c r="BJ61" s="1560"/>
      <c r="BK61" s="1560"/>
      <c r="BL61" s="1560"/>
      <c r="BM61" s="1560"/>
      <c r="BN61" s="1560"/>
      <c r="BO61" s="1560"/>
      <c r="BP61" s="1560"/>
      <c r="BQ61" s="1560"/>
      <c r="BR61" s="1560"/>
      <c r="BS61" s="1560"/>
      <c r="BT61" s="1560"/>
      <c r="BU61" s="1560"/>
      <c r="BV61" s="1560"/>
      <c r="BW61" s="1560"/>
      <c r="BX61" s="1560"/>
      <c r="BY61" s="1560"/>
      <c r="BZ61" s="1560"/>
      <c r="CA61" s="1560"/>
      <c r="CB61" s="1560"/>
      <c r="CC61" s="1560"/>
      <c r="CD61" s="1560"/>
      <c r="CE61" s="1560"/>
      <c r="CF61" s="1560"/>
      <c r="CG61" s="1560"/>
      <c r="CH61" s="1560"/>
      <c r="CI61" s="1560"/>
      <c r="CJ61" s="1560"/>
      <c r="CK61" s="1560"/>
      <c r="CL61" s="1560"/>
      <c r="CM61" s="1560"/>
      <c r="CN61" s="1560"/>
      <c r="CO61" s="1560"/>
      <c r="CP61" s="1560"/>
      <c r="CQ61" s="1560"/>
      <c r="CR61" s="1560"/>
      <c r="CS61" s="1560"/>
      <c r="CT61" s="1560"/>
      <c r="CU61" s="1560"/>
      <c r="CV61" s="1560"/>
    </row>
    <row r="62" spans="1:100" s="1606" customFormat="1" ht="14.95" customHeight="1" x14ac:dyDescent="0.2">
      <c r="A62" s="1710" t="s">
        <v>13</v>
      </c>
      <c r="B62" s="1711"/>
      <c r="C62" s="1711"/>
      <c r="D62" s="1711"/>
      <c r="E62" s="1711"/>
      <c r="F62" s="1712"/>
      <c r="G62" s="1711"/>
      <c r="H62" s="1712"/>
      <c r="I62" s="1720" t="s">
        <v>767</v>
      </c>
      <c r="J62" s="1713"/>
      <c r="K62" s="1713"/>
      <c r="L62" s="1713"/>
      <c r="M62" s="1713"/>
      <c r="N62" s="1713"/>
      <c r="O62" s="1713"/>
      <c r="P62" s="1713"/>
      <c r="Q62" s="1713"/>
      <c r="R62" s="1713"/>
      <c r="S62" s="1713"/>
      <c r="T62" s="1721"/>
      <c r="U62" s="1711" t="s">
        <v>783</v>
      </c>
      <c r="V62" s="1712"/>
      <c r="W62" s="1712"/>
      <c r="X62" s="1712"/>
      <c r="Y62" s="1712"/>
      <c r="Z62" s="1712"/>
      <c r="AA62" s="1712"/>
      <c r="AB62" s="1712"/>
      <c r="AC62" s="1712"/>
      <c r="AD62" s="1712"/>
      <c r="AE62" s="1712"/>
      <c r="AF62" s="1714"/>
      <c r="AG62" s="1557"/>
      <c r="AH62" s="1557"/>
      <c r="AI62" s="1557"/>
      <c r="AJ62" s="1603"/>
      <c r="AK62" s="1603"/>
      <c r="AL62" s="1603"/>
      <c r="AM62" s="1603"/>
      <c r="AN62" s="1603"/>
      <c r="AO62" s="1603"/>
      <c r="AP62" s="1603"/>
      <c r="AQ62" s="1603"/>
      <c r="AR62" s="1603"/>
      <c r="AS62" s="1603"/>
      <c r="AT62" s="1604"/>
      <c r="AU62" s="1604"/>
      <c r="AV62" s="1604"/>
      <c r="AW62" s="1604"/>
      <c r="AX62" s="1605"/>
      <c r="AY62" s="1605"/>
      <c r="AZ62" s="1605"/>
      <c r="BA62" s="1605"/>
      <c r="BB62" s="1605"/>
      <c r="BC62" s="1605"/>
      <c r="BD62" s="1605"/>
      <c r="BE62" s="1605"/>
      <c r="BF62" s="1605"/>
      <c r="BG62" s="1605"/>
      <c r="BH62" s="1605"/>
      <c r="BI62" s="1605"/>
      <c r="BJ62" s="1605"/>
      <c r="BK62" s="1605"/>
      <c r="BL62" s="1605"/>
      <c r="BM62" s="1605"/>
      <c r="BN62" s="1605"/>
      <c r="BO62" s="1605"/>
      <c r="BP62" s="1605"/>
      <c r="BQ62" s="1605"/>
      <c r="BR62" s="1605"/>
      <c r="BS62" s="1605"/>
      <c r="BT62" s="1605"/>
      <c r="BU62" s="1605"/>
      <c r="BV62" s="1605"/>
      <c r="BW62" s="1605"/>
      <c r="BX62" s="1605"/>
      <c r="BY62" s="1605"/>
      <c r="BZ62" s="1605"/>
      <c r="CA62" s="1605"/>
      <c r="CB62" s="1605"/>
      <c r="CC62" s="1605"/>
      <c r="CD62" s="1605"/>
      <c r="CE62" s="1605"/>
      <c r="CF62" s="1605"/>
      <c r="CG62" s="1605"/>
      <c r="CH62" s="1605"/>
      <c r="CI62" s="1605"/>
      <c r="CJ62" s="1605"/>
      <c r="CK62" s="1605"/>
      <c r="CL62" s="1605"/>
      <c r="CM62" s="1605"/>
      <c r="CN62" s="1605"/>
      <c r="CO62" s="1605"/>
      <c r="CP62" s="1605"/>
      <c r="CQ62" s="1605"/>
      <c r="CR62" s="1605"/>
      <c r="CS62" s="1605"/>
      <c r="CT62" s="1605"/>
      <c r="CU62" s="1605"/>
      <c r="CV62" s="1605"/>
    </row>
    <row r="63" spans="1:100" s="1606" customFormat="1" ht="12.75" customHeight="1" x14ac:dyDescent="0.2">
      <c r="A63" s="1734" t="s">
        <v>33</v>
      </c>
      <c r="B63" s="1602"/>
      <c r="C63" s="1602"/>
      <c r="D63" s="1591" t="s">
        <v>249</v>
      </c>
      <c r="E63" s="1690"/>
      <c r="F63" s="1690"/>
      <c r="G63" s="1690"/>
      <c r="H63" s="1602"/>
      <c r="I63" s="1780" t="s">
        <v>835</v>
      </c>
      <c r="J63" s="1693"/>
      <c r="K63" s="1693"/>
      <c r="L63" s="1693"/>
      <c r="M63" s="1693"/>
      <c r="N63" s="1693"/>
      <c r="O63" s="1693"/>
      <c r="P63" s="1693"/>
      <c r="Q63" s="1693"/>
      <c r="R63" s="1693"/>
      <c r="S63" s="1693"/>
      <c r="T63" s="1792">
        <v>0.01</v>
      </c>
      <c r="U63" s="1591" t="s">
        <v>810</v>
      </c>
      <c r="V63" s="1691"/>
      <c r="W63" s="1691"/>
      <c r="X63" s="1691"/>
      <c r="Y63" s="1691"/>
      <c r="Z63" s="1792">
        <v>0.97</v>
      </c>
      <c r="AA63" s="1591" t="s">
        <v>250</v>
      </c>
      <c r="AB63" s="1782"/>
      <c r="AC63" s="1691"/>
      <c r="AD63" s="1691"/>
      <c r="AE63" s="1691"/>
      <c r="AF63" s="1692"/>
      <c r="AG63" s="1603"/>
      <c r="AH63" s="1603"/>
      <c r="AI63" s="1603"/>
      <c r="AJ63" s="1603"/>
      <c r="AK63" s="1603"/>
      <c r="AL63" s="1603"/>
      <c r="AM63" s="1603"/>
      <c r="AN63" s="1603"/>
      <c r="AO63" s="1603"/>
      <c r="AP63" s="1603"/>
      <c r="AQ63" s="1603"/>
      <c r="AR63" s="1603"/>
      <c r="AS63" s="1603"/>
      <c r="AT63" s="1604"/>
      <c r="AU63" s="1604"/>
      <c r="AV63" s="1604"/>
      <c r="AW63" s="1604"/>
      <c r="AX63" s="1605"/>
      <c r="AY63" s="1605"/>
      <c r="AZ63" s="1605"/>
      <c r="BA63" s="1605"/>
      <c r="BB63" s="1605"/>
      <c r="BC63" s="1605"/>
      <c r="BD63" s="1605"/>
      <c r="BE63" s="1605"/>
      <c r="BF63" s="1605"/>
      <c r="BG63" s="1605"/>
      <c r="BH63" s="1605"/>
      <c r="BI63" s="1605"/>
      <c r="BJ63" s="1605"/>
      <c r="BK63" s="1605"/>
      <c r="BL63" s="1605"/>
      <c r="BM63" s="1605"/>
      <c r="BN63" s="1605"/>
      <c r="BO63" s="1605"/>
      <c r="BP63" s="1605"/>
      <c r="BQ63" s="1605"/>
      <c r="BR63" s="1605"/>
      <c r="BS63" s="1605"/>
      <c r="BT63" s="1605"/>
      <c r="BU63" s="1605"/>
      <c r="BV63" s="1605"/>
      <c r="BW63" s="1605"/>
      <c r="BX63" s="1605"/>
      <c r="BY63" s="1605"/>
      <c r="BZ63" s="1605"/>
      <c r="CA63" s="1605"/>
      <c r="CB63" s="1605"/>
      <c r="CC63" s="1605"/>
      <c r="CD63" s="1605"/>
      <c r="CE63" s="1605"/>
      <c r="CF63" s="1605"/>
      <c r="CG63" s="1605"/>
      <c r="CH63" s="1605"/>
      <c r="CI63" s="1605"/>
      <c r="CJ63" s="1605"/>
      <c r="CK63" s="1605"/>
      <c r="CL63" s="1605"/>
      <c r="CM63" s="1605"/>
      <c r="CN63" s="1605"/>
      <c r="CO63" s="1605"/>
      <c r="CP63" s="1605"/>
      <c r="CQ63" s="1605"/>
      <c r="CR63" s="1605"/>
      <c r="CS63" s="1605"/>
      <c r="CT63" s="1605"/>
      <c r="CU63" s="1605"/>
      <c r="CV63" s="1605"/>
    </row>
    <row r="64" spans="1:100" s="1606" customFormat="1" ht="12.75" customHeight="1" x14ac:dyDescent="0.2">
      <c r="A64" s="1695"/>
      <c r="B64" s="1715"/>
      <c r="C64" s="1715"/>
      <c r="D64" s="1572" t="s">
        <v>809</v>
      </c>
      <c r="E64" s="1599"/>
      <c r="F64" s="1599"/>
      <c r="G64" s="1599"/>
      <c r="H64" s="1715"/>
      <c r="I64" s="1723"/>
      <c r="J64" s="1716"/>
      <c r="K64" s="1572"/>
      <c r="L64" s="1717"/>
      <c r="M64" s="1717"/>
      <c r="N64" s="1717"/>
      <c r="O64" s="1717"/>
      <c r="P64" s="1716"/>
      <c r="Q64" s="1572"/>
      <c r="R64" s="1717"/>
      <c r="S64" s="1717"/>
      <c r="T64" s="1716">
        <v>0</v>
      </c>
      <c r="U64" s="1572" t="s">
        <v>302</v>
      </c>
      <c r="V64" s="1718"/>
      <c r="W64" s="1718"/>
      <c r="X64" s="1718"/>
      <c r="Y64" s="1718"/>
      <c r="Z64" s="1716">
        <v>0.02</v>
      </c>
      <c r="AA64" s="1572" t="s">
        <v>251</v>
      </c>
      <c r="AB64" s="1718"/>
      <c r="AC64" s="1718"/>
      <c r="AD64" s="1718"/>
      <c r="AE64" s="1718"/>
      <c r="AF64" s="1719"/>
      <c r="AG64" s="1603"/>
      <c r="AH64" s="1603"/>
      <c r="AI64" s="1603"/>
      <c r="AJ64" s="1603"/>
      <c r="AK64" s="1603"/>
      <c r="AL64" s="1603"/>
      <c r="AM64" s="1603"/>
      <c r="AN64" s="1603"/>
      <c r="AO64" s="1603"/>
      <c r="AP64" s="1603"/>
      <c r="AQ64" s="1603"/>
      <c r="AR64" s="1603"/>
      <c r="AS64" s="1603"/>
      <c r="AT64" s="1604"/>
      <c r="AU64" s="1604"/>
      <c r="AV64" s="1604"/>
      <c r="AW64" s="1604"/>
      <c r="AX64" s="1605"/>
      <c r="AY64" s="1605"/>
      <c r="AZ64" s="1605"/>
      <c r="BA64" s="1605"/>
      <c r="BB64" s="1605"/>
      <c r="BC64" s="1605"/>
      <c r="BD64" s="1605"/>
      <c r="BE64" s="1605"/>
      <c r="BF64" s="1605"/>
      <c r="BG64" s="1605"/>
      <c r="BH64" s="1605"/>
      <c r="BI64" s="1605"/>
      <c r="BJ64" s="1605"/>
      <c r="BK64" s="1605"/>
      <c r="BL64" s="1605"/>
      <c r="BM64" s="1605"/>
      <c r="BN64" s="1605"/>
      <c r="BO64" s="1605"/>
      <c r="BP64" s="1605"/>
      <c r="BQ64" s="1605"/>
      <c r="BR64" s="1605"/>
      <c r="BS64" s="1605"/>
      <c r="BT64" s="1605"/>
      <c r="BU64" s="1605"/>
      <c r="BV64" s="1605"/>
      <c r="BW64" s="1605"/>
      <c r="BX64" s="1605"/>
      <c r="BY64" s="1605"/>
      <c r="BZ64" s="1605"/>
      <c r="CA64" s="1605"/>
      <c r="CB64" s="1605"/>
      <c r="CC64" s="1605"/>
      <c r="CD64" s="1605"/>
      <c r="CE64" s="1605"/>
      <c r="CF64" s="1605"/>
      <c r="CG64" s="1605"/>
      <c r="CH64" s="1605"/>
      <c r="CI64" s="1605"/>
      <c r="CJ64" s="1605"/>
      <c r="CK64" s="1605"/>
      <c r="CL64" s="1605"/>
      <c r="CM64" s="1605"/>
      <c r="CN64" s="1605"/>
      <c r="CO64" s="1605"/>
      <c r="CP64" s="1605"/>
      <c r="CQ64" s="1605"/>
      <c r="CR64" s="1605"/>
      <c r="CS64" s="1605"/>
      <c r="CT64" s="1605"/>
      <c r="CU64" s="1605"/>
      <c r="CV64" s="1605"/>
    </row>
    <row r="65" spans="1:100" s="1606" customFormat="1" ht="12.75" customHeight="1" x14ac:dyDescent="0.2">
      <c r="A65" s="1732" t="s">
        <v>33</v>
      </c>
      <c r="B65" s="1608"/>
      <c r="C65" s="1608"/>
      <c r="D65" s="1944" t="s">
        <v>772</v>
      </c>
      <c r="E65" s="1944"/>
      <c r="F65" s="1944"/>
      <c r="G65" s="1944"/>
      <c r="H65" s="1608"/>
      <c r="I65" s="2006" t="s">
        <v>822</v>
      </c>
      <c r="J65" s="1945"/>
      <c r="K65" s="1945"/>
      <c r="L65" s="1945"/>
      <c r="M65" s="1945"/>
      <c r="N65" s="1945"/>
      <c r="O65" s="1945"/>
      <c r="P65" s="1945"/>
      <c r="Q65" s="1945"/>
      <c r="R65" s="1945"/>
      <c r="S65" s="1945"/>
      <c r="T65" s="2007"/>
      <c r="U65" s="1945" t="s">
        <v>834</v>
      </c>
      <c r="V65" s="1945"/>
      <c r="W65" s="1945"/>
      <c r="X65" s="1945"/>
      <c r="Y65" s="1945"/>
      <c r="Z65" s="1945"/>
      <c r="AA65" s="1945"/>
      <c r="AB65" s="1945"/>
      <c r="AC65" s="1945"/>
      <c r="AD65" s="1945"/>
      <c r="AE65" s="1945"/>
      <c r="AF65" s="1946"/>
      <c r="AG65" s="1603"/>
      <c r="AH65" s="1603"/>
      <c r="AI65" s="1603"/>
      <c r="AJ65" s="1603"/>
      <c r="AK65" s="1603"/>
      <c r="AL65" s="1603"/>
      <c r="AM65" s="1603"/>
      <c r="AN65" s="1603"/>
      <c r="AO65" s="1603"/>
      <c r="AP65" s="1603"/>
      <c r="AQ65" s="1603"/>
      <c r="AR65" s="1603"/>
      <c r="AS65" s="1603"/>
      <c r="AT65" s="1604"/>
      <c r="AU65" s="1604"/>
      <c r="AV65" s="1604"/>
      <c r="AW65" s="1604"/>
      <c r="AX65" s="1605"/>
      <c r="AY65" s="1605"/>
      <c r="AZ65" s="1605"/>
      <c r="BA65" s="1605"/>
      <c r="BB65" s="1605"/>
      <c r="BC65" s="1605"/>
      <c r="BD65" s="1605"/>
      <c r="BE65" s="1605"/>
      <c r="BF65" s="1605"/>
      <c r="BG65" s="1605"/>
      <c r="BH65" s="1605"/>
      <c r="BI65" s="1605"/>
      <c r="BJ65" s="1605"/>
      <c r="BK65" s="1605"/>
      <c r="BL65" s="1605"/>
      <c r="BM65" s="1605"/>
      <c r="BN65" s="1605"/>
      <c r="BO65" s="1605"/>
      <c r="BP65" s="1605"/>
      <c r="BQ65" s="1605"/>
      <c r="BR65" s="1605"/>
      <c r="BS65" s="1605"/>
      <c r="BT65" s="1605"/>
      <c r="BU65" s="1605"/>
      <c r="BV65" s="1605"/>
      <c r="BW65" s="1605"/>
      <c r="BX65" s="1605"/>
      <c r="BY65" s="1605"/>
      <c r="BZ65" s="1605"/>
      <c r="CA65" s="1605"/>
      <c r="CB65" s="1605"/>
      <c r="CC65" s="1605"/>
      <c r="CD65" s="1605"/>
      <c r="CE65" s="1605"/>
      <c r="CF65" s="1605"/>
      <c r="CG65" s="1605"/>
      <c r="CH65" s="1605"/>
      <c r="CI65" s="1605"/>
      <c r="CJ65" s="1605"/>
      <c r="CK65" s="1605"/>
      <c r="CL65" s="1605"/>
      <c r="CM65" s="1605"/>
      <c r="CN65" s="1605"/>
      <c r="CO65" s="1605"/>
      <c r="CP65" s="1605"/>
      <c r="CQ65" s="1605"/>
      <c r="CR65" s="1605"/>
      <c r="CS65" s="1605"/>
      <c r="CT65" s="1605"/>
      <c r="CU65" s="1605"/>
      <c r="CV65" s="1605"/>
    </row>
    <row r="66" spans="1:100" s="1564" customFormat="1" ht="12.75" customHeight="1" x14ac:dyDescent="0.2">
      <c r="A66" s="1607"/>
      <c r="B66" s="1608"/>
      <c r="C66" s="1608"/>
      <c r="D66" s="1944" t="s">
        <v>303</v>
      </c>
      <c r="E66" s="1944"/>
      <c r="F66" s="1944"/>
      <c r="G66" s="1944"/>
      <c r="H66" s="1608"/>
      <c r="I66" s="2006" t="s">
        <v>773</v>
      </c>
      <c r="J66" s="1945"/>
      <c r="K66" s="1945"/>
      <c r="L66" s="1945"/>
      <c r="M66" s="1945"/>
      <c r="N66" s="1945"/>
      <c r="O66" s="1945"/>
      <c r="P66" s="1945"/>
      <c r="Q66" s="1945"/>
      <c r="R66" s="1945"/>
      <c r="S66" s="1945"/>
      <c r="T66" s="2007"/>
      <c r="U66" s="2172" t="s">
        <v>811</v>
      </c>
      <c r="V66" s="2172"/>
      <c r="W66" s="2172"/>
      <c r="X66" s="2172"/>
      <c r="Y66" s="2172"/>
      <c r="Z66" s="2172"/>
      <c r="AA66" s="2172"/>
      <c r="AB66" s="2172"/>
      <c r="AC66" s="2172"/>
      <c r="AD66" s="2172"/>
      <c r="AE66" s="2172"/>
      <c r="AF66" s="2173"/>
      <c r="AG66" s="1603"/>
      <c r="AH66" s="1603"/>
      <c r="AI66" s="1603"/>
      <c r="AJ66" s="1561"/>
      <c r="AK66" s="1561"/>
      <c r="AL66" s="1561"/>
      <c r="AM66" s="1561"/>
      <c r="AN66" s="1561"/>
      <c r="AO66" s="1557"/>
      <c r="AP66" s="1557"/>
      <c r="AQ66" s="1557"/>
      <c r="AR66" s="1557"/>
      <c r="AS66" s="1561"/>
      <c r="AT66" s="1562"/>
      <c r="AU66" s="1562"/>
      <c r="AV66" s="1562"/>
      <c r="AW66" s="1562"/>
      <c r="AX66" s="1563"/>
      <c r="AY66" s="1563"/>
      <c r="AZ66" s="1563"/>
      <c r="BA66" s="1563"/>
      <c r="BB66" s="1563"/>
      <c r="BC66" s="1563"/>
      <c r="BD66" s="1563"/>
      <c r="BE66" s="1563"/>
      <c r="BF66" s="1563"/>
      <c r="BG66" s="1563"/>
      <c r="BH66" s="1563"/>
      <c r="BI66" s="1563"/>
      <c r="BJ66" s="1563"/>
      <c r="BK66" s="1563"/>
      <c r="BL66" s="1563"/>
      <c r="BM66" s="1563"/>
      <c r="BN66" s="1563"/>
      <c r="BO66" s="1563"/>
      <c r="BP66" s="1563"/>
      <c r="BQ66" s="1563"/>
      <c r="BR66" s="1563"/>
      <c r="BS66" s="1563"/>
      <c r="BT66" s="1563"/>
      <c r="BU66" s="1563"/>
      <c r="BV66" s="1563"/>
      <c r="BW66" s="1563"/>
      <c r="BX66" s="1563"/>
      <c r="BY66" s="1563"/>
      <c r="BZ66" s="1563"/>
      <c r="CA66" s="1563"/>
      <c r="CB66" s="1563"/>
      <c r="CC66" s="1563"/>
      <c r="CD66" s="1563"/>
      <c r="CE66" s="1563"/>
      <c r="CF66" s="1563"/>
      <c r="CG66" s="1563"/>
      <c r="CH66" s="1563"/>
      <c r="CI66" s="1563"/>
      <c r="CJ66" s="1563"/>
      <c r="CK66" s="1563"/>
      <c r="CL66" s="1563"/>
      <c r="CM66" s="1563"/>
      <c r="CN66" s="1563"/>
      <c r="CO66" s="1563"/>
      <c r="CP66" s="1563"/>
      <c r="CQ66" s="1563"/>
      <c r="CR66" s="1563"/>
      <c r="CS66" s="1563"/>
      <c r="CT66" s="1563"/>
      <c r="CU66" s="1563"/>
      <c r="CV66" s="1563"/>
    </row>
    <row r="67" spans="1:100" s="1558" customFormat="1" ht="12.75" customHeight="1" x14ac:dyDescent="0.2">
      <c r="A67" s="1601"/>
      <c r="B67" s="1571"/>
      <c r="C67" s="1571"/>
      <c r="D67" s="1572"/>
      <c r="E67" s="1572"/>
      <c r="F67" s="1572"/>
      <c r="G67" s="1572"/>
      <c r="H67" s="1572"/>
      <c r="I67" s="1980" t="s">
        <v>821</v>
      </c>
      <c r="J67" s="1981"/>
      <c r="K67" s="1981"/>
      <c r="L67" s="1981"/>
      <c r="M67" s="1981"/>
      <c r="N67" s="1981"/>
      <c r="O67" s="1981"/>
      <c r="P67" s="1981"/>
      <c r="Q67" s="1981"/>
      <c r="R67" s="1981"/>
      <c r="S67" s="1981"/>
      <c r="T67" s="1982"/>
      <c r="U67" s="1736" t="s">
        <v>812</v>
      </c>
      <c r="V67" s="1730"/>
      <c r="W67" s="1730"/>
      <c r="X67" s="1730"/>
      <c r="Y67" s="1730"/>
      <c r="Z67" s="1730"/>
      <c r="AA67" s="1730"/>
      <c r="AB67" s="1730"/>
      <c r="AC67" s="1730"/>
      <c r="AD67" s="1730"/>
      <c r="AE67" s="1730"/>
      <c r="AF67" s="1731"/>
      <c r="AG67" s="1561"/>
      <c r="AH67" s="1561"/>
      <c r="AI67" s="1561"/>
      <c r="AJ67" s="1557"/>
      <c r="AK67" s="1557"/>
      <c r="AL67" s="1557"/>
      <c r="AM67" s="1557"/>
      <c r="AN67" s="1557"/>
      <c r="AO67" s="1557"/>
      <c r="AP67" s="1557"/>
      <c r="AQ67" s="1557"/>
      <c r="AR67" s="1561"/>
      <c r="AS67" s="1557"/>
      <c r="AT67" s="1559"/>
      <c r="AU67" s="1559"/>
      <c r="AV67" s="1559"/>
      <c r="AW67" s="1559"/>
      <c r="AX67" s="1560"/>
      <c r="AY67" s="1560"/>
      <c r="AZ67" s="1560"/>
      <c r="BA67" s="1560"/>
      <c r="BB67" s="1560"/>
      <c r="BC67" s="1560"/>
      <c r="BD67" s="1560"/>
      <c r="BE67" s="1560"/>
      <c r="BF67" s="1560"/>
      <c r="BG67" s="1560"/>
      <c r="BH67" s="1560"/>
      <c r="BI67" s="1560"/>
      <c r="BJ67" s="1560"/>
      <c r="BK67" s="1560"/>
      <c r="BL67" s="1560"/>
      <c r="BM67" s="1560"/>
      <c r="BN67" s="1560"/>
      <c r="BO67" s="1560"/>
      <c r="BP67" s="1560"/>
      <c r="BQ67" s="1560"/>
      <c r="BR67" s="1560"/>
      <c r="BS67" s="1560"/>
      <c r="BT67" s="1560"/>
      <c r="BU67" s="1560"/>
      <c r="BV67" s="1560"/>
      <c r="BW67" s="1560"/>
      <c r="BX67" s="1560"/>
      <c r="BY67" s="1560"/>
      <c r="BZ67" s="1560"/>
      <c r="CA67" s="1560"/>
      <c r="CB67" s="1560"/>
      <c r="CC67" s="1560"/>
      <c r="CD67" s="1560"/>
      <c r="CE67" s="1560"/>
      <c r="CF67" s="1560"/>
      <c r="CG67" s="1560"/>
      <c r="CH67" s="1560"/>
      <c r="CI67" s="1560"/>
      <c r="CJ67" s="1560"/>
      <c r="CK67" s="1560"/>
      <c r="CL67" s="1560"/>
      <c r="CM67" s="1560"/>
      <c r="CN67" s="1560"/>
      <c r="CO67" s="1560"/>
      <c r="CP67" s="1560"/>
      <c r="CQ67" s="1560"/>
      <c r="CR67" s="1560"/>
      <c r="CS67" s="1560"/>
      <c r="CT67" s="1560"/>
      <c r="CU67" s="1560"/>
      <c r="CV67" s="1560"/>
    </row>
    <row r="68" spans="1:100" s="1558" customFormat="1" ht="12.75" customHeight="1" x14ac:dyDescent="0.2">
      <c r="A68" s="1733" t="s">
        <v>33</v>
      </c>
      <c r="B68" s="1539"/>
      <c r="C68" s="1539"/>
      <c r="D68" s="1554" t="s">
        <v>154</v>
      </c>
      <c r="E68" s="1539"/>
      <c r="F68" s="1539"/>
      <c r="G68" s="1539"/>
      <c r="H68" s="1539"/>
      <c r="I68" s="2150" t="s">
        <v>695</v>
      </c>
      <c r="J68" s="1974"/>
      <c r="K68" s="1974"/>
      <c r="L68" s="1974"/>
      <c r="M68" s="1974"/>
      <c r="N68" s="1974"/>
      <c r="O68" s="1974"/>
      <c r="P68" s="1974"/>
      <c r="Q68" s="1974"/>
      <c r="R68" s="1974"/>
      <c r="S68" s="1974"/>
      <c r="T68" s="2176"/>
      <c r="U68" s="1974" t="s">
        <v>645</v>
      </c>
      <c r="V68" s="1974"/>
      <c r="W68" s="1974"/>
      <c r="X68" s="1974"/>
      <c r="Y68" s="1974"/>
      <c r="Z68" s="1974"/>
      <c r="AA68" s="1974"/>
      <c r="AB68" s="1974"/>
      <c r="AC68" s="1974"/>
      <c r="AD68" s="1974"/>
      <c r="AE68" s="1974"/>
      <c r="AF68" s="2196"/>
      <c r="AG68" s="1557"/>
      <c r="AH68" s="1557"/>
      <c r="AI68" s="1557"/>
      <c r="AJ68" s="1557"/>
      <c r="AK68" s="1557"/>
      <c r="AL68" s="1557"/>
      <c r="AM68" s="1557"/>
      <c r="AN68" s="1557"/>
      <c r="AO68" s="1557"/>
      <c r="AP68" s="1557"/>
      <c r="AQ68" s="1557"/>
      <c r="AR68" s="1557"/>
      <c r="AS68" s="1557"/>
      <c r="AT68" s="1559"/>
      <c r="AU68" s="1559"/>
      <c r="AV68" s="1559"/>
      <c r="AW68" s="1559"/>
      <c r="AX68" s="1560"/>
      <c r="AY68" s="1560"/>
      <c r="AZ68" s="1560"/>
      <c r="BA68" s="1560"/>
      <c r="BB68" s="1560"/>
      <c r="BC68" s="1560"/>
      <c r="BD68" s="1560"/>
      <c r="BE68" s="1560"/>
      <c r="BF68" s="1560"/>
      <c r="BG68" s="1560"/>
      <c r="BH68" s="1560"/>
      <c r="BI68" s="1560"/>
      <c r="BJ68" s="1560"/>
      <c r="BK68" s="1560"/>
      <c r="BL68" s="1560"/>
      <c r="BM68" s="1560"/>
      <c r="BN68" s="1560"/>
      <c r="BO68" s="1560"/>
      <c r="BP68" s="1560"/>
      <c r="BQ68" s="1560"/>
      <c r="BR68" s="1560"/>
      <c r="BS68" s="1560"/>
      <c r="BT68" s="1560"/>
      <c r="BU68" s="1560"/>
      <c r="BV68" s="1560"/>
      <c r="BW68" s="1560"/>
      <c r="BX68" s="1560"/>
      <c r="BY68" s="1560"/>
      <c r="BZ68" s="1560"/>
      <c r="CA68" s="1560"/>
      <c r="CB68" s="1560"/>
      <c r="CC68" s="1560"/>
      <c r="CD68" s="1560"/>
      <c r="CE68" s="1560"/>
      <c r="CF68" s="1560"/>
      <c r="CG68" s="1560"/>
      <c r="CH68" s="1560"/>
      <c r="CI68" s="1560"/>
      <c r="CJ68" s="1560"/>
      <c r="CK68" s="1560"/>
      <c r="CL68" s="1560"/>
      <c r="CM68" s="1560"/>
      <c r="CN68" s="1560"/>
      <c r="CO68" s="1560"/>
      <c r="CP68" s="1560"/>
      <c r="CQ68" s="1560"/>
      <c r="CR68" s="1560"/>
      <c r="CS68" s="1560"/>
      <c r="CT68" s="1560"/>
      <c r="CU68" s="1560"/>
      <c r="CV68" s="1560"/>
    </row>
    <row r="69" spans="1:100" s="1558" customFormat="1" ht="12.75" customHeight="1" x14ac:dyDescent="0.2">
      <c r="A69" s="1733" t="s">
        <v>16</v>
      </c>
      <c r="B69" s="1539"/>
      <c r="C69" s="1539"/>
      <c r="D69" s="1554"/>
      <c r="E69" s="1539"/>
      <c r="F69" s="1539"/>
      <c r="G69" s="1539"/>
      <c r="H69" s="1779"/>
      <c r="I69" s="2170" t="s">
        <v>763</v>
      </c>
      <c r="J69" s="2170"/>
      <c r="K69" s="2170"/>
      <c r="L69" s="2170"/>
      <c r="M69" s="2170"/>
      <c r="N69" s="1743" t="s">
        <v>808</v>
      </c>
      <c r="O69" s="1741"/>
      <c r="P69" s="1741"/>
      <c r="Q69" s="1741"/>
      <c r="R69" s="1741"/>
      <c r="S69" s="1741"/>
      <c r="T69" s="1742"/>
      <c r="U69" s="2170" t="s">
        <v>763</v>
      </c>
      <c r="V69" s="2170"/>
      <c r="W69" s="2170"/>
      <c r="X69" s="2170"/>
      <c r="Y69" s="2170"/>
      <c r="Z69" s="2170"/>
      <c r="AA69" s="2170"/>
      <c r="AB69" s="2170"/>
      <c r="AC69" s="2170"/>
      <c r="AD69" s="2170"/>
      <c r="AE69" s="2170"/>
      <c r="AF69" s="2171"/>
      <c r="AG69" s="1557"/>
      <c r="AH69" s="1557"/>
      <c r="AI69" s="1557"/>
      <c r="AJ69" s="1557"/>
      <c r="AK69" s="1557"/>
      <c r="AL69" s="1557"/>
      <c r="AM69" s="1557"/>
      <c r="AN69" s="1557"/>
      <c r="AO69" s="1557"/>
      <c r="AP69" s="1557"/>
      <c r="AQ69" s="1557"/>
      <c r="AR69" s="1557"/>
      <c r="AS69" s="1557"/>
      <c r="AT69" s="1559"/>
      <c r="AU69" s="1559"/>
      <c r="AV69" s="1559"/>
      <c r="AW69" s="1559"/>
      <c r="AX69" s="1560"/>
      <c r="AY69" s="1560"/>
      <c r="AZ69" s="1560"/>
      <c r="BA69" s="1560"/>
      <c r="BB69" s="1560"/>
      <c r="BC69" s="1560"/>
      <c r="BD69" s="1560"/>
      <c r="BE69" s="1560"/>
      <c r="BF69" s="1560"/>
      <c r="BG69" s="1560"/>
      <c r="BH69" s="1560"/>
      <c r="BI69" s="1560"/>
      <c r="BJ69" s="1560"/>
      <c r="BK69" s="1560"/>
      <c r="BL69" s="1560"/>
      <c r="BM69" s="1560"/>
      <c r="BN69" s="1560"/>
      <c r="BO69" s="1560"/>
      <c r="BP69" s="1560"/>
      <c r="BQ69" s="1560"/>
      <c r="BR69" s="1560"/>
      <c r="BS69" s="1560"/>
      <c r="BT69" s="1560"/>
      <c r="BU69" s="1560"/>
      <c r="BV69" s="1560"/>
      <c r="BW69" s="1560"/>
      <c r="BX69" s="1560"/>
      <c r="BY69" s="1560"/>
      <c r="BZ69" s="1560"/>
      <c r="CA69" s="1560"/>
      <c r="CB69" s="1560"/>
      <c r="CC69" s="1560"/>
      <c r="CD69" s="1560"/>
      <c r="CE69" s="1560"/>
      <c r="CF69" s="1560"/>
      <c r="CG69" s="1560"/>
      <c r="CH69" s="1560"/>
      <c r="CI69" s="1560"/>
      <c r="CJ69" s="1560"/>
      <c r="CK69" s="1560"/>
      <c r="CL69" s="1560"/>
      <c r="CM69" s="1560"/>
      <c r="CN69" s="1560"/>
      <c r="CO69" s="1560"/>
      <c r="CP69" s="1560"/>
      <c r="CQ69" s="1560"/>
      <c r="CR69" s="1560"/>
      <c r="CS69" s="1560"/>
      <c r="CT69" s="1560"/>
      <c r="CU69" s="1560"/>
      <c r="CV69" s="1560"/>
    </row>
    <row r="70" spans="1:100" s="1558" customFormat="1" ht="12.75" customHeight="1" x14ac:dyDescent="0.2">
      <c r="A70" s="1733" t="s">
        <v>45</v>
      </c>
      <c r="B70" s="1539"/>
      <c r="C70" s="1539"/>
      <c r="D70" s="1554" t="s">
        <v>848</v>
      </c>
      <c r="E70" s="1539"/>
      <c r="F70" s="1539"/>
      <c r="G70" s="1539"/>
      <c r="H70" s="1779"/>
      <c r="I70" s="1815"/>
      <c r="J70" s="1815"/>
      <c r="K70" s="1815"/>
      <c r="L70" s="1815"/>
      <c r="M70" s="1815"/>
      <c r="N70" s="1743"/>
      <c r="O70" s="1741"/>
      <c r="P70" s="1741"/>
      <c r="Q70" s="1741"/>
      <c r="R70" s="1741"/>
      <c r="S70" s="1741"/>
      <c r="T70" s="1742"/>
      <c r="U70" s="1815"/>
      <c r="V70" s="1815"/>
      <c r="W70" s="1815"/>
      <c r="X70" s="1815"/>
      <c r="Y70" s="1815"/>
      <c r="Z70" s="1815"/>
      <c r="AA70" s="1815"/>
      <c r="AB70" s="1815"/>
      <c r="AC70" s="1815"/>
      <c r="AD70" s="1815"/>
      <c r="AE70" s="1815"/>
      <c r="AF70" s="1816"/>
      <c r="AG70" s="1557"/>
      <c r="AH70" s="1557"/>
      <c r="AI70" s="1557"/>
      <c r="AJ70" s="1557"/>
      <c r="AK70" s="1557"/>
      <c r="AL70" s="1557"/>
      <c r="AM70" s="1557"/>
      <c r="AN70" s="1557"/>
      <c r="AO70" s="1557"/>
      <c r="AP70" s="1557"/>
      <c r="AQ70" s="1557"/>
      <c r="AR70" s="1557"/>
      <c r="AS70" s="1557"/>
      <c r="AT70" s="1559"/>
      <c r="AU70" s="1559"/>
      <c r="AV70" s="1559"/>
      <c r="AW70" s="1559"/>
      <c r="AX70" s="1560"/>
      <c r="AY70" s="1560"/>
      <c r="AZ70" s="1560"/>
      <c r="BA70" s="1560"/>
      <c r="BB70" s="1560"/>
      <c r="BC70" s="1560"/>
      <c r="BD70" s="1560"/>
      <c r="BE70" s="1560"/>
      <c r="BF70" s="1560"/>
      <c r="BG70" s="1560"/>
      <c r="BH70" s="1560"/>
      <c r="BI70" s="1560"/>
      <c r="BJ70" s="1560"/>
      <c r="BK70" s="1560"/>
      <c r="BL70" s="1560"/>
      <c r="BM70" s="1560"/>
      <c r="BN70" s="1560"/>
      <c r="BO70" s="1560"/>
      <c r="BP70" s="1560"/>
      <c r="BQ70" s="1560"/>
      <c r="BR70" s="1560"/>
      <c r="BS70" s="1560"/>
      <c r="BT70" s="1560"/>
      <c r="BU70" s="1560"/>
      <c r="BV70" s="1560"/>
      <c r="BW70" s="1560"/>
      <c r="BX70" s="1560"/>
      <c r="BY70" s="1560"/>
      <c r="BZ70" s="1560"/>
      <c r="CA70" s="1560"/>
      <c r="CB70" s="1560"/>
      <c r="CC70" s="1560"/>
      <c r="CD70" s="1560"/>
      <c r="CE70" s="1560"/>
      <c r="CF70" s="1560"/>
      <c r="CG70" s="1560"/>
      <c r="CH70" s="1560"/>
      <c r="CI70" s="1560"/>
      <c r="CJ70" s="1560"/>
      <c r="CK70" s="1560"/>
      <c r="CL70" s="1560"/>
      <c r="CM70" s="1560"/>
      <c r="CN70" s="1560"/>
      <c r="CO70" s="1560"/>
      <c r="CP70" s="1560"/>
      <c r="CQ70" s="1560"/>
      <c r="CR70" s="1560"/>
      <c r="CS70" s="1560"/>
      <c r="CT70" s="1560"/>
      <c r="CU70" s="1560"/>
      <c r="CV70" s="1560"/>
    </row>
    <row r="71" spans="1:100" s="1558" customFormat="1" ht="12.75" customHeight="1" x14ac:dyDescent="0.2">
      <c r="A71" s="1733" t="s">
        <v>46</v>
      </c>
      <c r="B71" s="1539"/>
      <c r="C71" s="1539"/>
      <c r="D71" s="1554" t="s">
        <v>293</v>
      </c>
      <c r="E71" s="1539"/>
      <c r="F71" s="1539"/>
      <c r="G71" s="1539"/>
      <c r="H71" s="1539"/>
      <c r="I71" s="1724"/>
      <c r="J71" s="1579"/>
      <c r="K71" s="1579"/>
      <c r="L71" s="1579"/>
      <c r="M71" s="1579"/>
      <c r="N71" s="1579"/>
      <c r="O71" s="1579"/>
      <c r="P71" s="1579"/>
      <c r="Q71" s="1579"/>
      <c r="R71" s="1579"/>
      <c r="S71" s="1579"/>
      <c r="T71" s="1725"/>
      <c r="U71" s="1815"/>
      <c r="V71" s="1815"/>
      <c r="W71" s="1815"/>
      <c r="X71" s="1815"/>
      <c r="Y71" s="1815"/>
      <c r="Z71" s="1815"/>
      <c r="AA71" s="1815"/>
      <c r="AB71" s="1815"/>
      <c r="AC71" s="1815"/>
      <c r="AD71" s="1815"/>
      <c r="AE71" s="1815"/>
      <c r="AF71" s="1816"/>
      <c r="AG71" s="1557"/>
      <c r="AH71" s="1557"/>
      <c r="AI71" s="1557"/>
      <c r="AJ71" s="1557"/>
      <c r="AK71" s="1557"/>
      <c r="AL71" s="1557"/>
      <c r="AM71" s="1557"/>
      <c r="AN71" s="1557"/>
      <c r="AO71" s="1557"/>
      <c r="AP71" s="1557"/>
      <c r="AQ71" s="1557"/>
      <c r="AR71" s="1557"/>
      <c r="AS71" s="1557"/>
      <c r="AT71" s="1559"/>
      <c r="AU71" s="1559"/>
      <c r="AV71" s="1559"/>
      <c r="AW71" s="1559"/>
      <c r="AX71" s="1560"/>
      <c r="AY71" s="1560"/>
      <c r="AZ71" s="1560"/>
      <c r="BA71" s="1560"/>
      <c r="BB71" s="1560"/>
      <c r="BC71" s="1560"/>
      <c r="BD71" s="1560"/>
      <c r="BE71" s="1560"/>
      <c r="BF71" s="1560"/>
      <c r="BG71" s="1560"/>
      <c r="BH71" s="1560"/>
      <c r="BI71" s="1560"/>
      <c r="BJ71" s="1560"/>
      <c r="BK71" s="1560"/>
      <c r="BL71" s="1560"/>
      <c r="BM71" s="1560"/>
      <c r="BN71" s="1560"/>
      <c r="BO71" s="1560"/>
      <c r="BP71" s="1560"/>
      <c r="BQ71" s="1560"/>
      <c r="BR71" s="1560"/>
      <c r="BS71" s="1560"/>
      <c r="BT71" s="1560"/>
      <c r="BU71" s="1560"/>
      <c r="BV71" s="1560"/>
      <c r="BW71" s="1560"/>
      <c r="BX71" s="1560"/>
      <c r="BY71" s="1560"/>
      <c r="BZ71" s="1560"/>
      <c r="CA71" s="1560"/>
      <c r="CB71" s="1560"/>
      <c r="CC71" s="1560"/>
      <c r="CD71" s="1560"/>
      <c r="CE71" s="1560"/>
      <c r="CF71" s="1560"/>
      <c r="CG71" s="1560"/>
      <c r="CH71" s="1560"/>
      <c r="CI71" s="1560"/>
      <c r="CJ71" s="1560"/>
      <c r="CK71" s="1560"/>
      <c r="CL71" s="1560"/>
      <c r="CM71" s="1560"/>
      <c r="CN71" s="1560"/>
      <c r="CO71" s="1560"/>
      <c r="CP71" s="1560"/>
      <c r="CQ71" s="1560"/>
      <c r="CR71" s="1560"/>
      <c r="CS71" s="1560"/>
      <c r="CT71" s="1560"/>
      <c r="CU71" s="1560"/>
      <c r="CV71" s="1560"/>
    </row>
    <row r="72" spans="1:100" s="1558" customFormat="1" ht="12.75" customHeight="1" x14ac:dyDescent="0.2">
      <c r="A72" s="1734" t="s">
        <v>761</v>
      </c>
      <c r="B72" s="1590"/>
      <c r="C72" s="1590"/>
      <c r="D72" s="1591"/>
      <c r="E72" s="1590"/>
      <c r="F72" s="1590"/>
      <c r="G72" s="1590"/>
      <c r="H72" s="1972"/>
      <c r="I72" s="1722" t="s">
        <v>838</v>
      </c>
      <c r="J72" s="1555"/>
      <c r="K72" s="1555"/>
      <c r="L72" s="1555"/>
      <c r="M72" s="1555"/>
      <c r="N72" s="1555"/>
      <c r="O72" s="1555"/>
      <c r="P72" s="1555"/>
      <c r="Q72" s="1555"/>
      <c r="R72" s="1555"/>
      <c r="S72" s="1555"/>
      <c r="T72" s="1727"/>
      <c r="U72" s="1815"/>
      <c r="V72" s="1815"/>
      <c r="W72" s="1815"/>
      <c r="X72" s="1815"/>
      <c r="Y72" s="1815"/>
      <c r="Z72" s="1815"/>
      <c r="AA72" s="1815"/>
      <c r="AB72" s="1815"/>
      <c r="AC72" s="1815"/>
      <c r="AD72" s="1815"/>
      <c r="AE72" s="1815"/>
      <c r="AF72" s="1816"/>
      <c r="AG72" s="1557"/>
      <c r="AH72" s="1557"/>
      <c r="AI72" s="1557"/>
      <c r="AJ72" s="1557"/>
      <c r="AK72" s="1557"/>
      <c r="AL72" s="1557"/>
      <c r="AM72" s="1557"/>
      <c r="AN72" s="1557"/>
      <c r="AO72" s="1557"/>
      <c r="AP72" s="1557"/>
      <c r="AQ72" s="1557"/>
      <c r="AR72" s="1557"/>
      <c r="AS72" s="1557"/>
      <c r="AT72" s="1559"/>
      <c r="AU72" s="1559"/>
      <c r="AV72" s="1559"/>
      <c r="AW72" s="1559"/>
      <c r="AX72" s="1560"/>
      <c r="AY72" s="1560"/>
      <c r="AZ72" s="1560"/>
      <c r="BA72" s="1560"/>
      <c r="BB72" s="1560"/>
      <c r="BC72" s="1560"/>
      <c r="BD72" s="1560"/>
      <c r="BE72" s="1560"/>
      <c r="BF72" s="1560"/>
      <c r="BG72" s="1560"/>
      <c r="BH72" s="1560"/>
      <c r="BI72" s="1560"/>
      <c r="BJ72" s="1560"/>
      <c r="BK72" s="1560"/>
      <c r="BL72" s="1560"/>
      <c r="BM72" s="1560"/>
      <c r="BN72" s="1560"/>
      <c r="BO72" s="1560"/>
      <c r="BP72" s="1560"/>
      <c r="BQ72" s="1560"/>
      <c r="BR72" s="1560"/>
      <c r="BS72" s="1560"/>
      <c r="BT72" s="1560"/>
      <c r="BU72" s="1560"/>
      <c r="BV72" s="1560"/>
      <c r="BW72" s="1560"/>
      <c r="BX72" s="1560"/>
      <c r="BY72" s="1560"/>
      <c r="BZ72" s="1560"/>
      <c r="CA72" s="1560"/>
      <c r="CB72" s="1560"/>
      <c r="CC72" s="1560"/>
      <c r="CD72" s="1560"/>
      <c r="CE72" s="1560"/>
      <c r="CF72" s="1560"/>
      <c r="CG72" s="1560"/>
      <c r="CH72" s="1560"/>
      <c r="CI72" s="1560"/>
      <c r="CJ72" s="1560"/>
      <c r="CK72" s="1560"/>
      <c r="CL72" s="1560"/>
      <c r="CM72" s="1560"/>
      <c r="CN72" s="1560"/>
      <c r="CO72" s="1560"/>
      <c r="CP72" s="1560"/>
      <c r="CQ72" s="1560"/>
      <c r="CR72" s="1560"/>
      <c r="CS72" s="1560"/>
      <c r="CT72" s="1560"/>
      <c r="CU72" s="1560"/>
      <c r="CV72" s="1560"/>
    </row>
    <row r="73" spans="1:100" s="1558" customFormat="1" ht="12.75" customHeight="1" x14ac:dyDescent="0.2">
      <c r="A73" s="1592"/>
      <c r="B73" s="1593"/>
      <c r="C73" s="1593"/>
      <c r="D73" s="1594"/>
      <c r="E73" s="1593"/>
      <c r="F73" s="1593"/>
      <c r="G73" s="1593"/>
      <c r="H73" s="1973"/>
      <c r="I73" s="1728" t="s">
        <v>765</v>
      </c>
      <c r="J73" s="1556"/>
      <c r="K73" s="1556"/>
      <c r="L73" s="1556"/>
      <c r="M73" s="1556"/>
      <c r="N73" s="1556"/>
      <c r="O73" s="1556"/>
      <c r="P73" s="1589"/>
      <c r="Q73" s="2184">
        <v>90.56</v>
      </c>
      <c r="R73" s="2184"/>
      <c r="S73" s="2184"/>
      <c r="T73" s="2185"/>
      <c r="U73" s="1815"/>
      <c r="V73" s="1815"/>
      <c r="W73" s="1815"/>
      <c r="X73" s="1815"/>
      <c r="Y73" s="1815"/>
      <c r="Z73" s="1815"/>
      <c r="AA73" s="1815"/>
      <c r="AB73" s="1815"/>
      <c r="AC73" s="1815"/>
      <c r="AD73" s="1815"/>
      <c r="AE73" s="1815"/>
      <c r="AF73" s="1816"/>
      <c r="AG73" s="1557"/>
      <c r="AH73" s="1557"/>
      <c r="AI73" s="1557"/>
      <c r="AJ73" s="1557"/>
      <c r="AK73" s="1557"/>
      <c r="AL73" s="1557"/>
      <c r="AM73" s="1557"/>
      <c r="AN73" s="1557"/>
      <c r="AO73" s="1557"/>
      <c r="AP73" s="1557"/>
      <c r="AQ73" s="1557"/>
      <c r="AR73" s="1557"/>
      <c r="AS73" s="1557"/>
      <c r="AT73" s="1559"/>
      <c r="AU73" s="1559"/>
      <c r="AV73" s="1559"/>
      <c r="AW73" s="1559"/>
      <c r="AX73" s="1560"/>
      <c r="AY73" s="1560"/>
      <c r="AZ73" s="1560"/>
      <c r="BA73" s="1560"/>
      <c r="BB73" s="1560"/>
      <c r="BC73" s="1560"/>
      <c r="BD73" s="1560"/>
      <c r="BE73" s="1560"/>
      <c r="BF73" s="1560"/>
      <c r="BG73" s="1560"/>
      <c r="BH73" s="1560"/>
      <c r="BI73" s="1560"/>
      <c r="BJ73" s="1560"/>
      <c r="BK73" s="1560"/>
      <c r="BL73" s="1560"/>
      <c r="BM73" s="1560"/>
      <c r="BN73" s="1560"/>
      <c r="BO73" s="1560"/>
      <c r="BP73" s="1560"/>
      <c r="BQ73" s="1560"/>
      <c r="BR73" s="1560"/>
      <c r="BS73" s="1560"/>
      <c r="BT73" s="1560"/>
      <c r="BU73" s="1560"/>
      <c r="BV73" s="1560"/>
      <c r="BW73" s="1560"/>
      <c r="BX73" s="1560"/>
      <c r="BY73" s="1560"/>
      <c r="BZ73" s="1560"/>
      <c r="CA73" s="1560"/>
      <c r="CB73" s="1560"/>
      <c r="CC73" s="1560"/>
      <c r="CD73" s="1560"/>
      <c r="CE73" s="1560"/>
      <c r="CF73" s="1560"/>
      <c r="CG73" s="1560"/>
      <c r="CH73" s="1560"/>
      <c r="CI73" s="1560"/>
      <c r="CJ73" s="1560"/>
      <c r="CK73" s="1560"/>
      <c r="CL73" s="1560"/>
      <c r="CM73" s="1560"/>
      <c r="CN73" s="1560"/>
      <c r="CO73" s="1560"/>
      <c r="CP73" s="1560"/>
      <c r="CQ73" s="1560"/>
      <c r="CR73" s="1560"/>
      <c r="CS73" s="1560"/>
      <c r="CT73" s="1560"/>
      <c r="CU73" s="1560"/>
      <c r="CV73" s="1560"/>
    </row>
    <row r="74" spans="1:100" s="1558" customFormat="1" ht="25.5" customHeight="1" x14ac:dyDescent="0.2">
      <c r="A74" s="1601"/>
      <c r="B74" s="1571"/>
      <c r="C74" s="1571"/>
      <c r="D74" s="1572"/>
      <c r="E74" s="1571"/>
      <c r="F74" s="1571"/>
      <c r="G74" s="1571"/>
      <c r="H74" s="1571"/>
      <c r="I74" s="1980" t="s">
        <v>762</v>
      </c>
      <c r="J74" s="1981"/>
      <c r="K74" s="1981"/>
      <c r="L74" s="1981"/>
      <c r="M74" s="1981"/>
      <c r="N74" s="1981"/>
      <c r="O74" s="1981"/>
      <c r="P74" s="1981"/>
      <c r="Q74" s="1981"/>
      <c r="R74" s="1981"/>
      <c r="S74" s="1981"/>
      <c r="T74" s="1982"/>
      <c r="U74" s="1815"/>
      <c r="V74" s="1815"/>
      <c r="W74" s="1815"/>
      <c r="X74" s="1815"/>
      <c r="Y74" s="1815"/>
      <c r="Z74" s="1815"/>
      <c r="AA74" s="1815"/>
      <c r="AB74" s="1815"/>
      <c r="AC74" s="1815"/>
      <c r="AD74" s="1815"/>
      <c r="AE74" s="1815"/>
      <c r="AF74" s="1816"/>
      <c r="AG74" s="1557"/>
      <c r="AH74" s="1557"/>
      <c r="AI74" s="1557"/>
      <c r="AJ74" s="1557"/>
      <c r="AK74" s="1557"/>
      <c r="AL74" s="1557"/>
      <c r="AM74" s="1557"/>
      <c r="AN74" s="1557"/>
      <c r="AO74" s="1557"/>
      <c r="AP74" s="1557"/>
      <c r="AQ74" s="1557"/>
      <c r="AR74" s="1557"/>
      <c r="AS74" s="1557"/>
      <c r="AT74" s="1559"/>
      <c r="AU74" s="1559"/>
      <c r="AV74" s="1559"/>
      <c r="AW74" s="1559"/>
      <c r="AX74" s="1560"/>
      <c r="AY74" s="1560"/>
      <c r="AZ74" s="1560"/>
      <c r="BA74" s="1560"/>
      <c r="BB74" s="1560"/>
      <c r="BC74" s="1560"/>
      <c r="BD74" s="1560"/>
      <c r="BE74" s="1560"/>
      <c r="BF74" s="1560"/>
      <c r="BG74" s="1560"/>
      <c r="BH74" s="1560"/>
      <c r="BI74" s="1560"/>
      <c r="BJ74" s="1560"/>
      <c r="BK74" s="1560"/>
      <c r="BL74" s="1560"/>
      <c r="BM74" s="1560"/>
      <c r="BN74" s="1560"/>
      <c r="BO74" s="1560"/>
      <c r="BP74" s="1560"/>
      <c r="BQ74" s="1560"/>
      <c r="BR74" s="1560"/>
      <c r="BS74" s="1560"/>
      <c r="BT74" s="1560"/>
      <c r="BU74" s="1560"/>
      <c r="BV74" s="1560"/>
      <c r="BW74" s="1560"/>
      <c r="BX74" s="1560"/>
      <c r="BY74" s="1560"/>
      <c r="BZ74" s="1560"/>
      <c r="CA74" s="1560"/>
      <c r="CB74" s="1560"/>
      <c r="CC74" s="1560"/>
      <c r="CD74" s="1560"/>
      <c r="CE74" s="1560"/>
      <c r="CF74" s="1560"/>
      <c r="CG74" s="1560"/>
      <c r="CH74" s="1560"/>
      <c r="CI74" s="1560"/>
      <c r="CJ74" s="1560"/>
      <c r="CK74" s="1560"/>
      <c r="CL74" s="1560"/>
      <c r="CM74" s="1560"/>
      <c r="CN74" s="1560"/>
      <c r="CO74" s="1560"/>
      <c r="CP74" s="1560"/>
      <c r="CQ74" s="1560"/>
      <c r="CR74" s="1560"/>
      <c r="CS74" s="1560"/>
      <c r="CT74" s="1560"/>
      <c r="CU74" s="1560"/>
      <c r="CV74" s="1560"/>
    </row>
    <row r="75" spans="1:100" s="1558" customFormat="1" ht="12.75" customHeight="1" x14ac:dyDescent="0.2">
      <c r="A75" s="1734" t="s">
        <v>43</v>
      </c>
      <c r="B75" s="1591"/>
      <c r="C75" s="1591"/>
      <c r="D75" s="1591"/>
      <c r="E75" s="1591"/>
      <c r="F75" s="1591"/>
      <c r="G75" s="1591"/>
      <c r="H75" s="1591"/>
      <c r="I75" s="1941" t="s">
        <v>784</v>
      </c>
      <c r="J75" s="1942"/>
      <c r="K75" s="1942"/>
      <c r="L75" s="1942"/>
      <c r="M75" s="1942"/>
      <c r="N75" s="1942"/>
      <c r="O75" s="1942"/>
      <c r="P75" s="1942"/>
      <c r="Q75" s="1942"/>
      <c r="R75" s="1942"/>
      <c r="S75" s="1942"/>
      <c r="T75" s="1943"/>
      <c r="U75" s="1597"/>
      <c r="V75" s="1597"/>
      <c r="W75" s="1597"/>
      <c r="X75" s="1597"/>
      <c r="Y75" s="1597"/>
      <c r="Z75" s="1597"/>
      <c r="AA75" s="1597"/>
      <c r="AB75" s="1597"/>
      <c r="AC75" s="1597"/>
      <c r="AD75" s="1597"/>
      <c r="AE75" s="1597"/>
      <c r="AF75" s="1598"/>
      <c r="AG75" s="1557"/>
      <c r="AH75" s="1557"/>
      <c r="AI75" s="1557"/>
      <c r="AJ75" s="1557"/>
      <c r="AK75" s="1557"/>
      <c r="AL75" s="1557"/>
      <c r="AM75" s="1557"/>
      <c r="AN75" s="1557"/>
      <c r="AO75" s="1557"/>
      <c r="AP75" s="1557"/>
      <c r="AQ75" s="1557"/>
      <c r="AR75" s="1557"/>
      <c r="AS75" s="1557"/>
      <c r="AT75" s="1559"/>
      <c r="AU75" s="1559"/>
      <c r="AV75" s="1559"/>
      <c r="AW75" s="1559"/>
      <c r="AX75" s="1560"/>
      <c r="AY75" s="1560"/>
      <c r="AZ75" s="1560"/>
      <c r="BA75" s="1560"/>
      <c r="BB75" s="1560"/>
      <c r="BC75" s="1560"/>
      <c r="BD75" s="1560"/>
      <c r="BE75" s="1560"/>
      <c r="BF75" s="1560"/>
      <c r="BG75" s="1560"/>
      <c r="BH75" s="1560"/>
      <c r="BI75" s="1560"/>
      <c r="BJ75" s="1560"/>
      <c r="BK75" s="1560"/>
      <c r="BL75" s="1560"/>
      <c r="BM75" s="1560"/>
      <c r="BN75" s="1560"/>
      <c r="BO75" s="1560"/>
      <c r="BP75" s="1560"/>
      <c r="BQ75" s="1560"/>
      <c r="BR75" s="1560"/>
      <c r="BS75" s="1560"/>
      <c r="BT75" s="1560"/>
      <c r="BU75" s="1560"/>
      <c r="BV75" s="1560"/>
      <c r="BW75" s="1560"/>
      <c r="BX75" s="1560"/>
      <c r="BY75" s="1560"/>
      <c r="BZ75" s="1560"/>
      <c r="CA75" s="1560"/>
      <c r="CB75" s="1560"/>
      <c r="CC75" s="1560"/>
      <c r="CD75" s="1560"/>
      <c r="CE75" s="1560"/>
      <c r="CF75" s="1560"/>
      <c r="CG75" s="1560"/>
      <c r="CH75" s="1560"/>
      <c r="CI75" s="1560"/>
      <c r="CJ75" s="1560"/>
      <c r="CK75" s="1560"/>
      <c r="CL75" s="1560"/>
      <c r="CM75" s="1560"/>
      <c r="CN75" s="1560"/>
      <c r="CO75" s="1560"/>
      <c r="CP75" s="1560"/>
      <c r="CQ75" s="1560"/>
      <c r="CR75" s="1560"/>
      <c r="CS75" s="1560"/>
      <c r="CT75" s="1560"/>
      <c r="CU75" s="1560"/>
      <c r="CV75" s="1560"/>
    </row>
    <row r="76" spans="1:100" s="1558" customFormat="1" ht="12.75" customHeight="1" x14ac:dyDescent="0.2">
      <c r="A76" s="1596"/>
      <c r="B76" s="1594"/>
      <c r="C76" s="1594"/>
      <c r="D76" s="1594"/>
      <c r="E76" s="1594"/>
      <c r="F76" s="1594"/>
      <c r="G76" s="1594"/>
      <c r="H76" s="1594"/>
      <c r="I76" s="1726" t="s">
        <v>768</v>
      </c>
      <c r="J76" s="1696"/>
      <c r="K76" s="1696"/>
      <c r="L76" s="1696"/>
      <c r="M76" s="1696"/>
      <c r="N76" s="1594" t="s">
        <v>3</v>
      </c>
      <c r="O76" s="1802">
        <v>318</v>
      </c>
      <c r="P76" s="1594" t="s">
        <v>771</v>
      </c>
      <c r="Q76" s="1594"/>
      <c r="R76" s="1595">
        <f>O76/5000*100</f>
        <v>6.36</v>
      </c>
      <c r="S76" s="1594" t="s">
        <v>476</v>
      </c>
      <c r="T76" s="1729"/>
      <c r="U76" s="1597"/>
      <c r="V76" s="1597"/>
      <c r="W76" s="1597"/>
      <c r="X76" s="1597"/>
      <c r="Y76" s="1597"/>
      <c r="Z76" s="1597"/>
      <c r="AA76" s="1597"/>
      <c r="AB76" s="1597"/>
      <c r="AC76" s="1597"/>
      <c r="AD76" s="1597"/>
      <c r="AE76" s="1597"/>
      <c r="AF76" s="1598"/>
      <c r="AG76" s="1557"/>
      <c r="AH76" s="1557"/>
      <c r="AI76" s="1557"/>
      <c r="AJ76" s="1557"/>
      <c r="AK76" s="1557"/>
      <c r="AL76" s="1557"/>
      <c r="AM76" s="1557"/>
      <c r="AN76" s="1557"/>
      <c r="AO76" s="1557"/>
      <c r="AP76" s="1557"/>
      <c r="AQ76" s="1557"/>
      <c r="AR76" s="1557"/>
      <c r="AS76" s="1557"/>
      <c r="AT76" s="1559"/>
      <c r="AU76" s="1559"/>
      <c r="AV76" s="1559"/>
      <c r="AW76" s="1559"/>
      <c r="AX76" s="1560"/>
      <c r="AY76" s="1560"/>
      <c r="AZ76" s="1560"/>
      <c r="BA76" s="1560"/>
      <c r="BB76" s="1560"/>
      <c r="BC76" s="1560"/>
      <c r="BD76" s="1560"/>
      <c r="BE76" s="1560"/>
      <c r="BF76" s="1560"/>
      <c r="BG76" s="1560"/>
      <c r="BH76" s="1560"/>
      <c r="BI76" s="1560"/>
      <c r="BJ76" s="1560"/>
      <c r="BK76" s="1560"/>
      <c r="BL76" s="1560"/>
      <c r="BM76" s="1560"/>
      <c r="BN76" s="1560"/>
      <c r="BO76" s="1560"/>
      <c r="BP76" s="1560"/>
      <c r="BQ76" s="1560"/>
      <c r="BR76" s="1560"/>
      <c r="BS76" s="1560"/>
      <c r="BT76" s="1560"/>
      <c r="BU76" s="1560"/>
      <c r="BV76" s="1560"/>
      <c r="BW76" s="1560"/>
      <c r="BX76" s="1560"/>
      <c r="BY76" s="1560"/>
      <c r="BZ76" s="1560"/>
      <c r="CA76" s="1560"/>
      <c r="CB76" s="1560"/>
      <c r="CC76" s="1560"/>
      <c r="CD76" s="1560"/>
      <c r="CE76" s="1560"/>
      <c r="CF76" s="1560"/>
      <c r="CG76" s="1560"/>
      <c r="CH76" s="1560"/>
      <c r="CI76" s="1560"/>
      <c r="CJ76" s="1560"/>
      <c r="CK76" s="1560"/>
      <c r="CL76" s="1560"/>
      <c r="CM76" s="1560"/>
      <c r="CN76" s="1560"/>
      <c r="CO76" s="1560"/>
      <c r="CP76" s="1560"/>
      <c r="CQ76" s="1560"/>
      <c r="CR76" s="1560"/>
      <c r="CS76" s="1560"/>
      <c r="CT76" s="1560"/>
      <c r="CU76" s="1560"/>
      <c r="CV76" s="1560"/>
    </row>
    <row r="77" spans="1:100" s="1558" customFormat="1" ht="12.75" customHeight="1" x14ac:dyDescent="0.2">
      <c r="A77" s="1596"/>
      <c r="B77" s="1594"/>
      <c r="C77" s="1594"/>
      <c r="D77" s="1594"/>
      <c r="E77" s="1594"/>
      <c r="F77" s="1594"/>
      <c r="G77" s="1594"/>
      <c r="H77" s="1594"/>
      <c r="I77" s="1726" t="s">
        <v>769</v>
      </c>
      <c r="J77" s="1696"/>
      <c r="K77" s="1696"/>
      <c r="L77" s="1696"/>
      <c r="M77" s="1696"/>
      <c r="N77" s="1594" t="s">
        <v>3</v>
      </c>
      <c r="O77" s="1802">
        <v>311</v>
      </c>
      <c r="P77" s="1594" t="s">
        <v>771</v>
      </c>
      <c r="Q77" s="1594"/>
      <c r="R77" s="1595">
        <f>O77/5000*100</f>
        <v>6.22</v>
      </c>
      <c r="S77" s="1594" t="s">
        <v>476</v>
      </c>
      <c r="T77" s="1729"/>
      <c r="U77" s="1597"/>
      <c r="V77" s="1597"/>
      <c r="W77" s="1597"/>
      <c r="X77" s="1597"/>
      <c r="Y77" s="1597"/>
      <c r="Z77" s="1597"/>
      <c r="AA77" s="1597"/>
      <c r="AB77" s="1597"/>
      <c r="AC77" s="1597"/>
      <c r="AD77" s="1597"/>
      <c r="AE77" s="1597"/>
      <c r="AF77" s="1598"/>
      <c r="AG77" s="1557"/>
      <c r="AH77" s="1557"/>
      <c r="AI77" s="1557"/>
      <c r="AJ77" s="1557"/>
      <c r="AK77" s="1557"/>
      <c r="AL77" s="1557"/>
      <c r="AM77" s="1557"/>
      <c r="AN77" s="1557"/>
      <c r="AO77" s="1557"/>
      <c r="AP77" s="1557"/>
      <c r="AQ77" s="1557"/>
      <c r="AR77" s="1557"/>
      <c r="AS77" s="1557"/>
      <c r="AT77" s="1559"/>
      <c r="AU77" s="1559"/>
      <c r="AV77" s="1559"/>
      <c r="AW77" s="1559"/>
      <c r="AX77" s="1560"/>
      <c r="AY77" s="1560"/>
      <c r="AZ77" s="1560"/>
      <c r="BA77" s="1560"/>
      <c r="BB77" s="1560"/>
      <c r="BC77" s="1560"/>
      <c r="BD77" s="1560"/>
      <c r="BE77" s="1560"/>
      <c r="BF77" s="1560"/>
      <c r="BG77" s="1560"/>
      <c r="BH77" s="1560"/>
      <c r="BI77" s="1560"/>
      <c r="BJ77" s="1560"/>
      <c r="BK77" s="1560"/>
      <c r="BL77" s="1560"/>
      <c r="BM77" s="1560"/>
      <c r="BN77" s="1560"/>
      <c r="BO77" s="1560"/>
      <c r="BP77" s="1560"/>
      <c r="BQ77" s="1560"/>
      <c r="BR77" s="1560"/>
      <c r="BS77" s="1560"/>
      <c r="BT77" s="1560"/>
      <c r="BU77" s="1560"/>
      <c r="BV77" s="1560"/>
      <c r="BW77" s="1560"/>
      <c r="BX77" s="1560"/>
      <c r="BY77" s="1560"/>
      <c r="BZ77" s="1560"/>
      <c r="CA77" s="1560"/>
      <c r="CB77" s="1560"/>
      <c r="CC77" s="1560"/>
      <c r="CD77" s="1560"/>
      <c r="CE77" s="1560"/>
      <c r="CF77" s="1560"/>
      <c r="CG77" s="1560"/>
      <c r="CH77" s="1560"/>
      <c r="CI77" s="1560"/>
      <c r="CJ77" s="1560"/>
      <c r="CK77" s="1560"/>
      <c r="CL77" s="1560"/>
      <c r="CM77" s="1560"/>
      <c r="CN77" s="1560"/>
      <c r="CO77" s="1560"/>
      <c r="CP77" s="1560"/>
      <c r="CQ77" s="1560"/>
      <c r="CR77" s="1560"/>
      <c r="CS77" s="1560"/>
      <c r="CT77" s="1560"/>
      <c r="CU77" s="1560"/>
      <c r="CV77" s="1560"/>
    </row>
    <row r="78" spans="1:100" s="1576" customFormat="1" ht="12.75" customHeight="1" x14ac:dyDescent="0.2">
      <c r="A78" s="1826"/>
      <c r="B78" s="1572"/>
      <c r="C78" s="1572"/>
      <c r="D78" s="1572"/>
      <c r="E78" s="1572"/>
      <c r="F78" s="1572"/>
      <c r="G78" s="1572"/>
      <c r="H78" s="1572"/>
      <c r="I78" s="1799" t="s">
        <v>770</v>
      </c>
      <c r="J78" s="1827"/>
      <c r="K78" s="1827"/>
      <c r="L78" s="1827"/>
      <c r="M78" s="1827"/>
      <c r="N78" s="1572" t="s">
        <v>3</v>
      </c>
      <c r="O78" s="1828">
        <v>294</v>
      </c>
      <c r="P78" s="1572" t="s">
        <v>771</v>
      </c>
      <c r="Q78" s="1572"/>
      <c r="R78" s="1829">
        <f>O78/5000*100</f>
        <v>5.88</v>
      </c>
      <c r="S78" s="1572" t="s">
        <v>476</v>
      </c>
      <c r="T78" s="1830"/>
      <c r="U78" s="1597"/>
      <c r="V78" s="1597"/>
      <c r="W78" s="1597"/>
      <c r="X78" s="1597"/>
      <c r="Y78" s="1597"/>
      <c r="Z78" s="1597"/>
      <c r="AA78" s="1597"/>
      <c r="AB78" s="1597"/>
      <c r="AC78" s="1597"/>
      <c r="AD78" s="1597"/>
      <c r="AE78" s="1597"/>
      <c r="AF78" s="1598"/>
      <c r="AG78" s="1557"/>
      <c r="AH78" s="1557"/>
      <c r="AI78" s="1557"/>
      <c r="AO78" s="1577"/>
      <c r="AP78" s="1577"/>
      <c r="AQ78" s="1577"/>
      <c r="AR78" s="1577"/>
    </row>
    <row r="79" spans="1:100" s="1558" customFormat="1" ht="12.75" customHeight="1" x14ac:dyDescent="0.2">
      <c r="A79" s="1825" t="s">
        <v>15</v>
      </c>
      <c r="B79" s="1572"/>
      <c r="C79" s="1572"/>
      <c r="D79" s="1572"/>
      <c r="E79" s="1572"/>
      <c r="F79" s="1572"/>
      <c r="G79" s="1572"/>
      <c r="H79" s="1572"/>
      <c r="I79" s="2006" t="s">
        <v>823</v>
      </c>
      <c r="J79" s="1945"/>
      <c r="K79" s="1945"/>
      <c r="L79" s="1945"/>
      <c r="M79" s="1945"/>
      <c r="N79" s="1945"/>
      <c r="O79" s="1945"/>
      <c r="P79" s="1945"/>
      <c r="Q79" s="1945"/>
      <c r="R79" s="1945"/>
      <c r="S79" s="1945"/>
      <c r="T79" s="2007"/>
      <c r="U79" s="1831"/>
      <c r="V79" s="1600"/>
      <c r="W79" s="1600"/>
      <c r="X79" s="1600"/>
      <c r="Y79" s="1600"/>
      <c r="Z79" s="1600"/>
      <c r="AA79" s="1600"/>
      <c r="AB79" s="1600"/>
      <c r="AC79" s="1600"/>
      <c r="AD79" s="1600"/>
      <c r="AE79" s="1600"/>
      <c r="AF79" s="1832"/>
      <c r="AG79" s="1557"/>
      <c r="AH79" s="1557"/>
      <c r="AI79" s="1557"/>
      <c r="AJ79" s="1557"/>
      <c r="AK79" s="1557"/>
      <c r="AL79" s="1557"/>
      <c r="AM79" s="1557"/>
      <c r="AN79" s="1557"/>
      <c r="AO79" s="1557"/>
      <c r="AP79" s="1557"/>
      <c r="AQ79" s="1557"/>
      <c r="AR79" s="1557"/>
      <c r="AS79" s="1557"/>
      <c r="AT79" s="1559"/>
      <c r="AU79" s="1559"/>
      <c r="AV79" s="1559"/>
      <c r="AW79" s="1559"/>
      <c r="AX79" s="1560"/>
      <c r="AY79" s="1560"/>
      <c r="AZ79" s="1560"/>
      <c r="BA79" s="1560"/>
      <c r="BB79" s="1560"/>
      <c r="BC79" s="1560"/>
      <c r="BD79" s="1560"/>
      <c r="BE79" s="1560"/>
      <c r="BF79" s="1560"/>
      <c r="BG79" s="1560"/>
      <c r="BH79" s="1560"/>
      <c r="BI79" s="1560"/>
      <c r="BJ79" s="1560"/>
      <c r="BK79" s="1560"/>
      <c r="BL79" s="1560"/>
      <c r="BM79" s="1560"/>
      <c r="BN79" s="1560"/>
      <c r="BO79" s="1560"/>
      <c r="BP79" s="1560"/>
      <c r="BQ79" s="1560"/>
      <c r="BR79" s="1560"/>
      <c r="BS79" s="1560"/>
      <c r="BT79" s="1560"/>
      <c r="BU79" s="1560"/>
      <c r="BV79" s="1560"/>
      <c r="BW79" s="1560"/>
      <c r="BX79" s="1560"/>
      <c r="BY79" s="1560"/>
      <c r="BZ79" s="1560"/>
      <c r="CA79" s="1560"/>
      <c r="CB79" s="1560"/>
      <c r="CC79" s="1560"/>
      <c r="CD79" s="1560"/>
      <c r="CE79" s="1560"/>
      <c r="CF79" s="1560"/>
      <c r="CG79" s="1560"/>
      <c r="CH79" s="1560"/>
      <c r="CI79" s="1560"/>
      <c r="CJ79" s="1560"/>
      <c r="CK79" s="1560"/>
      <c r="CL79" s="1560"/>
      <c r="CM79" s="1560"/>
      <c r="CN79" s="1560"/>
      <c r="CO79" s="1560"/>
      <c r="CP79" s="1560"/>
      <c r="CQ79" s="1560"/>
      <c r="CR79" s="1560"/>
      <c r="CS79" s="1560"/>
      <c r="CT79" s="1560"/>
      <c r="CU79" s="1560"/>
      <c r="CV79" s="1560"/>
    </row>
    <row r="80" spans="1:100" s="1558" customFormat="1" ht="12.75" customHeight="1" x14ac:dyDescent="0.2">
      <c r="A80" s="1733" t="s">
        <v>45</v>
      </c>
      <c r="B80" s="1554"/>
      <c r="C80" s="1554"/>
      <c r="D80" s="1554" t="s">
        <v>849</v>
      </c>
      <c r="E80" s="1554"/>
      <c r="F80" s="1554"/>
      <c r="G80" s="1554"/>
      <c r="H80" s="1554"/>
      <c r="I80" s="1980" t="s">
        <v>824</v>
      </c>
      <c r="J80" s="1981"/>
      <c r="K80" s="1981"/>
      <c r="L80" s="1981"/>
      <c r="M80" s="1981"/>
      <c r="N80" s="1981"/>
      <c r="O80" s="1981"/>
      <c r="P80" s="1981"/>
      <c r="Q80" s="1981"/>
      <c r="R80" s="1981"/>
      <c r="S80" s="1981"/>
      <c r="T80" s="1982"/>
      <c r="U80" s="2296" t="s">
        <v>850</v>
      </c>
      <c r="V80" s="2015"/>
      <c r="W80" s="2015"/>
      <c r="X80" s="2015"/>
      <c r="Y80" s="2015"/>
      <c r="Z80" s="2015"/>
      <c r="AA80" s="2015"/>
      <c r="AB80" s="2015"/>
      <c r="AC80" s="2015"/>
      <c r="AD80" s="2015"/>
      <c r="AE80" s="2015"/>
      <c r="AF80" s="2297"/>
      <c r="AG80" s="1557"/>
      <c r="AH80" s="1557"/>
      <c r="AI80" s="1557"/>
      <c r="AJ80" s="1557"/>
      <c r="AK80" s="1557"/>
      <c r="AL80" s="1557"/>
      <c r="AM80" s="1557"/>
      <c r="AN80" s="1557"/>
      <c r="AO80" s="1557"/>
      <c r="AP80" s="1557"/>
      <c r="AQ80" s="1557"/>
      <c r="AR80" s="1557"/>
      <c r="AS80" s="1557"/>
      <c r="AT80" s="1559"/>
      <c r="AU80" s="1559"/>
      <c r="AV80" s="1559"/>
      <c r="AW80" s="1559"/>
      <c r="AX80" s="1560"/>
      <c r="AY80" s="1560"/>
      <c r="AZ80" s="1560"/>
      <c r="BA80" s="1560"/>
      <c r="BB80" s="1560"/>
      <c r="BC80" s="1560"/>
      <c r="BD80" s="1560"/>
      <c r="BE80" s="1560"/>
      <c r="BF80" s="1560"/>
      <c r="BG80" s="1560"/>
      <c r="BH80" s="1560"/>
      <c r="BI80" s="1560"/>
      <c r="BJ80" s="1560"/>
      <c r="BK80" s="1560"/>
      <c r="BL80" s="1560"/>
      <c r="BM80" s="1560"/>
      <c r="BN80" s="1560"/>
      <c r="BO80" s="1560"/>
      <c r="BP80" s="1560"/>
      <c r="BQ80" s="1560"/>
      <c r="BR80" s="1560"/>
      <c r="BS80" s="1560"/>
      <c r="BT80" s="1560"/>
      <c r="BU80" s="1560"/>
      <c r="BV80" s="1560"/>
      <c r="BW80" s="1560"/>
      <c r="BX80" s="1560"/>
      <c r="BY80" s="1560"/>
      <c r="BZ80" s="1560"/>
      <c r="CA80" s="1560"/>
      <c r="CB80" s="1560"/>
      <c r="CC80" s="1560"/>
      <c r="CD80" s="1560"/>
      <c r="CE80" s="1560"/>
      <c r="CF80" s="1560"/>
      <c r="CG80" s="1560"/>
      <c r="CH80" s="1560"/>
      <c r="CI80" s="1560"/>
      <c r="CJ80" s="1560"/>
      <c r="CK80" s="1560"/>
      <c r="CL80" s="1560"/>
      <c r="CM80" s="1560"/>
      <c r="CN80" s="1560"/>
      <c r="CO80" s="1560"/>
      <c r="CP80" s="1560"/>
      <c r="CQ80" s="1560"/>
      <c r="CR80" s="1560"/>
      <c r="CS80" s="1560"/>
      <c r="CT80" s="1560"/>
      <c r="CU80" s="1560"/>
      <c r="CV80" s="1560"/>
    </row>
    <row r="81" spans="1:100" s="1558" customFormat="1" ht="12.75" customHeight="1" x14ac:dyDescent="0.2">
      <c r="A81" s="1734" t="s">
        <v>46</v>
      </c>
      <c r="B81" s="1591"/>
      <c r="C81" s="1591"/>
      <c r="D81" s="1591" t="s">
        <v>249</v>
      </c>
      <c r="E81" s="1591"/>
      <c r="F81" s="1591"/>
      <c r="G81" s="1591"/>
      <c r="H81" s="1591"/>
      <c r="I81" s="2150" t="s">
        <v>842</v>
      </c>
      <c r="J81" s="1974"/>
      <c r="K81" s="1974"/>
      <c r="L81" s="1974"/>
      <c r="M81" s="1974"/>
      <c r="N81" s="1974"/>
      <c r="O81" s="1974"/>
      <c r="P81" s="2151" t="s">
        <v>759</v>
      </c>
      <c r="Q81" s="2151"/>
      <c r="R81" s="2151"/>
      <c r="S81" s="2151"/>
      <c r="T81" s="2152"/>
      <c r="U81" s="1974" t="s">
        <v>801</v>
      </c>
      <c r="V81" s="1974"/>
      <c r="W81" s="1974"/>
      <c r="X81" s="1974"/>
      <c r="Y81" s="1977" t="s">
        <v>803</v>
      </c>
      <c r="Z81" s="1977"/>
      <c r="AA81" s="1977"/>
      <c r="AB81" s="1977"/>
      <c r="AC81" s="1977"/>
      <c r="AD81" s="1977"/>
      <c r="AE81" s="1977"/>
      <c r="AF81" s="1978"/>
      <c r="AG81" s="1557"/>
      <c r="AH81" s="1557"/>
      <c r="AI81" s="1557"/>
      <c r="AJ81" s="1557"/>
      <c r="AK81" s="1557"/>
      <c r="AL81" s="1557"/>
      <c r="AM81" s="1557"/>
      <c r="AN81" s="1557"/>
      <c r="AO81" s="1557"/>
      <c r="AP81" s="1557"/>
      <c r="AQ81" s="1557"/>
      <c r="AR81" s="1557"/>
      <c r="AS81" s="1557"/>
      <c r="AT81" s="1559"/>
      <c r="AU81" s="1559"/>
      <c r="AV81" s="1559"/>
      <c r="AW81" s="1559"/>
      <c r="AX81" s="1560"/>
      <c r="AY81" s="1560"/>
      <c r="AZ81" s="1560"/>
      <c r="BA81" s="1560"/>
      <c r="BB81" s="1560"/>
      <c r="BC81" s="1560"/>
      <c r="BD81" s="1560"/>
      <c r="BE81" s="1560"/>
      <c r="BF81" s="1560"/>
      <c r="BG81" s="1560"/>
      <c r="BH81" s="1560"/>
      <c r="BI81" s="1560"/>
      <c r="BJ81" s="1560"/>
      <c r="BK81" s="1560"/>
      <c r="BL81" s="1560"/>
      <c r="BM81" s="1560"/>
      <c r="BN81" s="1560"/>
      <c r="BO81" s="1560"/>
      <c r="BP81" s="1560"/>
      <c r="BQ81" s="1560"/>
      <c r="BR81" s="1560"/>
      <c r="BS81" s="1560"/>
      <c r="BT81" s="1560"/>
      <c r="BU81" s="1560"/>
      <c r="BV81" s="1560"/>
      <c r="BW81" s="1560"/>
      <c r="BX81" s="1560"/>
      <c r="BY81" s="1560"/>
      <c r="BZ81" s="1560"/>
      <c r="CA81" s="1560"/>
      <c r="CB81" s="1560"/>
      <c r="CC81" s="1560"/>
      <c r="CD81" s="1560"/>
      <c r="CE81" s="1560"/>
      <c r="CF81" s="1560"/>
      <c r="CG81" s="1560"/>
      <c r="CH81" s="1560"/>
      <c r="CI81" s="1560"/>
      <c r="CJ81" s="1560"/>
      <c r="CK81" s="1560"/>
      <c r="CL81" s="1560"/>
      <c r="CM81" s="1560"/>
      <c r="CN81" s="1560"/>
      <c r="CO81" s="1560"/>
      <c r="CP81" s="1560"/>
      <c r="CQ81" s="1560"/>
      <c r="CR81" s="1560"/>
      <c r="CS81" s="1560"/>
      <c r="CT81" s="1560"/>
      <c r="CU81" s="1560"/>
      <c r="CV81" s="1560"/>
    </row>
    <row r="82" spans="1:100" s="1558" customFormat="1" ht="12.75" customHeight="1" x14ac:dyDescent="0.2">
      <c r="A82" s="1596"/>
      <c r="B82" s="1594"/>
      <c r="C82" s="1594"/>
      <c r="D82" s="1594"/>
      <c r="E82" s="1594"/>
      <c r="F82" s="1594"/>
      <c r="G82" s="1594"/>
      <c r="H82" s="1594"/>
      <c r="I82" s="1726" t="s">
        <v>764</v>
      </c>
      <c r="J82" s="1594"/>
      <c r="K82" s="1594"/>
      <c r="L82" s="1594"/>
      <c r="M82" s="1594"/>
      <c r="N82" s="1594"/>
      <c r="O82" s="1594"/>
      <c r="P82" s="1594"/>
      <c r="Q82" s="1694"/>
      <c r="R82" s="2298">
        <f>Q73/1.08-15.9</f>
        <v>67.951851851851842</v>
      </c>
      <c r="S82" s="2298"/>
      <c r="T82" s="2299"/>
      <c r="U82" s="1945"/>
      <c r="V82" s="1945"/>
      <c r="W82" s="1945"/>
      <c r="X82" s="1597"/>
      <c r="Y82" s="1979" t="s">
        <v>802</v>
      </c>
      <c r="Z82" s="1979"/>
      <c r="AA82" s="1979"/>
      <c r="AB82" s="1975" t="s">
        <v>759</v>
      </c>
      <c r="AC82" s="1975"/>
      <c r="AD82" s="1975"/>
      <c r="AE82" s="1975"/>
      <c r="AF82" s="1976"/>
      <c r="AG82" s="1557"/>
      <c r="AH82" s="1557"/>
      <c r="AI82" s="1557"/>
      <c r="AJ82" s="1557"/>
      <c r="AK82" s="1557"/>
      <c r="AL82" s="1557"/>
      <c r="AM82" s="1557"/>
      <c r="AN82" s="1557"/>
      <c r="AO82" s="1557"/>
      <c r="AP82" s="1557"/>
      <c r="AQ82" s="1557"/>
      <c r="AR82" s="1557"/>
      <c r="AS82" s="1557"/>
      <c r="AT82" s="1559"/>
      <c r="AU82" s="1559"/>
      <c r="AV82" s="1559"/>
      <c r="AW82" s="1559"/>
      <c r="AX82" s="1560"/>
      <c r="AY82" s="1560"/>
      <c r="AZ82" s="1560"/>
      <c r="BA82" s="1560"/>
      <c r="BB82" s="1560"/>
      <c r="BC82" s="1560"/>
      <c r="BD82" s="1560"/>
      <c r="BE82" s="1560"/>
      <c r="BF82" s="1560"/>
      <c r="BG82" s="1560"/>
      <c r="BH82" s="1560"/>
      <c r="BI82" s="1560"/>
      <c r="BJ82" s="1560"/>
      <c r="BK82" s="1560"/>
      <c r="BL82" s="1560"/>
      <c r="BM82" s="1560"/>
      <c r="BN82" s="1560"/>
      <c r="BO82" s="1560"/>
      <c r="BP82" s="1560"/>
      <c r="BQ82" s="1560"/>
      <c r="BR82" s="1560"/>
      <c r="BS82" s="1560"/>
      <c r="BT82" s="1560"/>
      <c r="BU82" s="1560"/>
      <c r="BV82" s="1560"/>
      <c r="BW82" s="1560"/>
      <c r="BX82" s="1560"/>
      <c r="BY82" s="1560"/>
      <c r="BZ82" s="1560"/>
      <c r="CA82" s="1560"/>
      <c r="CB82" s="1560"/>
      <c r="CC82" s="1560"/>
      <c r="CD82" s="1560"/>
      <c r="CE82" s="1560"/>
      <c r="CF82" s="1560"/>
      <c r="CG82" s="1560"/>
      <c r="CH82" s="1560"/>
      <c r="CI82" s="1560"/>
      <c r="CJ82" s="1560"/>
      <c r="CK82" s="1560"/>
      <c r="CL82" s="1560"/>
      <c r="CM82" s="1560"/>
      <c r="CN82" s="1560"/>
      <c r="CO82" s="1560"/>
      <c r="CP82" s="1560"/>
      <c r="CQ82" s="1560"/>
      <c r="CR82" s="1560"/>
      <c r="CS82" s="1560"/>
      <c r="CT82" s="1560"/>
      <c r="CU82" s="1560"/>
      <c r="CV82" s="1560"/>
    </row>
    <row r="83" spans="1:100" s="1558" customFormat="1" ht="12.75" customHeight="1" x14ac:dyDescent="0.2">
      <c r="A83" s="1596"/>
      <c r="B83" s="1594"/>
      <c r="C83" s="1594"/>
      <c r="D83" s="1594"/>
      <c r="E83" s="1594"/>
      <c r="F83" s="1594"/>
      <c r="G83" s="1594"/>
      <c r="H83" s="1594"/>
      <c r="I83" s="1726" t="s">
        <v>844</v>
      </c>
      <c r="J83" s="1797"/>
      <c r="K83" s="1797"/>
      <c r="L83" s="1797"/>
      <c r="M83" s="1797"/>
      <c r="N83" s="1797"/>
      <c r="O83" s="1797"/>
      <c r="P83" s="1797"/>
      <c r="Q83" s="1798"/>
      <c r="R83" s="2174">
        <v>0.05</v>
      </c>
      <c r="S83" s="2174"/>
      <c r="T83" s="2175"/>
      <c r="U83" s="2334" t="s">
        <v>804</v>
      </c>
      <c r="V83" s="2334"/>
      <c r="W83" s="2334"/>
      <c r="X83" s="2334"/>
      <c r="Y83" s="1979" t="s">
        <v>805</v>
      </c>
      <c r="Z83" s="1979"/>
      <c r="AA83" s="1979"/>
      <c r="AB83" s="1979"/>
      <c r="AC83" s="1979"/>
      <c r="AD83" s="1979"/>
      <c r="AE83" s="1979"/>
      <c r="AF83" s="2177"/>
      <c r="AG83" s="1557"/>
      <c r="AH83" s="1557"/>
      <c r="AI83" s="1557"/>
      <c r="AJ83" s="1557"/>
      <c r="AK83" s="1557"/>
      <c r="AL83" s="1557"/>
      <c r="AM83" s="1557"/>
      <c r="AN83" s="1557"/>
      <c r="AO83" s="1557"/>
      <c r="AP83" s="1557"/>
      <c r="AQ83" s="1557"/>
      <c r="AR83" s="1557"/>
      <c r="AS83" s="1557"/>
      <c r="AT83" s="1559"/>
      <c r="AU83" s="1559"/>
      <c r="AV83" s="1559"/>
      <c r="AW83" s="1559"/>
      <c r="AX83" s="1560"/>
      <c r="AY83" s="1560"/>
      <c r="AZ83" s="1560"/>
      <c r="BA83" s="1560"/>
      <c r="BB83" s="1560"/>
      <c r="BC83" s="1560"/>
      <c r="BD83" s="1560"/>
      <c r="BE83" s="1560"/>
      <c r="BF83" s="1560"/>
      <c r="BG83" s="1560"/>
      <c r="BH83" s="1560"/>
      <c r="BI83" s="1560"/>
      <c r="BJ83" s="1560"/>
      <c r="BK83" s="1560"/>
      <c r="BL83" s="1560"/>
      <c r="BM83" s="1560"/>
      <c r="BN83" s="1560"/>
      <c r="BO83" s="1560"/>
      <c r="BP83" s="1560"/>
      <c r="BQ83" s="1560"/>
      <c r="BR83" s="1560"/>
      <c r="BS83" s="1560"/>
      <c r="BT83" s="1560"/>
      <c r="BU83" s="1560"/>
      <c r="BV83" s="1560"/>
      <c r="BW83" s="1560"/>
      <c r="BX83" s="1560"/>
      <c r="BY83" s="1560"/>
      <c r="BZ83" s="1560"/>
      <c r="CA83" s="1560"/>
      <c r="CB83" s="1560"/>
      <c r="CC83" s="1560"/>
      <c r="CD83" s="1560"/>
      <c r="CE83" s="1560"/>
      <c r="CF83" s="1560"/>
      <c r="CG83" s="1560"/>
      <c r="CH83" s="1560"/>
      <c r="CI83" s="1560"/>
      <c r="CJ83" s="1560"/>
      <c r="CK83" s="1560"/>
      <c r="CL83" s="1560"/>
      <c r="CM83" s="1560"/>
      <c r="CN83" s="1560"/>
      <c r="CO83" s="1560"/>
      <c r="CP83" s="1560"/>
      <c r="CQ83" s="1560"/>
      <c r="CR83" s="1560"/>
      <c r="CS83" s="1560"/>
      <c r="CT83" s="1560"/>
      <c r="CU83" s="1560"/>
      <c r="CV83" s="1560"/>
    </row>
    <row r="84" spans="1:100" s="1558" customFormat="1" ht="12.75" customHeight="1" x14ac:dyDescent="0.2">
      <c r="A84" s="1833"/>
      <c r="B84" s="1747"/>
      <c r="C84" s="1747"/>
      <c r="D84" s="1747"/>
      <c r="E84" s="1747"/>
      <c r="F84" s="1747"/>
      <c r="G84" s="1747"/>
      <c r="H84" s="1747"/>
      <c r="I84" s="1748" t="s">
        <v>843</v>
      </c>
      <c r="J84" s="1834"/>
      <c r="K84" s="1834"/>
      <c r="L84" s="1834"/>
      <c r="M84" s="1834"/>
      <c r="N84" s="1834"/>
      <c r="O84" s="1834"/>
      <c r="P84" s="1834"/>
      <c r="Q84" s="1835"/>
      <c r="R84" s="1835"/>
      <c r="S84" s="2194">
        <v>10433</v>
      </c>
      <c r="T84" s="2195"/>
      <c r="U84" s="1749"/>
      <c r="V84" s="1749"/>
      <c r="W84" s="1749"/>
      <c r="X84" s="1749"/>
      <c r="Y84" s="1939" t="s">
        <v>806</v>
      </c>
      <c r="Z84" s="1939"/>
      <c r="AA84" s="1939"/>
      <c r="AB84" s="1939"/>
      <c r="AC84" s="1939"/>
      <c r="AD84" s="1939"/>
      <c r="AE84" s="1939"/>
      <c r="AF84" s="1940"/>
      <c r="AG84" s="1557"/>
      <c r="AH84" s="1557"/>
      <c r="AI84" s="1557"/>
      <c r="AJ84" s="1557"/>
      <c r="AK84" s="1557"/>
      <c r="AL84" s="1557"/>
      <c r="AM84" s="1557"/>
      <c r="AN84" s="1557"/>
      <c r="AO84" s="1557"/>
      <c r="AP84" s="1557"/>
      <c r="AQ84" s="1557"/>
      <c r="AR84" s="1557"/>
      <c r="AS84" s="1557"/>
      <c r="AT84" s="1559"/>
      <c r="AU84" s="1559"/>
      <c r="AV84" s="1559"/>
      <c r="AW84" s="1559"/>
      <c r="AX84" s="1560"/>
      <c r="AY84" s="1560"/>
      <c r="AZ84" s="1560"/>
      <c r="BA84" s="1560"/>
      <c r="BB84" s="1560"/>
      <c r="BC84" s="1560"/>
      <c r="BD84" s="1560"/>
      <c r="BE84" s="1560"/>
      <c r="BF84" s="1560"/>
      <c r="BG84" s="1560"/>
      <c r="BH84" s="1560"/>
      <c r="BI84" s="1560"/>
      <c r="BJ84" s="1560"/>
      <c r="BK84" s="1560"/>
      <c r="BL84" s="1560"/>
      <c r="BM84" s="1560"/>
      <c r="BN84" s="1560"/>
      <c r="BO84" s="1560"/>
      <c r="BP84" s="1560"/>
      <c r="BQ84" s="1560"/>
      <c r="BR84" s="1560"/>
      <c r="BS84" s="1560"/>
      <c r="BT84" s="1560"/>
      <c r="BU84" s="1560"/>
      <c r="BV84" s="1560"/>
      <c r="BW84" s="1560"/>
      <c r="BX84" s="1560"/>
      <c r="BY84" s="1560"/>
      <c r="BZ84" s="1560"/>
      <c r="CA84" s="1560"/>
      <c r="CB84" s="1560"/>
      <c r="CC84" s="1560"/>
      <c r="CD84" s="1560"/>
      <c r="CE84" s="1560"/>
      <c r="CF84" s="1560"/>
      <c r="CG84" s="1560"/>
      <c r="CH84" s="1560"/>
      <c r="CI84" s="1560"/>
      <c r="CJ84" s="1560"/>
      <c r="CK84" s="1560"/>
      <c r="CL84" s="1560"/>
      <c r="CM84" s="1560"/>
      <c r="CN84" s="1560"/>
      <c r="CO84" s="1560"/>
      <c r="CP84" s="1560"/>
      <c r="CQ84" s="1560"/>
      <c r="CR84" s="1560"/>
      <c r="CS84" s="1560"/>
      <c r="CT84" s="1560"/>
      <c r="CU84" s="1560"/>
      <c r="CV84" s="1560"/>
    </row>
    <row r="85" spans="1:100" s="1576" customFormat="1" ht="12.75" customHeight="1" x14ac:dyDescent="0.2">
      <c r="A85" s="1991" t="s">
        <v>33</v>
      </c>
      <c r="B85" s="1992"/>
      <c r="C85" s="1992"/>
      <c r="D85" s="1744" t="str">
        <f>C33</f>
        <v>Lokales Produkt A</v>
      </c>
      <c r="E85" s="1745"/>
      <c r="F85" s="1745"/>
      <c r="G85" s="1745"/>
      <c r="H85" s="1746"/>
      <c r="I85" s="1966"/>
      <c r="J85" s="1967"/>
      <c r="K85" s="1967"/>
      <c r="L85" s="1967"/>
      <c r="M85" s="1967"/>
      <c r="N85" s="1967"/>
      <c r="O85" s="1967"/>
      <c r="P85" s="1967"/>
      <c r="Q85" s="1967"/>
      <c r="R85" s="1967"/>
      <c r="S85" s="1967"/>
      <c r="T85" s="1968"/>
      <c r="U85" s="2300"/>
      <c r="V85" s="2300"/>
      <c r="W85" s="2300"/>
      <c r="X85" s="2300"/>
      <c r="Y85" s="2300"/>
      <c r="Z85" s="2300"/>
      <c r="AA85" s="2300"/>
      <c r="AB85" s="2300"/>
      <c r="AC85" s="2300"/>
      <c r="AD85" s="2300"/>
      <c r="AE85" s="2300"/>
      <c r="AF85" s="2301"/>
      <c r="AO85" s="1577"/>
      <c r="AP85" s="1577"/>
      <c r="AQ85" s="1577"/>
      <c r="AR85" s="1577"/>
    </row>
    <row r="86" spans="1:100" s="1576" customFormat="1" ht="12.75" customHeight="1" x14ac:dyDescent="0.2">
      <c r="A86" s="1991"/>
      <c r="B86" s="1992"/>
      <c r="C86" s="1992"/>
      <c r="D86" s="1737" t="str">
        <f>C37</f>
        <v>Lokales Produkt B</v>
      </c>
      <c r="E86" s="1574"/>
      <c r="F86" s="1574"/>
      <c r="G86" s="1574"/>
      <c r="H86" s="1575"/>
      <c r="I86" s="1966"/>
      <c r="J86" s="1967"/>
      <c r="K86" s="1967"/>
      <c r="L86" s="1967"/>
      <c r="M86" s="1967"/>
      <c r="N86" s="1967"/>
      <c r="O86" s="1967"/>
      <c r="P86" s="1967"/>
      <c r="Q86" s="1967"/>
      <c r="R86" s="1967"/>
      <c r="S86" s="1967"/>
      <c r="T86" s="1968"/>
      <c r="U86" s="2300"/>
      <c r="V86" s="2300"/>
      <c r="W86" s="2300"/>
      <c r="X86" s="2300"/>
      <c r="Y86" s="2300"/>
      <c r="Z86" s="2300"/>
      <c r="AA86" s="2300"/>
      <c r="AB86" s="2300"/>
      <c r="AC86" s="2300"/>
      <c r="AD86" s="2300"/>
      <c r="AE86" s="2300"/>
      <c r="AF86" s="2301"/>
      <c r="AO86" s="1577"/>
      <c r="AP86" s="1577"/>
      <c r="AQ86" s="1577"/>
      <c r="AR86" s="1577"/>
    </row>
    <row r="87" spans="1:100" s="1576" customFormat="1" ht="12.75" customHeight="1" x14ac:dyDescent="0.2">
      <c r="A87" s="1993"/>
      <c r="B87" s="1994"/>
      <c r="C87" s="1994"/>
      <c r="D87" s="1737" t="str">
        <f>C41</f>
        <v>Lokales Produkt C</v>
      </c>
      <c r="E87" s="1574"/>
      <c r="F87" s="1574"/>
      <c r="G87" s="1574"/>
      <c r="H87" s="1575"/>
      <c r="I87" s="1969"/>
      <c r="J87" s="1970"/>
      <c r="K87" s="1970"/>
      <c r="L87" s="1970"/>
      <c r="M87" s="1970"/>
      <c r="N87" s="1970"/>
      <c r="O87" s="1970"/>
      <c r="P87" s="1970"/>
      <c r="Q87" s="1970"/>
      <c r="R87" s="1970"/>
      <c r="S87" s="1970"/>
      <c r="T87" s="1971"/>
      <c r="U87" s="2302"/>
      <c r="V87" s="2302"/>
      <c r="W87" s="2302"/>
      <c r="X87" s="2302"/>
      <c r="Y87" s="2302"/>
      <c r="Z87" s="2302"/>
      <c r="AA87" s="2302"/>
      <c r="AB87" s="2302"/>
      <c r="AC87" s="2302"/>
      <c r="AD87" s="2302"/>
      <c r="AE87" s="2302"/>
      <c r="AF87" s="2303"/>
      <c r="AO87" s="1577"/>
      <c r="AP87" s="1577"/>
      <c r="AQ87" s="1577"/>
      <c r="AR87" s="1577"/>
    </row>
    <row r="88" spans="1:100" s="1576" customFormat="1" ht="25.5" customHeight="1" x14ac:dyDescent="0.2">
      <c r="A88" s="2014" t="s">
        <v>766</v>
      </c>
      <c r="B88" s="2015"/>
      <c r="C88" s="2015"/>
      <c r="D88" s="1573" t="str">
        <f>Eigener_Brennstoff</f>
        <v>Brennstoff XY</v>
      </c>
      <c r="E88" s="1574"/>
      <c r="F88" s="1574"/>
      <c r="G88" s="1574"/>
      <c r="H88" s="1575"/>
      <c r="I88" s="1998"/>
      <c r="J88" s="1999"/>
      <c r="K88" s="1999"/>
      <c r="L88" s="1999"/>
      <c r="M88" s="1999"/>
      <c r="N88" s="1999"/>
      <c r="O88" s="1999"/>
      <c r="P88" s="1999"/>
      <c r="Q88" s="1999"/>
      <c r="R88" s="1999"/>
      <c r="S88" s="1999"/>
      <c r="T88" s="2000"/>
      <c r="U88" s="2147"/>
      <c r="V88" s="2147"/>
      <c r="W88" s="2147"/>
      <c r="X88" s="2147"/>
      <c r="Y88" s="2147"/>
      <c r="Z88" s="2147"/>
      <c r="AA88" s="2147"/>
      <c r="AB88" s="2147"/>
      <c r="AC88" s="2147"/>
      <c r="AD88" s="2147"/>
      <c r="AE88" s="2147"/>
      <c r="AF88" s="2148"/>
      <c r="AO88" s="1577"/>
      <c r="AP88" s="1577"/>
      <c r="AQ88" s="1577"/>
      <c r="AR88" s="1577"/>
    </row>
    <row r="89" spans="1:100" s="1576" customFormat="1" ht="25.5" customHeight="1" x14ac:dyDescent="0.2">
      <c r="A89" s="1735" t="s">
        <v>46</v>
      </c>
      <c r="B89" s="1686"/>
      <c r="C89" s="1686"/>
      <c r="D89" s="1578" t="str">
        <f>C54</f>
        <v>Fernwärme XY</v>
      </c>
      <c r="E89" s="1574"/>
      <c r="F89" s="1574"/>
      <c r="G89" s="1574"/>
      <c r="H89" s="1575"/>
      <c r="I89" s="1998"/>
      <c r="J89" s="1999"/>
      <c r="K89" s="1999"/>
      <c r="L89" s="1999"/>
      <c r="M89" s="1999"/>
      <c r="N89" s="1999"/>
      <c r="O89" s="1999"/>
      <c r="P89" s="1999"/>
      <c r="Q89" s="1999"/>
      <c r="R89" s="1999"/>
      <c r="S89" s="1999"/>
      <c r="T89" s="2000"/>
      <c r="U89" s="2147"/>
      <c r="V89" s="2147"/>
      <c r="W89" s="2147"/>
      <c r="X89" s="2147"/>
      <c r="Y89" s="2147"/>
      <c r="Z89" s="2147"/>
      <c r="AA89" s="2147"/>
      <c r="AB89" s="2147"/>
      <c r="AC89" s="2147"/>
      <c r="AD89" s="2147"/>
      <c r="AE89" s="2147"/>
      <c r="AF89" s="2148"/>
      <c r="AO89" s="1577"/>
      <c r="AP89" s="1577"/>
      <c r="AQ89" s="1577"/>
      <c r="AR89" s="1577"/>
    </row>
    <row r="90" spans="1:100" s="266" customFormat="1" ht="25.5" customHeight="1" x14ac:dyDescent="0.2">
      <c r="A90" s="2008" t="s">
        <v>799</v>
      </c>
      <c r="B90" s="2009"/>
      <c r="C90" s="2009"/>
      <c r="D90" s="1578" t="str">
        <f>C55</f>
        <v>Wärmeverbund XY</v>
      </c>
      <c r="E90" s="1574"/>
      <c r="F90" s="1574"/>
      <c r="G90" s="1574"/>
      <c r="H90" s="1575"/>
      <c r="I90" s="1998"/>
      <c r="J90" s="1999"/>
      <c r="K90" s="1999"/>
      <c r="L90" s="1999"/>
      <c r="M90" s="1999"/>
      <c r="N90" s="1999"/>
      <c r="O90" s="1999"/>
      <c r="P90" s="1999"/>
      <c r="Q90" s="1999"/>
      <c r="R90" s="1999"/>
      <c r="S90" s="1999"/>
      <c r="T90" s="2000"/>
      <c r="U90" s="2147"/>
      <c r="V90" s="2147"/>
      <c r="W90" s="2147"/>
      <c r="X90" s="2147"/>
      <c r="Y90" s="2147"/>
      <c r="Z90" s="2147"/>
      <c r="AA90" s="2147"/>
      <c r="AB90" s="2147"/>
      <c r="AC90" s="2147"/>
      <c r="AD90" s="2147"/>
      <c r="AE90" s="2147"/>
      <c r="AF90" s="2148"/>
      <c r="AG90" s="1576"/>
      <c r="AH90" s="1576"/>
      <c r="AI90" s="1576"/>
      <c r="AL90" s="247"/>
      <c r="AM90" s="247"/>
      <c r="AV90" s="322"/>
      <c r="AW90" s="322"/>
      <c r="AX90" s="322"/>
      <c r="AY90" s="322"/>
      <c r="AZ90" s="322"/>
      <c r="BA90" s="322"/>
      <c r="BB90" s="322"/>
      <c r="BC90" s="322"/>
      <c r="BD90" s="322"/>
      <c r="BE90" s="322"/>
      <c r="BF90" s="322"/>
      <c r="BG90" s="322"/>
      <c r="BH90" s="322"/>
      <c r="BI90" s="322"/>
      <c r="BJ90" s="322"/>
      <c r="BK90" s="322"/>
      <c r="BL90" s="322"/>
      <c r="BM90" s="322"/>
      <c r="BN90" s="322"/>
      <c r="BO90" s="322"/>
      <c r="BP90" s="322"/>
      <c r="BQ90" s="322"/>
      <c r="BR90" s="322"/>
      <c r="BS90" s="322"/>
      <c r="BT90" s="322"/>
      <c r="BU90" s="322"/>
      <c r="BV90" s="322"/>
      <c r="BW90" s="322"/>
      <c r="BX90" s="322"/>
      <c r="BY90" s="322"/>
      <c r="BZ90" s="322"/>
      <c r="CA90" s="322"/>
      <c r="CB90" s="322"/>
      <c r="CC90" s="322"/>
      <c r="CD90" s="322"/>
      <c r="CE90" s="322"/>
      <c r="CF90" s="322"/>
      <c r="CG90" s="322"/>
      <c r="CH90" s="322"/>
      <c r="CI90" s="322"/>
      <c r="CJ90" s="322"/>
      <c r="CK90" s="322"/>
      <c r="CL90" s="322"/>
      <c r="CM90" s="322"/>
      <c r="CN90" s="322"/>
      <c r="CO90" s="322"/>
      <c r="CP90" s="322"/>
      <c r="CQ90" s="322"/>
      <c r="CR90" s="322"/>
      <c r="CS90" s="322"/>
      <c r="CT90" s="322"/>
    </row>
    <row r="91" spans="1:100" s="266" customFormat="1" ht="25.5" customHeight="1" x14ac:dyDescent="0.2">
      <c r="A91" s="2010"/>
      <c r="B91" s="2011"/>
      <c r="C91" s="2011"/>
      <c r="D91" s="1648" t="str">
        <f>C56</f>
        <v>Kälteverbund XY</v>
      </c>
      <c r="E91" s="1649"/>
      <c r="F91" s="1649"/>
      <c r="G91" s="1649"/>
      <c r="H91" s="1650"/>
      <c r="I91" s="1995"/>
      <c r="J91" s="1996"/>
      <c r="K91" s="1996"/>
      <c r="L91" s="1996"/>
      <c r="M91" s="1996"/>
      <c r="N91" s="1996"/>
      <c r="O91" s="1996"/>
      <c r="P91" s="1996"/>
      <c r="Q91" s="1996"/>
      <c r="R91" s="1996"/>
      <c r="S91" s="1996"/>
      <c r="T91" s="1997"/>
      <c r="U91" s="2294"/>
      <c r="V91" s="2294"/>
      <c r="W91" s="2294"/>
      <c r="X91" s="2294"/>
      <c r="Y91" s="2294"/>
      <c r="Z91" s="2294"/>
      <c r="AA91" s="2294"/>
      <c r="AB91" s="2294"/>
      <c r="AC91" s="2294"/>
      <c r="AD91" s="2294"/>
      <c r="AE91" s="2294"/>
      <c r="AF91" s="2295"/>
      <c r="AG91" s="1576"/>
      <c r="AH91" s="1576"/>
      <c r="AI91" s="1576"/>
      <c r="AL91" s="247"/>
      <c r="AM91" s="247"/>
      <c r="AV91" s="322"/>
      <c r="AW91" s="322"/>
      <c r="AX91" s="322"/>
      <c r="AY91" s="322"/>
      <c r="AZ91" s="322"/>
      <c r="BA91" s="322"/>
      <c r="BB91" s="322"/>
      <c r="BC91" s="322"/>
      <c r="BD91" s="322"/>
      <c r="BE91" s="322"/>
      <c r="BF91" s="322"/>
      <c r="BG91" s="322"/>
      <c r="BH91" s="322"/>
      <c r="BI91" s="322"/>
      <c r="BJ91" s="322"/>
      <c r="BK91" s="322"/>
      <c r="BL91" s="322"/>
      <c r="BM91" s="322"/>
      <c r="BN91" s="322"/>
      <c r="BO91" s="322"/>
      <c r="BP91" s="322"/>
      <c r="BQ91" s="322"/>
      <c r="BR91" s="322"/>
      <c r="BS91" s="322"/>
      <c r="BT91" s="322"/>
      <c r="BU91" s="322"/>
      <c r="BV91" s="322"/>
      <c r="BW91" s="322"/>
      <c r="BX91" s="322"/>
      <c r="BY91" s="322"/>
      <c r="BZ91" s="322"/>
      <c r="CA91" s="322"/>
      <c r="CB91" s="322"/>
      <c r="CC91" s="322"/>
      <c r="CD91" s="322"/>
      <c r="CE91" s="322"/>
      <c r="CF91" s="322"/>
      <c r="CG91" s="322"/>
      <c r="CH91" s="322"/>
      <c r="CI91" s="322"/>
      <c r="CJ91" s="322"/>
      <c r="CK91" s="322"/>
      <c r="CL91" s="322"/>
      <c r="CM91" s="322"/>
      <c r="CN91" s="322"/>
      <c r="CO91" s="322"/>
      <c r="CP91" s="322"/>
      <c r="CQ91" s="322"/>
      <c r="CR91" s="322"/>
      <c r="CS91" s="322"/>
      <c r="CT91" s="322"/>
    </row>
    <row r="92" spans="1:100" s="266" customFormat="1" ht="12.1" customHeight="1" x14ac:dyDescent="0.2">
      <c r="B92" s="39"/>
      <c r="C92" s="39"/>
      <c r="D92" s="39"/>
      <c r="E92" s="39"/>
      <c r="F92" s="34"/>
      <c r="G92" s="35"/>
      <c r="H92" s="35"/>
      <c r="I92" s="35"/>
      <c r="J92" s="35"/>
      <c r="K92" s="35"/>
      <c r="L92" s="35"/>
      <c r="M92" s="35"/>
      <c r="N92" s="247"/>
      <c r="O92" s="247"/>
      <c r="P92" s="247"/>
      <c r="Q92" s="186"/>
      <c r="R92" s="247"/>
      <c r="S92" s="247"/>
      <c r="T92" s="247"/>
      <c r="U92" s="247"/>
      <c r="V92" s="247"/>
      <c r="W92" s="247"/>
      <c r="X92" s="247"/>
      <c r="Y92" s="246"/>
      <c r="Z92" s="246"/>
      <c r="AA92" s="246"/>
      <c r="AB92" s="246"/>
      <c r="AL92" s="247"/>
      <c r="AV92" s="322"/>
      <c r="AW92" s="322"/>
      <c r="AX92" s="322"/>
      <c r="AY92" s="322"/>
      <c r="AZ92" s="322"/>
      <c r="BA92" s="322"/>
      <c r="BB92" s="322"/>
      <c r="BC92" s="322"/>
      <c r="BD92" s="322"/>
      <c r="BE92" s="322"/>
      <c r="BF92" s="322"/>
      <c r="BG92" s="322"/>
      <c r="BH92" s="322"/>
      <c r="BI92" s="322"/>
      <c r="BJ92" s="322"/>
      <c r="BK92" s="322"/>
      <c r="BL92" s="322"/>
      <c r="BM92" s="322"/>
      <c r="BN92" s="322"/>
      <c r="BO92" s="322"/>
      <c r="BP92" s="322"/>
      <c r="BQ92" s="322"/>
      <c r="BR92" s="322"/>
      <c r="BS92" s="322"/>
      <c r="BT92" s="322"/>
      <c r="BU92" s="322"/>
      <c r="BV92" s="322"/>
      <c r="BW92" s="322"/>
      <c r="BX92" s="322"/>
      <c r="BY92" s="322"/>
      <c r="BZ92" s="322"/>
      <c r="CA92" s="322"/>
      <c r="CB92" s="322"/>
      <c r="CC92" s="322"/>
      <c r="CD92" s="322"/>
      <c r="CE92" s="322"/>
      <c r="CF92" s="322"/>
      <c r="CG92" s="322"/>
      <c r="CH92" s="322"/>
      <c r="CI92" s="322"/>
      <c r="CJ92" s="322"/>
      <c r="CK92" s="322"/>
      <c r="CL92" s="322"/>
      <c r="CM92" s="322"/>
      <c r="CN92" s="322"/>
      <c r="CO92" s="322"/>
      <c r="CP92" s="322"/>
      <c r="CQ92" s="322"/>
      <c r="CR92" s="322"/>
      <c r="CS92" s="322"/>
      <c r="CT92" s="322"/>
    </row>
    <row r="93" spans="1:100" s="266" customFormat="1" ht="27" customHeight="1" x14ac:dyDescent="0.2">
      <c r="A93" s="1105" t="s">
        <v>782</v>
      </c>
      <c r="B93" s="38"/>
      <c r="C93" s="38"/>
      <c r="D93" s="38"/>
      <c r="E93" s="38"/>
      <c r="F93" s="36"/>
      <c r="G93" s="37"/>
      <c r="H93" s="37"/>
      <c r="I93" s="37"/>
      <c r="J93" s="37"/>
      <c r="K93" s="37"/>
      <c r="L93" s="37"/>
      <c r="M93" s="37"/>
      <c r="N93" s="247"/>
      <c r="O93" s="247"/>
      <c r="P93" s="247"/>
      <c r="Q93" s="247"/>
      <c r="R93" s="247"/>
      <c r="S93" s="247"/>
      <c r="T93" s="247"/>
      <c r="U93" s="247"/>
      <c r="V93" s="247"/>
      <c r="W93" s="247"/>
      <c r="X93" s="247"/>
      <c r="Y93" s="246"/>
      <c r="Z93" s="246"/>
      <c r="AA93" s="246"/>
      <c r="AB93" s="246"/>
      <c r="AL93" s="247"/>
      <c r="AM93" s="247"/>
      <c r="AV93" s="322"/>
      <c r="AW93" s="322"/>
      <c r="AX93" s="322"/>
      <c r="AY93" s="322"/>
      <c r="AZ93" s="322"/>
      <c r="BA93" s="322"/>
      <c r="BB93" s="322"/>
      <c r="BC93" s="322"/>
      <c r="BD93" s="322"/>
      <c r="BE93" s="322"/>
      <c r="BF93" s="322"/>
      <c r="BG93" s="322"/>
      <c r="BH93" s="322"/>
      <c r="BI93" s="322"/>
      <c r="BJ93" s="322"/>
      <c r="BK93" s="322"/>
      <c r="BL93" s="322"/>
      <c r="BM93" s="322"/>
      <c r="BN93" s="322"/>
      <c r="BO93" s="322"/>
      <c r="BP93" s="322"/>
      <c r="BQ93" s="322"/>
      <c r="BR93" s="322"/>
      <c r="BS93" s="322"/>
      <c r="BT93" s="322"/>
      <c r="BU93" s="322"/>
      <c r="BV93" s="322"/>
      <c r="BW93" s="322"/>
      <c r="BX93" s="322"/>
      <c r="BY93" s="322"/>
      <c r="BZ93" s="322"/>
      <c r="CA93" s="322"/>
      <c r="CB93" s="322"/>
      <c r="CC93" s="322"/>
      <c r="CD93" s="322"/>
      <c r="CE93" s="322"/>
      <c r="CF93" s="322"/>
      <c r="CG93" s="322"/>
      <c r="CH93" s="322"/>
      <c r="CI93" s="322"/>
      <c r="CJ93" s="322"/>
      <c r="CK93" s="322"/>
      <c r="CL93" s="322"/>
      <c r="CM93" s="322"/>
      <c r="CN93" s="322"/>
      <c r="CO93" s="322"/>
      <c r="CP93" s="322"/>
      <c r="CQ93" s="322"/>
      <c r="CR93" s="322"/>
      <c r="CS93" s="322"/>
      <c r="CT93" s="322"/>
    </row>
    <row r="94" spans="1:100" s="250" customFormat="1" ht="12.75" customHeight="1" x14ac:dyDescent="0.2">
      <c r="A94" s="1580" t="s">
        <v>272</v>
      </c>
      <c r="B94" s="1581"/>
      <c r="C94" s="1581"/>
      <c r="D94" s="1581"/>
      <c r="E94" s="1581"/>
      <c r="F94" s="1581"/>
      <c r="G94" s="1581"/>
      <c r="H94" s="1581"/>
      <c r="I94" s="1581"/>
      <c r="J94" s="1581"/>
      <c r="K94" s="1581"/>
      <c r="L94" s="1581"/>
      <c r="M94" s="1581"/>
      <c r="N94" s="1581"/>
      <c r="O94" s="1581"/>
      <c r="P94" s="1581"/>
      <c r="Q94" s="1581"/>
      <c r="R94" s="1581"/>
      <c r="S94" s="1581"/>
      <c r="T94" s="1581"/>
      <c r="U94" s="1581"/>
      <c r="V94" s="1581"/>
      <c r="W94" s="1582"/>
      <c r="X94" s="137"/>
      <c r="Y94" s="1626" t="s">
        <v>535</v>
      </c>
      <c r="Z94" s="1627"/>
      <c r="AA94" s="2166" t="s">
        <v>793</v>
      </c>
      <c r="AB94" s="2166"/>
      <c r="AC94" s="2166"/>
      <c r="AD94" s="2166"/>
      <c r="AE94" s="2166"/>
      <c r="AF94" s="2167"/>
      <c r="AI94" s="707"/>
      <c r="AJ94"/>
      <c r="AK94"/>
      <c r="AL94"/>
      <c r="AM94"/>
      <c r="AN94"/>
      <c r="AU94" s="396"/>
      <c r="AW94" s="323"/>
      <c r="AX94" s="323"/>
      <c r="AY94" s="323"/>
      <c r="AZ94" s="323"/>
      <c r="BA94" s="323"/>
      <c r="BB94" s="323"/>
      <c r="BC94" s="323"/>
      <c r="BD94" s="323"/>
      <c r="BE94" s="323"/>
      <c r="BF94" s="323"/>
      <c r="BG94" s="323"/>
      <c r="BH94" s="323"/>
      <c r="BI94" s="323"/>
      <c r="BJ94" s="323"/>
      <c r="BK94" s="323"/>
      <c r="BL94" s="323"/>
      <c r="BM94" s="323"/>
      <c r="BN94" s="323"/>
      <c r="BO94" s="323"/>
      <c r="BP94" s="323"/>
      <c r="BQ94" s="323"/>
      <c r="BR94" s="323"/>
      <c r="BS94" s="323"/>
      <c r="BT94" s="323"/>
      <c r="BU94" s="323"/>
      <c r="BV94" s="323"/>
      <c r="BW94" s="323"/>
      <c r="BX94" s="323"/>
      <c r="BY94" s="323"/>
      <c r="BZ94" s="323"/>
      <c r="CA94" s="323"/>
      <c r="CB94" s="323"/>
      <c r="CC94" s="323"/>
      <c r="CD94" s="323"/>
      <c r="CE94" s="323"/>
      <c r="CF94" s="323"/>
      <c r="CG94" s="323"/>
      <c r="CH94" s="323"/>
      <c r="CI94" s="323"/>
      <c r="CJ94" s="323"/>
      <c r="CK94" s="323"/>
      <c r="CL94" s="323"/>
      <c r="CM94" s="323"/>
      <c r="CN94" s="323"/>
      <c r="CO94" s="323"/>
      <c r="CP94" s="323"/>
      <c r="CQ94" s="323"/>
      <c r="CR94" s="323"/>
      <c r="CS94" s="323"/>
      <c r="CT94" s="323"/>
      <c r="CU94" s="323"/>
    </row>
    <row r="95" spans="1:100" s="266" customFormat="1" ht="12.75" customHeight="1" x14ac:dyDescent="0.2">
      <c r="A95" s="1583" t="s">
        <v>156</v>
      </c>
      <c r="B95" s="1584"/>
      <c r="C95" s="1584"/>
      <c r="D95" s="1584"/>
      <c r="E95" s="1584"/>
      <c r="F95" s="1584"/>
      <c r="G95" s="1584"/>
      <c r="H95" s="1584"/>
      <c r="I95" s="1584"/>
      <c r="J95" s="1585"/>
      <c r="K95" s="2191" t="s">
        <v>157</v>
      </c>
      <c r="L95" s="2192"/>
      <c r="M95" s="2192"/>
      <c r="N95" s="2193"/>
      <c r="O95" s="2191" t="s">
        <v>788</v>
      </c>
      <c r="P95" s="2192"/>
      <c r="Q95" s="2193"/>
      <c r="R95" s="2191" t="s">
        <v>6</v>
      </c>
      <c r="S95" s="2192"/>
      <c r="T95" s="2193"/>
      <c r="U95" s="2282" t="s">
        <v>620</v>
      </c>
      <c r="V95" s="2283"/>
      <c r="W95" s="2284"/>
      <c r="X95" s="397"/>
      <c r="Y95" s="1639"/>
      <c r="Z95" s="1640"/>
      <c r="AA95" s="2168"/>
      <c r="AB95" s="2168"/>
      <c r="AC95" s="2168"/>
      <c r="AD95" s="2168"/>
      <c r="AE95" s="2168"/>
      <c r="AF95" s="2169"/>
      <c r="AG95"/>
      <c r="AH95"/>
      <c r="AI95"/>
      <c r="AJ95" s="2"/>
      <c r="AK95" s="2"/>
      <c r="AL95" s="2"/>
      <c r="AM95" s="2"/>
      <c r="AN95" s="2"/>
      <c r="AW95" s="322"/>
      <c r="AX95" s="322"/>
      <c r="AY95" s="322"/>
      <c r="AZ95" s="322"/>
      <c r="BA95" s="322"/>
      <c r="BB95" s="322"/>
      <c r="BC95" s="322"/>
      <c r="BD95" s="322"/>
      <c r="BE95" s="322"/>
      <c r="BF95" s="322"/>
      <c r="BG95" s="322"/>
      <c r="BH95" s="322"/>
      <c r="BI95" s="322"/>
      <c r="BJ95" s="322"/>
      <c r="BK95" s="322"/>
      <c r="BL95" s="322"/>
      <c r="BM95" s="322"/>
      <c r="BN95" s="322"/>
      <c r="BO95" s="322"/>
      <c r="BP95" s="322"/>
      <c r="BQ95" s="322"/>
      <c r="BR95" s="322"/>
      <c r="BS95" s="322"/>
      <c r="BT95" s="322"/>
      <c r="BU95" s="322"/>
      <c r="BV95" s="322"/>
      <c r="BW95" s="322"/>
      <c r="BX95" s="322"/>
      <c r="BY95" s="322"/>
      <c r="BZ95" s="322"/>
      <c r="CA95" s="322"/>
      <c r="CB95" s="322"/>
      <c r="CC95" s="322"/>
      <c r="CD95" s="322"/>
      <c r="CE95" s="322"/>
      <c r="CF95" s="322"/>
      <c r="CG95" s="322"/>
      <c r="CH95" s="322"/>
      <c r="CI95" s="322"/>
      <c r="CJ95" s="322"/>
      <c r="CK95" s="322"/>
      <c r="CL95" s="322"/>
      <c r="CM95" s="322"/>
      <c r="CN95" s="322"/>
      <c r="CO95" s="322"/>
      <c r="CP95" s="322"/>
      <c r="CQ95" s="322"/>
      <c r="CR95" s="322"/>
      <c r="CS95" s="322"/>
      <c r="CT95" s="322"/>
      <c r="CU95" s="322"/>
    </row>
    <row r="96" spans="1:100" s="266" customFormat="1" ht="12.75" customHeight="1" x14ac:dyDescent="0.2">
      <c r="A96" s="1586"/>
      <c r="B96" s="1587"/>
      <c r="C96" s="1587"/>
      <c r="D96" s="1587"/>
      <c r="E96" s="1587"/>
      <c r="F96" s="1587"/>
      <c r="G96" s="1587"/>
      <c r="H96" s="1587"/>
      <c r="I96" s="1587"/>
      <c r="J96" s="1588"/>
      <c r="K96" s="2202"/>
      <c r="L96" s="2203"/>
      <c r="M96" s="2203"/>
      <c r="N96" s="2204"/>
      <c r="O96" s="1959" t="s">
        <v>32</v>
      </c>
      <c r="P96" s="1960"/>
      <c r="Q96" s="1961"/>
      <c r="R96" s="1959" t="s">
        <v>271</v>
      </c>
      <c r="S96" s="1960"/>
      <c r="T96" s="1961"/>
      <c r="U96" s="2144" t="s">
        <v>273</v>
      </c>
      <c r="V96" s="2145"/>
      <c r="W96" s="2146"/>
      <c r="X96" s="1609"/>
      <c r="Y96" s="1609"/>
      <c r="Z96" s="2"/>
      <c r="AA96" s="2"/>
      <c r="AB96" s="2"/>
      <c r="AC96" s="2"/>
      <c r="AD96" s="2"/>
      <c r="AE96" s="2"/>
      <c r="AF96" s="2"/>
      <c r="AG96" s="2"/>
      <c r="AH96" s="2"/>
      <c r="AI96" s="2"/>
      <c r="AJ96" s="2"/>
      <c r="AK96" s="2"/>
      <c r="AL96" s="2"/>
      <c r="AM96" s="2"/>
      <c r="AN96" s="2"/>
      <c r="AR96" s="2159"/>
      <c r="AS96" s="2159"/>
      <c r="AW96" s="322"/>
      <c r="AX96" s="322"/>
      <c r="AY96" s="322"/>
      <c r="AZ96" s="322"/>
      <c r="BA96" s="322"/>
      <c r="BB96" s="322"/>
      <c r="BC96" s="322"/>
      <c r="BD96" s="322"/>
      <c r="BE96" s="322"/>
      <c r="BF96" s="322"/>
      <c r="BG96" s="322"/>
      <c r="BH96" s="322"/>
      <c r="BI96" s="322"/>
      <c r="BJ96" s="322"/>
      <c r="BK96" s="322"/>
      <c r="BL96" s="322"/>
      <c r="BM96" s="322"/>
      <c r="BN96" s="322"/>
      <c r="BO96" s="322"/>
      <c r="BP96" s="322"/>
      <c r="BQ96" s="322"/>
      <c r="BR96" s="322"/>
      <c r="BS96" s="322"/>
      <c r="BT96" s="322"/>
      <c r="BU96" s="322"/>
      <c r="BV96" s="322"/>
      <c r="BW96" s="322"/>
      <c r="BX96" s="322"/>
      <c r="BY96" s="322"/>
      <c r="BZ96" s="322"/>
      <c r="CA96" s="322"/>
      <c r="CB96" s="322"/>
      <c r="CC96" s="322"/>
      <c r="CD96" s="322"/>
      <c r="CE96" s="322"/>
      <c r="CF96" s="322"/>
      <c r="CG96" s="322"/>
      <c r="CH96" s="322"/>
      <c r="CI96" s="322"/>
      <c r="CJ96" s="322"/>
      <c r="CK96" s="322"/>
      <c r="CL96" s="322"/>
      <c r="CM96" s="322"/>
      <c r="CN96" s="322"/>
      <c r="CO96" s="322"/>
      <c r="CP96" s="322"/>
      <c r="CQ96" s="322"/>
      <c r="CR96" s="322"/>
      <c r="CS96" s="322"/>
      <c r="CT96" s="322"/>
      <c r="CU96" s="322"/>
    </row>
    <row r="97" spans="1:107" s="266" customFormat="1" ht="12.75" customHeight="1" x14ac:dyDescent="0.2">
      <c r="A97" s="1610" t="s">
        <v>785</v>
      </c>
      <c r="B97" s="1611"/>
      <c r="C97" s="1611"/>
      <c r="D97" s="1611"/>
      <c r="E97" s="1611"/>
      <c r="F97" s="1611"/>
      <c r="G97" s="1611"/>
      <c r="H97" s="1611"/>
      <c r="I97" s="1611"/>
      <c r="J97" s="1612"/>
      <c r="K97" s="2326" t="s">
        <v>268</v>
      </c>
      <c r="L97" s="2327"/>
      <c r="M97" s="2327"/>
      <c r="N97" s="2328"/>
      <c r="O97" s="1953">
        <f>2.42/3.6</f>
        <v>0.67222222222222217</v>
      </c>
      <c r="P97" s="1954"/>
      <c r="Q97" s="1955"/>
      <c r="R97" s="1953">
        <v>0.14000000000000001</v>
      </c>
      <c r="S97" s="1954"/>
      <c r="T97" s="1955"/>
      <c r="U97" s="2163">
        <v>161.53</v>
      </c>
      <c r="V97" s="2164"/>
      <c r="W97" s="2165"/>
      <c r="X97" s="1613"/>
      <c r="Y97" s="1613"/>
      <c r="Z97" s="2"/>
      <c r="AA97" s="2"/>
      <c r="AB97" s="2"/>
      <c r="AC97" s="2"/>
      <c r="AD97" s="2"/>
      <c r="AE97" s="2"/>
      <c r="AF97" s="2"/>
      <c r="AG97" s="2"/>
      <c r="AH97" s="2"/>
      <c r="AI97" s="2"/>
      <c r="AJ97" s="2"/>
      <c r="AK97" s="2"/>
      <c r="AL97" s="2"/>
      <c r="AM97" s="2"/>
      <c r="AN97" s="2"/>
      <c r="AO97" s="2160"/>
      <c r="AP97" s="2160"/>
      <c r="AR97" s="2159"/>
      <c r="AS97" s="2159"/>
      <c r="AW97" s="322"/>
      <c r="AX97" s="322"/>
      <c r="AY97" s="322"/>
      <c r="AZ97" s="322"/>
      <c r="BA97" s="322"/>
      <c r="BB97" s="322"/>
      <c r="BC97" s="322"/>
      <c r="BD97" s="322"/>
      <c r="BE97" s="322"/>
      <c r="BF97" s="322"/>
      <c r="BG97" s="322"/>
      <c r="BH97" s="322"/>
      <c r="BI97" s="322"/>
      <c r="BJ97" s="322"/>
      <c r="BK97" s="322"/>
      <c r="BL97" s="322"/>
      <c r="BM97" s="322"/>
      <c r="BN97" s="322"/>
      <c r="BO97" s="322"/>
      <c r="BP97" s="322"/>
      <c r="BQ97" s="322"/>
      <c r="BR97" s="322"/>
      <c r="BS97" s="322"/>
      <c r="BT97" s="322"/>
      <c r="BU97" s="322"/>
      <c r="BV97" s="322"/>
      <c r="BW97" s="322"/>
      <c r="BX97" s="322"/>
      <c r="BY97" s="322"/>
      <c r="BZ97" s="322"/>
      <c r="CA97" s="322"/>
      <c r="CB97" s="322"/>
      <c r="CC97" s="322"/>
      <c r="CD97" s="322"/>
      <c r="CE97" s="322"/>
      <c r="CF97" s="322"/>
      <c r="CG97" s="322"/>
      <c r="CH97" s="322"/>
      <c r="CI97" s="322"/>
      <c r="CJ97" s="322"/>
      <c r="CK97" s="322"/>
      <c r="CL97" s="322"/>
      <c r="CM97" s="322"/>
      <c r="CN97" s="322"/>
      <c r="CO97" s="322"/>
      <c r="CP97" s="322"/>
      <c r="CQ97" s="322"/>
      <c r="CR97" s="322"/>
      <c r="CS97" s="322"/>
      <c r="CT97" s="322"/>
      <c r="CU97" s="322"/>
    </row>
    <row r="98" spans="1:107" s="266" customFormat="1" ht="12.75" customHeight="1" x14ac:dyDescent="0.2">
      <c r="A98" s="1637" t="s">
        <v>786</v>
      </c>
      <c r="B98" s="1615"/>
      <c r="C98" s="1615"/>
      <c r="D98" s="1615"/>
      <c r="E98" s="1615"/>
      <c r="F98" s="1615"/>
      <c r="G98" s="1615"/>
      <c r="H98" s="1615"/>
      <c r="I98" s="1615"/>
      <c r="J98" s="1616"/>
      <c r="K98" s="2001" t="s">
        <v>269</v>
      </c>
      <c r="L98" s="2002"/>
      <c r="M98" s="2002"/>
      <c r="N98" s="2003"/>
      <c r="O98" s="1956">
        <f>13.32/3.6</f>
        <v>3.7</v>
      </c>
      <c r="P98" s="1957"/>
      <c r="Q98" s="1958"/>
      <c r="R98" s="1956">
        <v>1.22</v>
      </c>
      <c r="S98" s="1957"/>
      <c r="T98" s="1958"/>
      <c r="U98" s="2141">
        <v>1765.14</v>
      </c>
      <c r="V98" s="2142"/>
      <c r="W98" s="2143"/>
      <c r="X98" s="1613"/>
      <c r="Y98" s="1613"/>
      <c r="Z98" s="2"/>
      <c r="AA98" s="2"/>
      <c r="AB98" s="2"/>
      <c r="AC98" s="2"/>
      <c r="AD98" s="2"/>
      <c r="AE98" s="2"/>
      <c r="AF98" s="2"/>
      <c r="AG98" s="2"/>
      <c r="AH98" s="2"/>
      <c r="AI98" s="2"/>
      <c r="AJ98" s="2"/>
      <c r="AK98" s="2"/>
      <c r="AL98" s="2"/>
      <c r="AM98" s="2"/>
      <c r="AN98" s="2"/>
      <c r="AO98" s="2160"/>
      <c r="AP98" s="2160"/>
      <c r="AR98" s="2159"/>
      <c r="AS98" s="2159"/>
      <c r="AW98" s="322"/>
      <c r="AX98" s="322"/>
      <c r="AY98" s="322"/>
      <c r="AZ98" s="322"/>
      <c r="BA98" s="322"/>
      <c r="BB98" s="322"/>
      <c r="BC98" s="322"/>
      <c r="BD98" s="322"/>
      <c r="BE98" s="322"/>
      <c r="BF98" s="322"/>
      <c r="BG98" s="322"/>
      <c r="BH98" s="322"/>
      <c r="BI98" s="322"/>
      <c r="BJ98" s="322"/>
      <c r="BK98" s="322"/>
      <c r="BL98" s="322"/>
      <c r="BM98" s="322"/>
      <c r="BN98" s="322"/>
      <c r="BO98" s="322"/>
      <c r="BP98" s="322"/>
      <c r="BQ98" s="322"/>
      <c r="BR98" s="322"/>
      <c r="BS98" s="322"/>
      <c r="BT98" s="322"/>
      <c r="BU98" s="322"/>
      <c r="BV98" s="322"/>
      <c r="BW98" s="322"/>
      <c r="BX98" s="322"/>
      <c r="BY98" s="322"/>
      <c r="BZ98" s="322"/>
      <c r="CA98" s="322"/>
      <c r="CB98" s="322"/>
      <c r="CC98" s="322"/>
      <c r="CD98" s="322"/>
      <c r="CE98" s="322"/>
      <c r="CF98" s="322"/>
      <c r="CG98" s="322"/>
      <c r="CH98" s="322"/>
      <c r="CI98" s="322"/>
      <c r="CJ98" s="322"/>
      <c r="CK98" s="322"/>
      <c r="CL98" s="322"/>
      <c r="CM98" s="322"/>
      <c r="CN98" s="322"/>
      <c r="CO98" s="322"/>
      <c r="CP98" s="322"/>
      <c r="CQ98" s="322"/>
      <c r="CR98" s="322"/>
      <c r="CS98" s="322"/>
      <c r="CT98" s="322"/>
      <c r="CU98" s="322"/>
    </row>
    <row r="99" spans="1:107" s="266" customFormat="1" ht="12.75" customHeight="1" x14ac:dyDescent="0.2">
      <c r="A99" s="1637" t="s">
        <v>787</v>
      </c>
      <c r="B99" s="1615"/>
      <c r="C99" s="1615"/>
      <c r="D99" s="1615"/>
      <c r="E99" s="1615"/>
      <c r="F99" s="1615"/>
      <c r="G99" s="1615"/>
      <c r="H99" s="1615"/>
      <c r="I99" s="1615"/>
      <c r="J99" s="1616"/>
      <c r="K99" s="2001" t="s">
        <v>269</v>
      </c>
      <c r="L99" s="2002"/>
      <c r="M99" s="2002"/>
      <c r="N99" s="2003"/>
      <c r="O99" s="1956">
        <f>14.35/3.6</f>
        <v>3.9861111111111107</v>
      </c>
      <c r="P99" s="1957"/>
      <c r="Q99" s="1958"/>
      <c r="R99" s="1956">
        <v>1.47</v>
      </c>
      <c r="S99" s="1957"/>
      <c r="T99" s="1958"/>
      <c r="U99" s="2141">
        <v>2071.7199999999998</v>
      </c>
      <c r="V99" s="2142"/>
      <c r="W99" s="2143"/>
      <c r="X99" s="1613"/>
      <c r="Y99" s="1613"/>
      <c r="Z99" s="2"/>
      <c r="AA99" s="2"/>
      <c r="AB99" s="2"/>
      <c r="AC99" s="2"/>
      <c r="AD99" s="2"/>
      <c r="AE99" s="2"/>
      <c r="AF99" s="2"/>
      <c r="AG99" s="2"/>
      <c r="AH99" s="2"/>
      <c r="AI99" s="2"/>
      <c r="AJ99" s="2"/>
      <c r="AK99" s="2"/>
      <c r="AL99" s="2"/>
      <c r="AM99" s="2"/>
      <c r="AN99" s="2"/>
      <c r="AO99" s="2160"/>
      <c r="AP99" s="2160"/>
      <c r="AR99" s="2159"/>
      <c r="AS99" s="2159"/>
      <c r="AW99" s="322"/>
      <c r="AX99" s="322"/>
      <c r="AY99" s="322"/>
      <c r="AZ99" s="322"/>
      <c r="BA99" s="322"/>
      <c r="BB99" s="322"/>
      <c r="BC99" s="322"/>
      <c r="BD99" s="322"/>
      <c r="BE99" s="322"/>
      <c r="BF99" s="322"/>
      <c r="BG99" s="322"/>
      <c r="BH99" s="322"/>
      <c r="BI99" s="322"/>
      <c r="BJ99" s="322"/>
      <c r="BK99" s="322"/>
      <c r="BL99" s="322"/>
      <c r="BM99" s="322"/>
      <c r="BN99" s="322"/>
      <c r="BO99" s="322"/>
      <c r="BP99" s="322"/>
      <c r="BQ99" s="322"/>
      <c r="BR99" s="322"/>
      <c r="BS99" s="322"/>
      <c r="BT99" s="322"/>
      <c r="BU99" s="322"/>
      <c r="BV99" s="322"/>
      <c r="BW99" s="322"/>
      <c r="BX99" s="322"/>
      <c r="BY99" s="322"/>
      <c r="BZ99" s="322"/>
      <c r="CA99" s="322"/>
      <c r="CB99" s="322"/>
      <c r="CC99" s="322"/>
      <c r="CD99" s="322"/>
      <c r="CE99" s="322"/>
      <c r="CF99" s="322"/>
      <c r="CG99" s="322"/>
      <c r="CH99" s="322"/>
      <c r="CI99" s="322"/>
      <c r="CJ99" s="322"/>
      <c r="CK99" s="322"/>
      <c r="CL99" s="322"/>
      <c r="CM99" s="322"/>
      <c r="CN99" s="322"/>
      <c r="CO99" s="322"/>
      <c r="CP99" s="322"/>
      <c r="CQ99" s="322"/>
      <c r="CR99" s="322"/>
      <c r="CS99" s="322"/>
      <c r="CT99" s="322"/>
      <c r="CU99" s="322"/>
    </row>
    <row r="100" spans="1:107" s="266" customFormat="1" ht="12.75" customHeight="1" x14ac:dyDescent="0.2">
      <c r="A100" s="1614" t="s">
        <v>789</v>
      </c>
      <c r="B100" s="1615"/>
      <c r="C100" s="1615"/>
      <c r="D100" s="1615"/>
      <c r="E100" s="1615"/>
      <c r="F100" s="1615"/>
      <c r="G100" s="1615"/>
      <c r="H100" s="1615"/>
      <c r="I100" s="1615"/>
      <c r="J100" s="1616"/>
      <c r="K100" s="1963" t="s">
        <v>96</v>
      </c>
      <c r="L100" s="1964"/>
      <c r="M100" s="1964"/>
      <c r="N100" s="1965"/>
      <c r="O100" s="1956">
        <f>1161.83/3.6</f>
        <v>322.73055555555555</v>
      </c>
      <c r="P100" s="1957"/>
      <c r="Q100" s="1958"/>
      <c r="R100" s="1956">
        <v>61.3</v>
      </c>
      <c r="S100" s="1957"/>
      <c r="T100" s="1958"/>
      <c r="U100" s="2141">
        <v>98669.62</v>
      </c>
      <c r="V100" s="2142"/>
      <c r="W100" s="2143"/>
      <c r="X100" s="1613"/>
      <c r="Y100" s="1613"/>
      <c r="Z100" s="2"/>
      <c r="AA100" s="2"/>
      <c r="AB100" s="2"/>
      <c r="AC100" s="2"/>
      <c r="AD100" s="2"/>
      <c r="AE100" s="2"/>
      <c r="AF100" s="2"/>
      <c r="AG100" s="2"/>
      <c r="AH100" s="2"/>
      <c r="AI100" s="2"/>
      <c r="AJ100" s="2"/>
      <c r="AK100" s="2"/>
      <c r="AL100" s="2"/>
      <c r="AM100" s="2"/>
      <c r="AN100" s="2"/>
      <c r="AO100" s="2160"/>
      <c r="AP100" s="2160"/>
      <c r="AW100" s="322"/>
      <c r="AX100" s="322"/>
      <c r="AY100" s="322"/>
      <c r="AZ100" s="322"/>
      <c r="BA100" s="322"/>
      <c r="BB100" s="322"/>
      <c r="BC100" s="322"/>
      <c r="BD100" s="322"/>
      <c r="BE100" s="322"/>
      <c r="BF100" s="322"/>
      <c r="BG100" s="322"/>
      <c r="BH100" s="322"/>
      <c r="BI100" s="322"/>
      <c r="BJ100" s="322"/>
      <c r="BK100" s="322"/>
      <c r="BL100" s="322"/>
      <c r="BM100" s="322"/>
      <c r="BN100" s="322"/>
      <c r="BO100" s="322"/>
      <c r="BP100" s="322"/>
      <c r="BQ100" s="322"/>
      <c r="BR100" s="322"/>
      <c r="BS100" s="322"/>
      <c r="BT100" s="322"/>
      <c r="BU100" s="322"/>
      <c r="BV100" s="322"/>
      <c r="BW100" s="322"/>
      <c r="BX100" s="322"/>
      <c r="BY100" s="322"/>
      <c r="BZ100" s="322"/>
      <c r="CA100" s="322"/>
      <c r="CB100" s="322"/>
      <c r="CC100" s="322"/>
      <c r="CD100" s="322"/>
      <c r="CE100" s="322"/>
      <c r="CF100" s="322"/>
      <c r="CG100" s="322"/>
      <c r="CH100" s="322"/>
      <c r="CI100" s="322"/>
      <c r="CJ100" s="322"/>
      <c r="CK100" s="322"/>
      <c r="CL100" s="322"/>
      <c r="CM100" s="322"/>
      <c r="CN100" s="322"/>
      <c r="CO100" s="322"/>
      <c r="CP100" s="322"/>
      <c r="CQ100" s="322"/>
      <c r="CR100" s="322"/>
      <c r="CS100" s="322"/>
      <c r="CT100" s="322"/>
      <c r="CU100" s="322"/>
    </row>
    <row r="101" spans="1:107" s="266" customFormat="1" ht="12.75" customHeight="1" x14ac:dyDescent="0.2">
      <c r="A101" s="1638" t="s">
        <v>790</v>
      </c>
      <c r="B101" s="1615"/>
      <c r="C101" s="1615"/>
      <c r="D101" s="1615"/>
      <c r="E101" s="1615"/>
      <c r="F101" s="1615"/>
      <c r="G101" s="1615"/>
      <c r="H101" s="1615"/>
      <c r="I101" s="1615"/>
      <c r="J101" s="1616"/>
      <c r="K101" s="1963" t="s">
        <v>267</v>
      </c>
      <c r="L101" s="1964"/>
      <c r="M101" s="1964"/>
      <c r="N101" s="1965"/>
      <c r="O101" s="1956">
        <f>0.47/3.6*100</f>
        <v>13.055555555555554</v>
      </c>
      <c r="P101" s="1957"/>
      <c r="Q101" s="1958"/>
      <c r="R101" s="1956">
        <f>0.03*100</f>
        <v>3</v>
      </c>
      <c r="S101" s="1957"/>
      <c r="T101" s="1958"/>
      <c r="U101" s="2141">
        <f>55.02*100</f>
        <v>5502</v>
      </c>
      <c r="V101" s="2142"/>
      <c r="W101" s="2143"/>
      <c r="X101" s="1613"/>
      <c r="Y101" s="1613"/>
      <c r="Z101" s="2"/>
      <c r="AA101" s="2"/>
      <c r="AB101" s="2"/>
      <c r="AC101" s="2"/>
      <c r="AD101" s="2"/>
      <c r="AE101" s="2"/>
      <c r="AF101" s="2"/>
      <c r="AG101" s="2"/>
      <c r="AH101" s="2"/>
      <c r="AI101" s="2"/>
      <c r="AJ101" s="2"/>
      <c r="AK101" s="2"/>
      <c r="AL101" s="2"/>
      <c r="AM101" s="2"/>
      <c r="AN101" s="2"/>
      <c r="AW101" s="322"/>
      <c r="AX101" s="322"/>
      <c r="AY101" s="322"/>
      <c r="AZ101" s="322"/>
      <c r="BA101" s="322"/>
      <c r="BB101" s="322"/>
      <c r="BC101" s="322"/>
      <c r="BD101" s="322"/>
      <c r="BE101" s="322"/>
      <c r="BF101" s="322"/>
      <c r="BG101" s="322"/>
      <c r="BH101" s="322"/>
      <c r="BI101" s="322"/>
      <c r="BJ101" s="322"/>
      <c r="BK101" s="322"/>
      <c r="BL101" s="322"/>
      <c r="BM101" s="322"/>
      <c r="BN101" s="322"/>
      <c r="BO101" s="322"/>
      <c r="BP101" s="322"/>
      <c r="BQ101" s="322"/>
      <c r="BR101" s="322"/>
      <c r="BS101" s="322"/>
      <c r="BT101" s="322"/>
      <c r="BU101" s="322"/>
      <c r="BV101" s="322"/>
      <c r="BW101" s="322"/>
      <c r="BX101" s="322"/>
      <c r="BY101" s="322"/>
      <c r="BZ101" s="322"/>
      <c r="CA101" s="322"/>
      <c r="CB101" s="322"/>
      <c r="CC101" s="322"/>
      <c r="CD101" s="322"/>
      <c r="CE101" s="322"/>
      <c r="CF101" s="322"/>
      <c r="CG101" s="322"/>
      <c r="CH101" s="322"/>
      <c r="CI101" s="322"/>
      <c r="CJ101" s="322"/>
      <c r="CK101" s="322"/>
      <c r="CL101" s="322"/>
      <c r="CM101" s="322"/>
      <c r="CN101" s="322"/>
      <c r="CO101" s="322"/>
      <c r="CP101" s="322"/>
      <c r="CQ101" s="322"/>
      <c r="CR101" s="322"/>
      <c r="CS101" s="322"/>
      <c r="CT101" s="322"/>
      <c r="CU101" s="322"/>
    </row>
    <row r="102" spans="1:107" s="266" customFormat="1" ht="12.75" customHeight="1" x14ac:dyDescent="0.2">
      <c r="A102" s="1637" t="s">
        <v>791</v>
      </c>
      <c r="B102" s="1615"/>
      <c r="C102" s="1615"/>
      <c r="D102" s="1615"/>
      <c r="E102" s="1615"/>
      <c r="F102" s="1615"/>
      <c r="G102" s="1615"/>
      <c r="H102" s="1615"/>
      <c r="I102" s="1615"/>
      <c r="J102" s="1616"/>
      <c r="K102" s="1963" t="s">
        <v>267</v>
      </c>
      <c r="L102" s="1964"/>
      <c r="M102" s="1964"/>
      <c r="N102" s="1965"/>
      <c r="O102" s="1956">
        <f>3.47/3.6*100</f>
        <v>96.388888888888886</v>
      </c>
      <c r="P102" s="1957"/>
      <c r="Q102" s="1958"/>
      <c r="R102" s="1956">
        <f>0.19*100</f>
        <v>19</v>
      </c>
      <c r="S102" s="1957"/>
      <c r="T102" s="1958"/>
      <c r="U102" s="2141">
        <f>218.48*100</f>
        <v>21848</v>
      </c>
      <c r="V102" s="2142"/>
      <c r="W102" s="2143"/>
      <c r="X102" s="1613"/>
      <c r="Y102" s="1613"/>
      <c r="Z102" s="2"/>
      <c r="AA102" s="2"/>
      <c r="AB102" s="2"/>
      <c r="AC102" s="2"/>
      <c r="AD102" s="2"/>
      <c r="AE102" s="2"/>
      <c r="AF102" s="2"/>
      <c r="AG102" s="2"/>
      <c r="AH102" s="2"/>
      <c r="AI102" s="2"/>
      <c r="AJ102" s="2"/>
      <c r="AK102" s="2"/>
      <c r="AL102" s="2"/>
      <c r="AM102" s="2"/>
      <c r="AN102" s="2"/>
      <c r="AW102" s="322"/>
      <c r="AX102" s="322"/>
      <c r="AY102" s="322"/>
      <c r="AZ102" s="322"/>
      <c r="BA102" s="322"/>
      <c r="BB102" s="322"/>
      <c r="BC102" s="322"/>
      <c r="BD102" s="322"/>
      <c r="BE102" s="322"/>
      <c r="BF102" s="322"/>
      <c r="BG102" s="322"/>
      <c r="BH102" s="322"/>
      <c r="BI102" s="322"/>
      <c r="BJ102" s="322"/>
      <c r="BK102" s="322"/>
      <c r="BL102" s="322"/>
      <c r="BM102" s="322"/>
      <c r="BN102" s="322"/>
      <c r="BO102" s="322"/>
      <c r="BP102" s="322"/>
      <c r="BQ102" s="322"/>
      <c r="BR102" s="322"/>
      <c r="BS102" s="322"/>
      <c r="BT102" s="322"/>
      <c r="BU102" s="322"/>
      <c r="BV102" s="322"/>
      <c r="BW102" s="322"/>
      <c r="BX102" s="322"/>
      <c r="BY102" s="322"/>
      <c r="BZ102" s="322"/>
      <c r="CA102" s="322"/>
      <c r="CB102" s="322"/>
      <c r="CC102" s="322"/>
      <c r="CD102" s="322"/>
      <c r="CE102" s="322"/>
      <c r="CF102" s="322"/>
      <c r="CG102" s="322"/>
      <c r="CH102" s="322"/>
      <c r="CI102" s="322"/>
      <c r="CJ102" s="322"/>
      <c r="CK102" s="322"/>
      <c r="CL102" s="322"/>
      <c r="CM102" s="322"/>
      <c r="CN102" s="322"/>
      <c r="CO102" s="322"/>
      <c r="CP102" s="322"/>
      <c r="CQ102" s="322"/>
      <c r="CR102" s="322"/>
      <c r="CS102" s="322"/>
      <c r="CT102" s="322"/>
      <c r="CU102" s="322"/>
    </row>
    <row r="103" spans="1:107" s="245" customFormat="1" ht="14.95" customHeight="1" x14ac:dyDescent="0.2">
      <c r="A103" s="1617" t="s">
        <v>792</v>
      </c>
      <c r="B103" s="1618"/>
      <c r="C103" s="1618"/>
      <c r="D103" s="1618"/>
      <c r="E103" s="1618"/>
      <c r="F103" s="1618"/>
      <c r="G103" s="1618"/>
      <c r="H103" s="1618"/>
      <c r="I103" s="1618"/>
      <c r="J103" s="1619"/>
      <c r="K103" s="2329" t="s">
        <v>270</v>
      </c>
      <c r="L103" s="2330"/>
      <c r="M103" s="2330"/>
      <c r="N103" s="2331"/>
      <c r="O103" s="1935">
        <f>205.54/3.6</f>
        <v>57.094444444444441</v>
      </c>
      <c r="P103" s="1936"/>
      <c r="Q103" s="1937"/>
      <c r="R103" s="1935">
        <v>11.47</v>
      </c>
      <c r="S103" s="1936"/>
      <c r="T103" s="1937"/>
      <c r="U103" s="2273">
        <v>27046</v>
      </c>
      <c r="V103" s="2274"/>
      <c r="W103" s="2275"/>
      <c r="X103" s="1613"/>
      <c r="Y103" s="1613"/>
      <c r="Z103" s="2"/>
      <c r="AA103" s="2"/>
      <c r="AB103" s="2"/>
      <c r="AC103" s="2"/>
      <c r="AD103" s="2"/>
      <c r="AE103" s="2"/>
      <c r="AF103" s="2"/>
      <c r="AG103" s="2"/>
      <c r="AH103" s="2"/>
      <c r="AI103" s="2"/>
      <c r="AJ103"/>
      <c r="AK103"/>
      <c r="AL103"/>
      <c r="AM103"/>
      <c r="AT103" s="266"/>
      <c r="AV103" s="322"/>
      <c r="AW103" s="322"/>
      <c r="AX103" s="322"/>
      <c r="AY103" s="322"/>
      <c r="AZ103" s="322"/>
      <c r="BA103" s="322"/>
      <c r="BB103" s="322"/>
      <c r="BC103" s="322"/>
      <c r="BD103" s="322"/>
      <c r="BE103" s="322"/>
      <c r="BF103" s="322"/>
      <c r="BG103" s="322"/>
      <c r="BH103" s="322"/>
      <c r="BI103" s="322"/>
      <c r="BJ103" s="322"/>
      <c r="BK103" s="322"/>
      <c r="BL103" s="322"/>
      <c r="BM103" s="322"/>
      <c r="BN103" s="322"/>
      <c r="BO103" s="322"/>
      <c r="BP103" s="322"/>
      <c r="BQ103" s="322"/>
      <c r="BR103" s="322"/>
      <c r="BS103" s="322"/>
      <c r="BT103" s="322"/>
      <c r="BU103" s="322"/>
      <c r="BV103" s="322"/>
      <c r="BW103" s="322"/>
      <c r="BX103" s="322"/>
      <c r="BY103" s="322"/>
      <c r="BZ103" s="322"/>
      <c r="CA103" s="322"/>
      <c r="CB103" s="322"/>
      <c r="CC103" s="322"/>
      <c r="CD103" s="322"/>
      <c r="CE103" s="322"/>
      <c r="CF103" s="322"/>
      <c r="CG103" s="322"/>
      <c r="CH103" s="322"/>
      <c r="CI103" s="322"/>
      <c r="CJ103" s="322"/>
      <c r="CK103" s="322"/>
      <c r="CL103" s="322"/>
      <c r="CM103" s="322"/>
      <c r="CN103" s="322"/>
      <c r="CO103" s="322"/>
      <c r="CP103" s="322"/>
      <c r="CQ103" s="322"/>
      <c r="CR103" s="322"/>
      <c r="CS103" s="322"/>
      <c r="CT103" s="322"/>
    </row>
    <row r="104" spans="1:107" s="245" customFormat="1" ht="12.75" customHeight="1" x14ac:dyDescent="0.2">
      <c r="G104" s="246"/>
      <c r="H104" s="247"/>
      <c r="I104" s="247"/>
      <c r="J104" s="247"/>
      <c r="K104" s="247"/>
      <c r="L104" s="247"/>
      <c r="M104" s="247"/>
      <c r="N104" s="247"/>
      <c r="O104" s="247"/>
      <c r="P104" s="247"/>
      <c r="Q104" s="247"/>
      <c r="R104" s="247"/>
      <c r="S104" s="247"/>
      <c r="T104" s="247"/>
      <c r="U104" s="247"/>
      <c r="V104" s="247"/>
      <c r="W104" s="247"/>
      <c r="X104" s="247"/>
      <c r="Y104"/>
      <c r="Z104"/>
      <c r="AA104"/>
      <c r="AB104"/>
      <c r="AC104"/>
      <c r="AD104"/>
      <c r="AE104"/>
      <c r="AF104"/>
      <c r="AG104"/>
      <c r="AH104"/>
      <c r="AI104"/>
      <c r="AJ104"/>
      <c r="AK104"/>
      <c r="AL104"/>
      <c r="AM104"/>
      <c r="AN104"/>
      <c r="AO104"/>
      <c r="AP104"/>
      <c r="AQ104"/>
      <c r="AR104"/>
      <c r="AS104"/>
      <c r="AT104"/>
      <c r="AU104"/>
      <c r="AV104"/>
      <c r="BC104" s="266"/>
      <c r="BE104" s="322"/>
      <c r="BF104" s="322"/>
      <c r="BG104" s="322"/>
      <c r="BH104" s="322"/>
      <c r="BI104" s="322"/>
      <c r="BJ104" s="322"/>
      <c r="BK104" s="322"/>
      <c r="BL104" s="322"/>
      <c r="BM104" s="322"/>
      <c r="BN104" s="322"/>
      <c r="BO104" s="322"/>
      <c r="BP104" s="322"/>
      <c r="BQ104" s="322"/>
      <c r="BR104" s="322"/>
      <c r="BS104" s="322"/>
      <c r="BT104" s="322"/>
      <c r="BU104" s="322"/>
      <c r="BV104" s="322"/>
      <c r="BW104" s="322"/>
      <c r="BX104" s="322"/>
      <c r="BY104" s="322"/>
      <c r="BZ104" s="322"/>
      <c r="CA104" s="322"/>
      <c r="CB104" s="322"/>
      <c r="CC104" s="322"/>
      <c r="CD104" s="322"/>
      <c r="CE104" s="322"/>
      <c r="CF104" s="322"/>
      <c r="CG104" s="322"/>
      <c r="CH104" s="322"/>
      <c r="CI104" s="322"/>
      <c r="CJ104" s="322"/>
      <c r="CK104" s="322"/>
      <c r="CL104" s="322"/>
      <c r="CM104" s="322"/>
      <c r="CN104" s="322"/>
      <c r="CO104" s="322"/>
      <c r="CP104" s="322"/>
      <c r="CQ104" s="322"/>
      <c r="CR104" s="322"/>
      <c r="CS104" s="322"/>
      <c r="CT104" s="322"/>
      <c r="CU104" s="322"/>
      <c r="CV104" s="322"/>
      <c r="CW104" s="322"/>
      <c r="CX104" s="322"/>
      <c r="CY104" s="322"/>
      <c r="CZ104" s="322"/>
      <c r="DA104" s="322"/>
      <c r="DB104" s="322"/>
      <c r="DC104" s="322"/>
    </row>
    <row r="105" spans="1:107" s="266" customFormat="1" ht="12.75" customHeight="1" x14ac:dyDescent="0.2">
      <c r="A105" s="2276" t="s">
        <v>138</v>
      </c>
      <c r="B105" s="2277"/>
      <c r="C105" s="2277"/>
      <c r="D105" s="2277"/>
      <c r="E105" s="2277"/>
      <c r="F105" s="2277"/>
      <c r="G105" s="2277"/>
      <c r="H105" s="2277"/>
      <c r="I105" s="2277"/>
      <c r="J105" s="2277"/>
      <c r="K105" s="2277"/>
      <c r="L105" s="2277"/>
      <c r="M105" s="2278"/>
      <c r="N105" s="247"/>
      <c r="O105" s="1626" t="s">
        <v>774</v>
      </c>
      <c r="P105" s="1627"/>
      <c r="Q105" s="1627" t="s">
        <v>623</v>
      </c>
      <c r="R105" s="1627"/>
      <c r="S105" s="1627"/>
      <c r="T105" s="1627"/>
      <c r="U105" s="1627"/>
      <c r="V105" s="1627"/>
      <c r="W105" s="1627"/>
      <c r="X105" s="1627"/>
      <c r="Y105" s="1931" t="s">
        <v>775</v>
      </c>
      <c r="Z105" s="1931"/>
      <c r="AA105" s="1931"/>
      <c r="AB105" s="1931"/>
      <c r="AC105" s="1931"/>
      <c r="AD105" s="1931"/>
      <c r="AE105" s="1931"/>
      <c r="AF105" s="1932"/>
      <c r="AG105" s="247"/>
      <c r="AH105"/>
      <c r="AI105"/>
      <c r="AJ105" s="2"/>
      <c r="AK105" s="2"/>
      <c r="AL105" s="2"/>
      <c r="AM105" s="2"/>
      <c r="AV105" s="322"/>
      <c r="AW105" s="322"/>
      <c r="AX105" s="322"/>
      <c r="AY105" s="322"/>
      <c r="AZ105" s="322"/>
      <c r="BA105" s="322"/>
      <c r="BB105" s="322"/>
      <c r="BC105" s="322"/>
      <c r="BD105" s="322"/>
      <c r="BE105" s="322"/>
      <c r="BF105" s="322"/>
      <c r="BG105" s="322"/>
      <c r="BH105" s="322"/>
      <c r="BI105" s="322"/>
      <c r="BJ105" s="322"/>
      <c r="BK105" s="322"/>
      <c r="BL105" s="322"/>
      <c r="BM105" s="322"/>
      <c r="BN105" s="322"/>
      <c r="BO105" s="322"/>
      <c r="BP105" s="322"/>
      <c r="BQ105" s="322"/>
      <c r="BR105" s="322"/>
      <c r="BS105" s="322"/>
      <c r="BT105" s="322"/>
      <c r="BU105" s="322"/>
      <c r="BV105" s="322"/>
      <c r="BW105" s="322"/>
      <c r="BX105" s="322"/>
      <c r="BY105" s="322"/>
      <c r="BZ105" s="322"/>
      <c r="CA105" s="322"/>
      <c r="CB105" s="322"/>
      <c r="CC105" s="322"/>
      <c r="CD105" s="322"/>
      <c r="CE105" s="322"/>
      <c r="CF105" s="322"/>
      <c r="CG105" s="322"/>
      <c r="CH105" s="322"/>
      <c r="CI105" s="322"/>
      <c r="CJ105" s="322"/>
      <c r="CK105" s="322"/>
      <c r="CL105" s="322"/>
      <c r="CM105" s="322"/>
      <c r="CN105" s="322"/>
      <c r="CO105" s="322"/>
      <c r="CP105" s="322"/>
      <c r="CQ105" s="322"/>
      <c r="CR105" s="322"/>
      <c r="CS105" s="322"/>
      <c r="CT105" s="322"/>
    </row>
    <row r="106" spans="1:107" s="266" customFormat="1" ht="12.75" customHeight="1" x14ac:dyDescent="0.2">
      <c r="A106" s="1625" t="s">
        <v>118</v>
      </c>
      <c r="B106" s="1620"/>
      <c r="C106" s="1620"/>
      <c r="D106" s="1621"/>
      <c r="E106" s="2004" t="s">
        <v>124</v>
      </c>
      <c r="F106" s="2004"/>
      <c r="G106" s="2004"/>
      <c r="H106" s="2004" t="s">
        <v>125</v>
      </c>
      <c r="I106" s="2004"/>
      <c r="J106" s="2004"/>
      <c r="K106" s="2004" t="s">
        <v>126</v>
      </c>
      <c r="L106" s="2004"/>
      <c r="M106" s="2005"/>
      <c r="N106" s="247"/>
      <c r="O106" s="1628"/>
      <c r="P106" s="1629"/>
      <c r="Q106" s="1629" t="s">
        <v>776</v>
      </c>
      <c r="R106" s="1629"/>
      <c r="S106" s="1629"/>
      <c r="T106" s="1629"/>
      <c r="U106" s="1629"/>
      <c r="V106" s="1629"/>
      <c r="W106" s="1629"/>
      <c r="X106" s="1629"/>
      <c r="Y106" s="1933" t="s">
        <v>777</v>
      </c>
      <c r="Z106" s="1933"/>
      <c r="AA106" s="1933"/>
      <c r="AB106" s="1933"/>
      <c r="AC106" s="1933"/>
      <c r="AD106" s="1933"/>
      <c r="AE106" s="1933"/>
      <c r="AF106" s="1934"/>
      <c r="AG106" s="2"/>
      <c r="AH106" s="2"/>
      <c r="AI106" s="2"/>
      <c r="AJ106" s="2"/>
      <c r="AK106" s="2"/>
      <c r="AL106" s="2"/>
      <c r="AM106" s="2"/>
      <c r="AV106" s="322"/>
      <c r="AW106" s="322"/>
      <c r="AX106" s="322"/>
      <c r="AY106" s="322"/>
      <c r="AZ106" s="322"/>
      <c r="BA106" s="322"/>
      <c r="BB106" s="322"/>
      <c r="BC106" s="322"/>
      <c r="BD106" s="322"/>
      <c r="BE106" s="322"/>
      <c r="BF106" s="322"/>
      <c r="BG106" s="322"/>
      <c r="BH106" s="322"/>
      <c r="BI106" s="322"/>
      <c r="BJ106" s="322"/>
      <c r="BK106" s="322"/>
      <c r="BL106" s="322"/>
      <c r="BM106" s="322"/>
      <c r="BN106" s="322"/>
      <c r="BO106" s="322"/>
      <c r="BP106" s="322"/>
      <c r="BQ106" s="322"/>
      <c r="BR106" s="322"/>
      <c r="BS106" s="322"/>
      <c r="BT106" s="322"/>
      <c r="BU106" s="322"/>
      <c r="BV106" s="322"/>
      <c r="BW106" s="322"/>
      <c r="BX106" s="322"/>
      <c r="BY106" s="322"/>
      <c r="BZ106" s="322"/>
      <c r="CA106" s="322"/>
      <c r="CB106" s="322"/>
      <c r="CC106" s="322"/>
      <c r="CD106" s="322"/>
      <c r="CE106" s="322"/>
      <c r="CF106" s="322"/>
      <c r="CG106" s="322"/>
      <c r="CH106" s="322"/>
      <c r="CI106" s="322"/>
      <c r="CJ106" s="322"/>
      <c r="CK106" s="322"/>
      <c r="CL106" s="322"/>
      <c r="CM106" s="322"/>
      <c r="CN106" s="322"/>
      <c r="CO106" s="322"/>
      <c r="CP106" s="322"/>
      <c r="CQ106" s="322"/>
      <c r="CR106" s="322"/>
      <c r="CS106" s="322"/>
      <c r="CT106" s="322"/>
    </row>
    <row r="107" spans="1:107" s="245" customFormat="1" ht="12.75" customHeight="1" x14ac:dyDescent="0.2">
      <c r="A107" s="1622"/>
      <c r="B107" s="1623"/>
      <c r="C107" s="1623"/>
      <c r="D107" s="1624"/>
      <c r="E107" s="1962" t="s">
        <v>274</v>
      </c>
      <c r="F107" s="1962"/>
      <c r="G107" s="1962"/>
      <c r="H107" s="1962" t="s">
        <v>274</v>
      </c>
      <c r="I107" s="1962"/>
      <c r="J107" s="1962"/>
      <c r="K107" s="1962" t="s">
        <v>274</v>
      </c>
      <c r="L107" s="1962"/>
      <c r="M107" s="2268"/>
      <c r="N107" s="247"/>
      <c r="O107" s="247"/>
      <c r="P107" s="247"/>
      <c r="Q107" s="247"/>
      <c r="R107" s="247"/>
      <c r="S107" s="247"/>
      <c r="T107" s="247"/>
      <c r="U107" s="247"/>
      <c r="V107" s="247"/>
      <c r="W107" s="247"/>
      <c r="X107" s="247"/>
      <c r="Y107" s="2"/>
      <c r="Z107" s="2"/>
      <c r="AA107" s="2"/>
      <c r="AB107" s="2"/>
      <c r="AC107" s="2"/>
      <c r="AD107" s="2"/>
      <c r="AE107" s="2"/>
      <c r="AF107" s="2"/>
      <c r="AG107" s="2"/>
      <c r="AH107" s="2"/>
      <c r="AI107" s="2"/>
      <c r="AJ107"/>
      <c r="AK107"/>
      <c r="AL107"/>
      <c r="AM107"/>
      <c r="AT107" s="266"/>
      <c r="AV107" s="322"/>
      <c r="AW107" s="322"/>
      <c r="AX107" s="322"/>
      <c r="AY107" s="322"/>
      <c r="AZ107" s="322"/>
      <c r="BA107" s="322"/>
      <c r="BB107" s="322"/>
      <c r="BC107" s="322"/>
      <c r="BD107" s="322"/>
      <c r="BE107" s="322"/>
      <c r="BF107" s="322"/>
      <c r="BG107" s="322"/>
      <c r="BH107" s="322"/>
      <c r="BI107" s="322"/>
      <c r="BJ107" s="322"/>
      <c r="BK107" s="322"/>
      <c r="BL107" s="322"/>
      <c r="BM107" s="322"/>
      <c r="BN107" s="322"/>
      <c r="BO107" s="322"/>
      <c r="BP107" s="322"/>
      <c r="BQ107" s="322"/>
      <c r="BR107" s="322"/>
      <c r="BS107" s="322"/>
      <c r="BT107" s="322"/>
      <c r="BU107" s="322"/>
      <c r="BV107" s="322"/>
      <c r="BW107" s="322"/>
      <c r="BX107" s="322"/>
      <c r="BY107" s="322"/>
      <c r="BZ107" s="322"/>
      <c r="CA107" s="322"/>
      <c r="CB107" s="322"/>
      <c r="CC107" s="322"/>
      <c r="CD107" s="322"/>
      <c r="CE107" s="322"/>
      <c r="CF107" s="322"/>
      <c r="CG107" s="322"/>
      <c r="CH107" s="322"/>
      <c r="CI107" s="322"/>
      <c r="CJ107" s="322"/>
      <c r="CK107" s="322"/>
      <c r="CL107" s="322"/>
      <c r="CM107" s="322"/>
      <c r="CN107" s="322"/>
      <c r="CO107" s="322"/>
      <c r="CP107" s="322"/>
      <c r="CQ107" s="322"/>
      <c r="CR107" s="322"/>
      <c r="CS107" s="322"/>
      <c r="CT107" s="322"/>
    </row>
    <row r="108" spans="1:107" s="245" customFormat="1" ht="12.75" customHeight="1" x14ac:dyDescent="0.2">
      <c r="A108" s="257" t="s">
        <v>127</v>
      </c>
      <c r="B108" s="258"/>
      <c r="C108" s="258"/>
      <c r="D108" s="259"/>
      <c r="E108" s="2269">
        <v>60</v>
      </c>
      <c r="F108" s="2270"/>
      <c r="G108" s="2272"/>
      <c r="H108" s="2269">
        <v>38</v>
      </c>
      <c r="I108" s="2270"/>
      <c r="J108" s="2272"/>
      <c r="K108" s="2269">
        <v>30</v>
      </c>
      <c r="L108" s="2270"/>
      <c r="M108" s="2271"/>
      <c r="N108" s="247"/>
      <c r="O108" s="247"/>
      <c r="P108" s="247"/>
      <c r="Q108" s="247"/>
      <c r="R108" s="247"/>
      <c r="S108" s="247"/>
      <c r="T108" s="247"/>
      <c r="U108" s="247"/>
      <c r="V108" s="247"/>
      <c r="W108" s="247"/>
      <c r="X108" s="247"/>
      <c r="Y108"/>
      <c r="Z108"/>
      <c r="AA108"/>
      <c r="AB108"/>
      <c r="AC108"/>
      <c r="AD108"/>
      <c r="AE108"/>
      <c r="AF108"/>
      <c r="AG108"/>
      <c r="AH108"/>
      <c r="AI108"/>
      <c r="AJ108"/>
      <c r="AK108"/>
      <c r="AL108"/>
      <c r="AM108"/>
      <c r="AT108" s="266"/>
      <c r="AV108" s="322"/>
      <c r="AW108" s="322"/>
      <c r="AX108" s="322"/>
      <c r="AY108" s="322"/>
      <c r="AZ108" s="322"/>
      <c r="BA108" s="322"/>
      <c r="BB108" s="322"/>
      <c r="BC108" s="322"/>
      <c r="BD108" s="322"/>
      <c r="BE108" s="322"/>
      <c r="BF108" s="322"/>
      <c r="BG108" s="322"/>
      <c r="BH108" s="322"/>
      <c r="BI108" s="322"/>
      <c r="BJ108" s="322"/>
      <c r="BK108" s="322"/>
      <c r="BL108" s="322"/>
      <c r="BM108" s="322"/>
      <c r="BN108" s="322"/>
      <c r="BO108" s="322"/>
      <c r="BP108" s="322"/>
      <c r="BQ108" s="322"/>
      <c r="BR108" s="322"/>
      <c r="BS108" s="322"/>
      <c r="BT108" s="322"/>
      <c r="BU108" s="322"/>
      <c r="BV108" s="322"/>
      <c r="BW108" s="322"/>
      <c r="BX108" s="322"/>
      <c r="BY108" s="322"/>
      <c r="BZ108" s="322"/>
      <c r="CA108" s="322"/>
      <c r="CB108" s="322"/>
      <c r="CC108" s="322"/>
      <c r="CD108" s="322"/>
      <c r="CE108" s="322"/>
      <c r="CF108" s="322"/>
      <c r="CG108" s="322"/>
      <c r="CH108" s="322"/>
      <c r="CI108" s="322"/>
      <c r="CJ108" s="322"/>
      <c r="CK108" s="322"/>
      <c r="CL108" s="322"/>
      <c r="CM108" s="322"/>
      <c r="CN108" s="322"/>
      <c r="CO108" s="322"/>
      <c r="CP108" s="322"/>
      <c r="CQ108" s="322"/>
      <c r="CR108" s="322"/>
      <c r="CS108" s="322"/>
      <c r="CT108" s="322"/>
    </row>
    <row r="109" spans="1:107" s="245" customFormat="1" ht="12.75" customHeight="1" x14ac:dyDescent="0.2">
      <c r="A109" s="260" t="s">
        <v>128</v>
      </c>
      <c r="B109" s="261"/>
      <c r="C109" s="261"/>
      <c r="D109" s="262"/>
      <c r="E109" s="1983">
        <v>60</v>
      </c>
      <c r="F109" s="1984"/>
      <c r="G109" s="1985"/>
      <c r="H109" s="1983">
        <v>38</v>
      </c>
      <c r="I109" s="1984"/>
      <c r="J109" s="1985"/>
      <c r="K109" s="1983">
        <v>30</v>
      </c>
      <c r="L109" s="1984"/>
      <c r="M109" s="1990"/>
      <c r="N109" s="247"/>
      <c r="O109" s="247"/>
      <c r="P109" s="247"/>
      <c r="Q109" s="247"/>
      <c r="R109" s="247"/>
      <c r="S109" s="247"/>
      <c r="T109" s="247"/>
      <c r="U109" s="247"/>
      <c r="V109" s="247"/>
      <c r="W109" s="247"/>
      <c r="X109" s="247"/>
      <c r="Y109"/>
      <c r="Z109"/>
      <c r="AA109"/>
      <c r="AB109"/>
      <c r="AC109"/>
      <c r="AD109"/>
      <c r="AE109"/>
      <c r="AF109"/>
      <c r="AG109"/>
      <c r="AH109"/>
      <c r="AI109"/>
      <c r="AJ109"/>
      <c r="AK109"/>
      <c r="AL109"/>
      <c r="AM109"/>
      <c r="AT109" s="266"/>
      <c r="AV109" s="322"/>
      <c r="AW109" s="322"/>
      <c r="AX109" s="322"/>
      <c r="AY109" s="322"/>
      <c r="AZ109" s="322"/>
      <c r="BA109" s="322"/>
      <c r="BB109" s="322"/>
      <c r="BC109" s="322"/>
      <c r="BD109" s="322"/>
      <c r="BE109" s="322"/>
      <c r="BF109" s="322"/>
      <c r="BG109" s="322"/>
      <c r="BH109" s="322"/>
      <c r="BI109" s="322"/>
      <c r="BJ109" s="322"/>
      <c r="BK109" s="322"/>
      <c r="BL109" s="322"/>
      <c r="BM109" s="322"/>
      <c r="BN109" s="322"/>
      <c r="BO109" s="322"/>
      <c r="BP109" s="322"/>
      <c r="BQ109" s="322"/>
      <c r="BR109" s="322"/>
      <c r="BS109" s="322"/>
      <c r="BT109" s="322"/>
      <c r="BU109" s="322"/>
      <c r="BV109" s="322"/>
      <c r="BW109" s="322"/>
      <c r="BX109" s="322"/>
      <c r="BY109" s="322"/>
      <c r="BZ109" s="322"/>
      <c r="CA109" s="322"/>
      <c r="CB109" s="322"/>
      <c r="CC109" s="322"/>
      <c r="CD109" s="322"/>
      <c r="CE109" s="322"/>
      <c r="CF109" s="322"/>
      <c r="CG109" s="322"/>
      <c r="CH109" s="322"/>
      <c r="CI109" s="322"/>
      <c r="CJ109" s="322"/>
      <c r="CK109" s="322"/>
      <c r="CL109" s="322"/>
      <c r="CM109" s="322"/>
      <c r="CN109" s="322"/>
      <c r="CO109" s="322"/>
      <c r="CP109" s="322"/>
      <c r="CQ109" s="322"/>
      <c r="CR109" s="322"/>
      <c r="CS109" s="322"/>
      <c r="CT109" s="322"/>
    </row>
    <row r="110" spans="1:107" s="245" customFormat="1" ht="12.75" customHeight="1" x14ac:dyDescent="0.2">
      <c r="A110" s="260" t="s">
        <v>129</v>
      </c>
      <c r="B110" s="261"/>
      <c r="C110" s="261"/>
      <c r="D110" s="262"/>
      <c r="E110" s="1983">
        <v>55</v>
      </c>
      <c r="F110" s="1984"/>
      <c r="G110" s="1985"/>
      <c r="H110" s="1983">
        <v>40</v>
      </c>
      <c r="I110" s="1984"/>
      <c r="J110" s="1985"/>
      <c r="K110" s="1983">
        <v>25</v>
      </c>
      <c r="L110" s="1984"/>
      <c r="M110" s="1990"/>
      <c r="N110" s="247"/>
      <c r="O110" s="247"/>
      <c r="P110" s="247"/>
      <c r="Q110" s="247"/>
      <c r="R110" s="247"/>
      <c r="S110" s="247"/>
      <c r="T110" s="247"/>
      <c r="U110" s="247"/>
      <c r="V110" s="247"/>
      <c r="W110" s="247"/>
      <c r="X110" s="247"/>
      <c r="Y110"/>
      <c r="Z110"/>
      <c r="AA110"/>
      <c r="AB110"/>
      <c r="AC110"/>
      <c r="AD110"/>
      <c r="AE110"/>
      <c r="AF110"/>
      <c r="AG110"/>
      <c r="AH110"/>
      <c r="AI110"/>
      <c r="AJ110"/>
      <c r="AK110"/>
      <c r="AL110"/>
      <c r="AM110"/>
      <c r="AT110" s="266"/>
      <c r="AV110" s="322"/>
      <c r="AW110" s="322"/>
      <c r="AX110" s="322"/>
      <c r="AY110" s="322"/>
      <c r="AZ110" s="322"/>
      <c r="BA110" s="322"/>
      <c r="BB110" s="322"/>
      <c r="BC110" s="322"/>
      <c r="BD110" s="322"/>
      <c r="BE110" s="322"/>
      <c r="BF110" s="322"/>
      <c r="BG110" s="322"/>
      <c r="BH110" s="322"/>
      <c r="BI110" s="322"/>
      <c r="BJ110" s="322"/>
      <c r="BK110" s="322"/>
      <c r="BL110" s="322"/>
      <c r="BM110" s="322"/>
      <c r="BN110" s="322"/>
      <c r="BO110" s="322"/>
      <c r="BP110" s="322"/>
      <c r="BQ110" s="322"/>
      <c r="BR110" s="322"/>
      <c r="BS110" s="322"/>
      <c r="BT110" s="322"/>
      <c r="BU110" s="322"/>
      <c r="BV110" s="322"/>
      <c r="BW110" s="322"/>
      <c r="BX110" s="322"/>
      <c r="BY110" s="322"/>
      <c r="BZ110" s="322"/>
      <c r="CA110" s="322"/>
      <c r="CB110" s="322"/>
      <c r="CC110" s="322"/>
      <c r="CD110" s="322"/>
      <c r="CE110" s="322"/>
      <c r="CF110" s="322"/>
      <c r="CG110" s="322"/>
      <c r="CH110" s="322"/>
      <c r="CI110" s="322"/>
      <c r="CJ110" s="322"/>
      <c r="CK110" s="322"/>
      <c r="CL110" s="322"/>
      <c r="CM110" s="322"/>
      <c r="CN110" s="322"/>
      <c r="CO110" s="322"/>
      <c r="CP110" s="322"/>
      <c r="CQ110" s="322"/>
      <c r="CR110" s="322"/>
      <c r="CS110" s="322"/>
      <c r="CT110" s="322"/>
    </row>
    <row r="111" spans="1:107" s="245" customFormat="1" ht="12.75" customHeight="1" x14ac:dyDescent="0.2">
      <c r="A111" s="260" t="s">
        <v>130</v>
      </c>
      <c r="B111" s="261"/>
      <c r="C111" s="261"/>
      <c r="D111" s="262"/>
      <c r="E111" s="1983">
        <v>55</v>
      </c>
      <c r="F111" s="1984"/>
      <c r="G111" s="1985"/>
      <c r="H111" s="1983">
        <v>40</v>
      </c>
      <c r="I111" s="1984"/>
      <c r="J111" s="1985"/>
      <c r="K111" s="1983">
        <v>25</v>
      </c>
      <c r="L111" s="1984"/>
      <c r="M111" s="1990"/>
      <c r="N111" s="247"/>
      <c r="O111" s="247"/>
      <c r="P111" s="247"/>
      <c r="Q111" s="247"/>
      <c r="R111" s="247"/>
      <c r="S111" s="247"/>
      <c r="T111" s="247"/>
      <c r="U111" s="247"/>
      <c r="V111" s="247"/>
      <c r="W111" s="247"/>
      <c r="X111" s="247"/>
      <c r="Y111"/>
      <c r="Z111"/>
      <c r="AA111"/>
      <c r="AB111"/>
      <c r="AC111"/>
      <c r="AD111"/>
      <c r="AE111"/>
      <c r="AF111"/>
      <c r="AG111"/>
      <c r="AH111"/>
      <c r="AI111"/>
      <c r="AJ111"/>
      <c r="AK111"/>
      <c r="AL111"/>
      <c r="AM111"/>
      <c r="AT111" s="266"/>
      <c r="AV111" s="322"/>
      <c r="AW111" s="322"/>
      <c r="AX111" s="322"/>
      <c r="AY111" s="322"/>
      <c r="AZ111" s="322"/>
      <c r="BA111" s="322"/>
      <c r="BB111" s="322"/>
      <c r="BC111" s="322"/>
      <c r="BD111" s="322"/>
      <c r="BE111" s="322"/>
      <c r="BF111" s="322"/>
      <c r="BG111" s="322"/>
      <c r="BH111" s="322"/>
      <c r="BI111" s="322"/>
      <c r="BJ111" s="322"/>
      <c r="BK111" s="322"/>
      <c r="BL111" s="322"/>
      <c r="BM111" s="322"/>
      <c r="BN111" s="322"/>
      <c r="BO111" s="322"/>
      <c r="BP111" s="322"/>
      <c r="BQ111" s="322"/>
      <c r="BR111" s="322"/>
      <c r="BS111" s="322"/>
      <c r="BT111" s="322"/>
      <c r="BU111" s="322"/>
      <c r="BV111" s="322"/>
      <c r="BW111" s="322"/>
      <c r="BX111" s="322"/>
      <c r="BY111" s="322"/>
      <c r="BZ111" s="322"/>
      <c r="CA111" s="322"/>
      <c r="CB111" s="322"/>
      <c r="CC111" s="322"/>
      <c r="CD111" s="322"/>
      <c r="CE111" s="322"/>
      <c r="CF111" s="322"/>
      <c r="CG111" s="322"/>
      <c r="CH111" s="322"/>
      <c r="CI111" s="322"/>
      <c r="CJ111" s="322"/>
      <c r="CK111" s="322"/>
      <c r="CL111" s="322"/>
      <c r="CM111" s="322"/>
      <c r="CN111" s="322"/>
      <c r="CO111" s="322"/>
      <c r="CP111" s="322"/>
      <c r="CQ111" s="322"/>
      <c r="CR111" s="322"/>
      <c r="CS111" s="322"/>
      <c r="CT111" s="322"/>
    </row>
    <row r="112" spans="1:107" s="245" customFormat="1" ht="12.75" customHeight="1" x14ac:dyDescent="0.2">
      <c r="A112" s="260" t="s">
        <v>131</v>
      </c>
      <c r="B112" s="261"/>
      <c r="C112" s="261"/>
      <c r="D112" s="262"/>
      <c r="E112" s="1983">
        <v>55</v>
      </c>
      <c r="F112" s="1984"/>
      <c r="G112" s="1985"/>
      <c r="H112" s="1983">
        <v>40</v>
      </c>
      <c r="I112" s="1984"/>
      <c r="J112" s="1985"/>
      <c r="K112" s="1983">
        <v>25</v>
      </c>
      <c r="L112" s="1984"/>
      <c r="M112" s="1990"/>
      <c r="N112" s="247"/>
      <c r="O112" s="247"/>
      <c r="P112" s="247"/>
      <c r="Q112" s="247"/>
      <c r="R112" s="247"/>
      <c r="S112" s="247"/>
      <c r="T112" s="247"/>
      <c r="U112" s="247"/>
      <c r="V112" s="247"/>
      <c r="W112" s="247"/>
      <c r="X112" s="247"/>
      <c r="Y112"/>
      <c r="Z112"/>
      <c r="AA112"/>
      <c r="AB112"/>
      <c r="AC112"/>
      <c r="AD112"/>
      <c r="AE112"/>
      <c r="AF112"/>
      <c r="AG112"/>
      <c r="AH112"/>
      <c r="AI112"/>
      <c r="AJ112"/>
      <c r="AK112"/>
      <c r="AL112"/>
      <c r="AM112"/>
      <c r="AT112" s="266"/>
      <c r="AV112" s="322"/>
      <c r="AW112" s="322"/>
      <c r="AX112" s="322"/>
      <c r="AY112" s="322"/>
      <c r="AZ112" s="322"/>
      <c r="BA112" s="322"/>
      <c r="BB112" s="322"/>
      <c r="BC112" s="322"/>
      <c r="BD112" s="322"/>
      <c r="BE112" s="322"/>
      <c r="BF112" s="322"/>
      <c r="BG112" s="322"/>
      <c r="BH112" s="322"/>
      <c r="BI112" s="322"/>
      <c r="BJ112" s="322"/>
      <c r="BK112" s="322"/>
      <c r="BL112" s="322"/>
      <c r="BM112" s="322"/>
      <c r="BN112" s="322"/>
      <c r="BO112" s="322"/>
      <c r="BP112" s="322"/>
      <c r="BQ112" s="322"/>
      <c r="BR112" s="322"/>
      <c r="BS112" s="322"/>
      <c r="BT112" s="322"/>
      <c r="BU112" s="322"/>
      <c r="BV112" s="322"/>
      <c r="BW112" s="322"/>
      <c r="BX112" s="322"/>
      <c r="BY112" s="322"/>
      <c r="BZ112" s="322"/>
      <c r="CA112" s="322"/>
      <c r="CB112" s="322"/>
      <c r="CC112" s="322"/>
      <c r="CD112" s="322"/>
      <c r="CE112" s="322"/>
      <c r="CF112" s="322"/>
      <c r="CG112" s="322"/>
      <c r="CH112" s="322"/>
      <c r="CI112" s="322"/>
      <c r="CJ112" s="322"/>
      <c r="CK112" s="322"/>
      <c r="CL112" s="322"/>
      <c r="CM112" s="322"/>
      <c r="CN112" s="322"/>
      <c r="CO112" s="322"/>
      <c r="CP112" s="322"/>
      <c r="CQ112" s="322"/>
      <c r="CR112" s="322"/>
      <c r="CS112" s="322"/>
      <c r="CT112" s="322"/>
    </row>
    <row r="113" spans="1:113" s="245" customFormat="1" ht="12.75" customHeight="1" x14ac:dyDescent="0.2">
      <c r="A113" s="260" t="s">
        <v>132</v>
      </c>
      <c r="B113" s="261"/>
      <c r="C113" s="261"/>
      <c r="D113" s="262"/>
      <c r="E113" s="1983">
        <v>65</v>
      </c>
      <c r="F113" s="1984"/>
      <c r="G113" s="1985"/>
      <c r="H113" s="1983">
        <v>45</v>
      </c>
      <c r="I113" s="1984"/>
      <c r="J113" s="1985"/>
      <c r="K113" s="1983">
        <v>40</v>
      </c>
      <c r="L113" s="1984"/>
      <c r="M113" s="1990"/>
      <c r="N113" s="247"/>
      <c r="O113" s="247"/>
      <c r="P113" s="247"/>
      <c r="Q113" s="247"/>
      <c r="R113" s="247"/>
      <c r="S113" s="247"/>
      <c r="T113" s="247"/>
      <c r="U113" s="247"/>
      <c r="V113" s="247"/>
      <c r="W113" s="247"/>
      <c r="X113" s="247"/>
      <c r="Y113"/>
      <c r="Z113"/>
      <c r="AA113"/>
      <c r="AB113"/>
      <c r="AC113"/>
      <c r="AD113"/>
      <c r="AE113"/>
      <c r="AF113"/>
      <c r="AG113"/>
      <c r="AH113"/>
      <c r="AI113"/>
      <c r="AJ113"/>
      <c r="AK113"/>
      <c r="AL113"/>
      <c r="AM113"/>
      <c r="AT113" s="266"/>
      <c r="AV113" s="322"/>
      <c r="AW113" s="322"/>
      <c r="AX113" s="322"/>
      <c r="AY113" s="322"/>
      <c r="AZ113" s="322"/>
      <c r="BA113" s="322"/>
      <c r="BB113" s="322"/>
      <c r="BC113" s="322"/>
      <c r="BD113" s="322"/>
      <c r="BE113" s="322"/>
      <c r="BF113" s="322"/>
      <c r="BG113" s="322"/>
      <c r="BH113" s="322"/>
      <c r="BI113" s="322"/>
      <c r="BJ113" s="322"/>
      <c r="BK113" s="322"/>
      <c r="BL113" s="322"/>
      <c r="BM113" s="322"/>
      <c r="BN113" s="322"/>
      <c r="BO113" s="322"/>
      <c r="BP113" s="322"/>
      <c r="BQ113" s="322"/>
      <c r="BR113" s="322"/>
      <c r="BS113" s="322"/>
      <c r="BT113" s="322"/>
      <c r="BU113" s="322"/>
      <c r="BV113" s="322"/>
      <c r="BW113" s="322"/>
      <c r="BX113" s="322"/>
      <c r="BY113" s="322"/>
      <c r="BZ113" s="322"/>
      <c r="CA113" s="322"/>
      <c r="CB113" s="322"/>
      <c r="CC113" s="322"/>
      <c r="CD113" s="322"/>
      <c r="CE113" s="322"/>
      <c r="CF113" s="322"/>
      <c r="CG113" s="322"/>
      <c r="CH113" s="322"/>
      <c r="CI113" s="322"/>
      <c r="CJ113" s="322"/>
      <c r="CK113" s="322"/>
      <c r="CL113" s="322"/>
      <c r="CM113" s="322"/>
      <c r="CN113" s="322"/>
      <c r="CO113" s="322"/>
      <c r="CP113" s="322"/>
      <c r="CQ113" s="322"/>
      <c r="CR113" s="322"/>
      <c r="CS113" s="322"/>
      <c r="CT113" s="322"/>
    </row>
    <row r="114" spans="1:113" s="245" customFormat="1" ht="12.75" customHeight="1" x14ac:dyDescent="0.2">
      <c r="A114" s="260" t="s">
        <v>133</v>
      </c>
      <c r="B114" s="261"/>
      <c r="C114" s="261"/>
      <c r="D114" s="262"/>
      <c r="E114" s="1983">
        <v>60</v>
      </c>
      <c r="F114" s="1984"/>
      <c r="G114" s="1985"/>
      <c r="H114" s="1983">
        <v>40</v>
      </c>
      <c r="I114" s="1984"/>
      <c r="J114" s="1985"/>
      <c r="K114" s="1983">
        <v>40</v>
      </c>
      <c r="L114" s="1984"/>
      <c r="M114" s="1990"/>
      <c r="N114" s="247"/>
      <c r="O114" s="247"/>
      <c r="P114" s="247"/>
      <c r="Q114" s="247"/>
      <c r="R114" s="247"/>
      <c r="S114" s="247"/>
      <c r="T114" s="247"/>
      <c r="U114" s="247"/>
      <c r="V114" s="247"/>
      <c r="W114" s="247"/>
      <c r="X114" s="247"/>
      <c r="Y114"/>
      <c r="Z114"/>
      <c r="AA114"/>
      <c r="AB114"/>
      <c r="AC114"/>
      <c r="AD114"/>
      <c r="AE114"/>
      <c r="AF114"/>
      <c r="AG114"/>
      <c r="AH114"/>
      <c r="AI114"/>
      <c r="AJ114"/>
      <c r="AK114"/>
      <c r="AL114"/>
      <c r="AM114"/>
      <c r="AT114" s="266"/>
      <c r="AV114" s="322"/>
      <c r="AW114" s="322"/>
      <c r="AX114" s="322"/>
      <c r="AY114" s="322"/>
      <c r="AZ114" s="322"/>
      <c r="BA114" s="322"/>
      <c r="BB114" s="322"/>
      <c r="BC114" s="322"/>
      <c r="BD114" s="322"/>
      <c r="BE114" s="322"/>
      <c r="BF114" s="322"/>
      <c r="BG114" s="322"/>
      <c r="BH114" s="322"/>
      <c r="BI114" s="322"/>
      <c r="BJ114" s="322"/>
      <c r="BK114" s="322"/>
      <c r="BL114" s="322"/>
      <c r="BM114" s="322"/>
      <c r="BN114" s="322"/>
      <c r="BO114" s="322"/>
      <c r="BP114" s="322"/>
      <c r="BQ114" s="322"/>
      <c r="BR114" s="322"/>
      <c r="BS114" s="322"/>
      <c r="BT114" s="322"/>
      <c r="BU114" s="322"/>
      <c r="BV114" s="322"/>
      <c r="BW114" s="322"/>
      <c r="BX114" s="322"/>
      <c r="BY114" s="322"/>
      <c r="BZ114" s="322"/>
      <c r="CA114" s="322"/>
      <c r="CB114" s="322"/>
      <c r="CC114" s="322"/>
      <c r="CD114" s="322"/>
      <c r="CE114" s="322"/>
      <c r="CF114" s="322"/>
      <c r="CG114" s="322"/>
      <c r="CH114" s="322"/>
      <c r="CI114" s="322"/>
      <c r="CJ114" s="322"/>
      <c r="CK114" s="322"/>
      <c r="CL114" s="322"/>
      <c r="CM114" s="322"/>
      <c r="CN114" s="322"/>
      <c r="CO114" s="322"/>
      <c r="CP114" s="322"/>
      <c r="CQ114" s="322"/>
      <c r="CR114" s="322"/>
      <c r="CS114" s="322"/>
      <c r="CT114" s="322"/>
    </row>
    <row r="115" spans="1:113" s="245" customFormat="1" ht="12.75" customHeight="1" x14ac:dyDescent="0.2">
      <c r="A115" s="260" t="s">
        <v>134</v>
      </c>
      <c r="B115" s="261"/>
      <c r="C115" s="261"/>
      <c r="D115" s="262"/>
      <c r="E115" s="1983">
        <v>85</v>
      </c>
      <c r="F115" s="1984"/>
      <c r="G115" s="1985"/>
      <c r="H115" s="1983">
        <v>70</v>
      </c>
      <c r="I115" s="1984"/>
      <c r="J115" s="1985"/>
      <c r="K115" s="1983">
        <v>45</v>
      </c>
      <c r="L115" s="1984"/>
      <c r="M115" s="1990"/>
      <c r="N115" s="247"/>
      <c r="O115" s="247"/>
      <c r="P115" s="247"/>
      <c r="Q115" s="247"/>
      <c r="R115" s="247"/>
      <c r="S115" s="247"/>
      <c r="T115" s="247"/>
      <c r="U115" s="247"/>
      <c r="V115" s="247"/>
      <c r="W115" s="247"/>
      <c r="X115" s="247"/>
      <c r="Y115"/>
      <c r="Z115"/>
      <c r="AA115"/>
      <c r="AB115"/>
      <c r="AC115"/>
      <c r="AD115"/>
      <c r="AE115"/>
      <c r="AF115"/>
      <c r="AG115"/>
      <c r="AH115"/>
      <c r="AI115"/>
      <c r="AJ115"/>
      <c r="AK115"/>
      <c r="AL115"/>
      <c r="AM115"/>
      <c r="AT115" s="266"/>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V115" s="322"/>
      <c r="BW115" s="322"/>
      <c r="BX115" s="322"/>
      <c r="BY115" s="322"/>
      <c r="BZ115" s="322"/>
      <c r="CA115" s="322"/>
      <c r="CB115" s="322"/>
      <c r="CC115" s="322"/>
      <c r="CD115" s="322"/>
      <c r="CE115" s="322"/>
      <c r="CF115" s="322"/>
      <c r="CG115" s="322"/>
      <c r="CH115" s="322"/>
      <c r="CI115" s="322"/>
      <c r="CJ115" s="322"/>
      <c r="CK115" s="322"/>
      <c r="CL115" s="322"/>
      <c r="CM115" s="322"/>
      <c r="CN115" s="322"/>
      <c r="CO115" s="322"/>
      <c r="CP115" s="322"/>
      <c r="CQ115" s="322"/>
      <c r="CR115" s="322"/>
      <c r="CS115" s="322"/>
      <c r="CT115" s="322"/>
    </row>
    <row r="116" spans="1:113" s="245" customFormat="1" ht="12.75" customHeight="1" x14ac:dyDescent="0.2">
      <c r="A116" s="260" t="s">
        <v>135</v>
      </c>
      <c r="B116" s="261"/>
      <c r="C116" s="261"/>
      <c r="D116" s="262"/>
      <c r="E116" s="1983">
        <v>40</v>
      </c>
      <c r="F116" s="1984"/>
      <c r="G116" s="1985"/>
      <c r="H116" s="1983">
        <v>20</v>
      </c>
      <c r="I116" s="1984"/>
      <c r="J116" s="1985"/>
      <c r="K116" s="1983">
        <v>15</v>
      </c>
      <c r="L116" s="1984"/>
      <c r="M116" s="1990"/>
      <c r="N116" s="247"/>
      <c r="O116" s="247"/>
      <c r="P116" s="247"/>
      <c r="Q116" s="247"/>
      <c r="R116" s="247"/>
      <c r="S116" s="247"/>
      <c r="T116" s="247"/>
      <c r="U116" s="247"/>
      <c r="V116" s="247"/>
      <c r="W116" s="247"/>
      <c r="X116" s="247"/>
      <c r="Y116"/>
      <c r="Z116"/>
      <c r="AA116"/>
      <c r="AB116"/>
      <c r="AC116"/>
      <c r="AD116"/>
      <c r="AE116"/>
      <c r="AF116"/>
      <c r="AG116"/>
      <c r="AH116"/>
      <c r="AI116"/>
      <c r="AJ116"/>
      <c r="AK116"/>
      <c r="AL116"/>
      <c r="AM116"/>
      <c r="AT116" s="266"/>
      <c r="AV116" s="322"/>
      <c r="AW116" s="322"/>
      <c r="AX116" s="322"/>
      <c r="AY116" s="322"/>
      <c r="AZ116" s="322"/>
      <c r="BA116" s="322"/>
      <c r="BB116" s="322"/>
      <c r="BC116" s="322"/>
      <c r="BD116" s="322"/>
      <c r="BE116" s="322"/>
      <c r="BF116" s="322"/>
      <c r="BG116" s="322"/>
      <c r="BH116" s="322"/>
      <c r="BI116" s="322"/>
      <c r="BJ116" s="322"/>
      <c r="BK116" s="322"/>
      <c r="BL116" s="322"/>
      <c r="BM116" s="322"/>
      <c r="BN116" s="322"/>
      <c r="BO116" s="322"/>
      <c r="BP116" s="322"/>
      <c r="BQ116" s="322"/>
      <c r="BR116" s="322"/>
      <c r="BS116" s="322"/>
      <c r="BT116" s="322"/>
      <c r="BU116" s="322"/>
      <c r="BV116" s="322"/>
      <c r="BW116" s="322"/>
      <c r="BX116" s="322"/>
      <c r="BY116" s="322"/>
      <c r="BZ116" s="322"/>
      <c r="CA116" s="322"/>
      <c r="CB116" s="322"/>
      <c r="CC116" s="322"/>
      <c r="CD116" s="322"/>
      <c r="CE116" s="322"/>
      <c r="CF116" s="322"/>
      <c r="CG116" s="322"/>
      <c r="CH116" s="322"/>
      <c r="CI116" s="322"/>
      <c r="CJ116" s="322"/>
      <c r="CK116" s="322"/>
      <c r="CL116" s="322"/>
      <c r="CM116" s="322"/>
      <c r="CN116" s="322"/>
      <c r="CO116" s="322"/>
      <c r="CP116" s="322"/>
      <c r="CQ116" s="322"/>
      <c r="CR116" s="322"/>
      <c r="CS116" s="322"/>
      <c r="CT116" s="322"/>
    </row>
    <row r="117" spans="1:113" s="245" customFormat="1" ht="12.75" customHeight="1" x14ac:dyDescent="0.2">
      <c r="A117" s="260" t="s">
        <v>136</v>
      </c>
      <c r="B117" s="261"/>
      <c r="C117" s="261"/>
      <c r="D117" s="262"/>
      <c r="E117" s="1983">
        <v>35</v>
      </c>
      <c r="F117" s="1984"/>
      <c r="G117" s="1985"/>
      <c r="H117" s="1983">
        <v>20</v>
      </c>
      <c r="I117" s="1984"/>
      <c r="J117" s="1985"/>
      <c r="K117" s="1983">
        <v>15</v>
      </c>
      <c r="L117" s="1984"/>
      <c r="M117" s="1990"/>
      <c r="N117" s="247"/>
      <c r="O117" s="247"/>
      <c r="P117" s="247"/>
      <c r="Q117" s="247"/>
      <c r="R117" s="247"/>
      <c r="S117" s="247"/>
      <c r="T117" s="247"/>
      <c r="U117" s="247"/>
      <c r="V117" s="247"/>
      <c r="W117" s="247"/>
      <c r="X117" s="247"/>
      <c r="Y117"/>
      <c r="Z117"/>
      <c r="AA117"/>
      <c r="AB117"/>
      <c r="AC117"/>
      <c r="AD117"/>
      <c r="AE117"/>
      <c r="AF117"/>
      <c r="AG117"/>
      <c r="AH117"/>
      <c r="AI117"/>
      <c r="AJ117"/>
      <c r="AK117"/>
      <c r="AL117"/>
      <c r="AM117"/>
      <c r="AT117" s="266"/>
      <c r="AV117" s="322"/>
      <c r="AW117" s="322"/>
      <c r="AX117" s="322"/>
      <c r="AY117" s="322"/>
      <c r="AZ117" s="322"/>
      <c r="BA117" s="322"/>
      <c r="BB117" s="322"/>
      <c r="BC117" s="322"/>
      <c r="BD117" s="322"/>
      <c r="BE117" s="322"/>
      <c r="BF117" s="322"/>
      <c r="BG117" s="322"/>
      <c r="BH117" s="322"/>
      <c r="BI117" s="322"/>
      <c r="BJ117" s="322"/>
      <c r="BK117" s="322"/>
      <c r="BL117" s="322"/>
      <c r="BM117" s="322"/>
      <c r="BN117" s="322"/>
      <c r="BO117" s="322"/>
      <c r="BP117" s="322"/>
      <c r="BQ117" s="322"/>
      <c r="BR117" s="322"/>
      <c r="BS117" s="322"/>
      <c r="BT117" s="322"/>
      <c r="BU117" s="322"/>
      <c r="BV117" s="322"/>
      <c r="BW117" s="322"/>
      <c r="BX117" s="322"/>
      <c r="BY117" s="322"/>
      <c r="BZ117" s="322"/>
      <c r="CA117" s="322"/>
      <c r="CB117" s="322"/>
      <c r="CC117" s="322"/>
      <c r="CD117" s="322"/>
      <c r="CE117" s="322"/>
      <c r="CF117" s="322"/>
      <c r="CG117" s="322"/>
      <c r="CH117" s="322"/>
      <c r="CI117" s="322"/>
      <c r="CJ117" s="322"/>
      <c r="CK117" s="322"/>
      <c r="CL117" s="322"/>
      <c r="CM117" s="322"/>
      <c r="CN117" s="322"/>
      <c r="CO117" s="322"/>
      <c r="CP117" s="322"/>
      <c r="CQ117" s="322"/>
      <c r="CR117" s="322"/>
      <c r="CS117" s="322"/>
      <c r="CT117" s="322"/>
    </row>
    <row r="118" spans="1:113" s="245" customFormat="1" ht="14.95" customHeight="1" x14ac:dyDescent="0.2">
      <c r="A118" s="263" t="s">
        <v>137</v>
      </c>
      <c r="B118" s="264"/>
      <c r="C118" s="264"/>
      <c r="D118" s="265"/>
      <c r="E118" s="2253">
        <v>40</v>
      </c>
      <c r="F118" s="2254"/>
      <c r="G118" s="2255"/>
      <c r="H118" s="2253">
        <v>25</v>
      </c>
      <c r="I118" s="2254"/>
      <c r="J118" s="2255"/>
      <c r="K118" s="2253">
        <v>20</v>
      </c>
      <c r="L118" s="2254"/>
      <c r="M118" s="2267"/>
      <c r="N118" s="247"/>
      <c r="O118" s="247"/>
      <c r="P118" s="247"/>
      <c r="Q118" s="247"/>
      <c r="R118" s="247"/>
      <c r="S118" s="247"/>
      <c r="T118" s="247"/>
      <c r="U118" s="247"/>
      <c r="V118" s="247"/>
      <c r="W118" s="247"/>
      <c r="X118" s="247"/>
      <c r="Y118"/>
      <c r="Z118"/>
      <c r="AA118"/>
      <c r="AB118"/>
      <c r="AC118"/>
      <c r="AD118"/>
      <c r="AE118"/>
      <c r="AF118"/>
      <c r="AG118"/>
      <c r="AH118"/>
      <c r="AI118"/>
      <c r="AJ118" s="266"/>
      <c r="AT118" s="266"/>
      <c r="AV118" s="322"/>
      <c r="AW118" s="322"/>
      <c r="AX118" s="322"/>
      <c r="AY118" s="322"/>
      <c r="AZ118" s="322"/>
      <c r="BA118" s="322"/>
      <c r="BB118" s="322"/>
      <c r="BC118" s="322"/>
      <c r="BD118" s="322"/>
      <c r="BE118" s="322"/>
      <c r="BF118" s="322"/>
      <c r="BG118" s="322"/>
      <c r="BH118" s="322"/>
      <c r="BI118" s="322"/>
      <c r="BJ118" s="322"/>
      <c r="BK118" s="322"/>
      <c r="BL118" s="322"/>
      <c r="BM118" s="322"/>
      <c r="BN118" s="322"/>
      <c r="BO118" s="322"/>
      <c r="BP118" s="322"/>
      <c r="BQ118" s="322"/>
      <c r="BR118" s="322"/>
      <c r="BS118" s="322"/>
      <c r="BT118" s="322"/>
      <c r="BU118" s="322"/>
      <c r="BV118" s="322"/>
      <c r="BW118" s="322"/>
      <c r="BX118" s="322"/>
      <c r="BY118" s="322"/>
      <c r="BZ118" s="322"/>
      <c r="CA118" s="322"/>
      <c r="CB118" s="322"/>
      <c r="CC118" s="322"/>
      <c r="CD118" s="322"/>
      <c r="CE118" s="322"/>
      <c r="CF118" s="322"/>
      <c r="CG118" s="322"/>
      <c r="CH118" s="322"/>
      <c r="CI118" s="322"/>
      <c r="CJ118" s="322"/>
      <c r="CK118" s="322"/>
      <c r="CL118" s="322"/>
      <c r="CM118" s="322"/>
      <c r="CN118" s="322"/>
      <c r="CO118" s="322"/>
      <c r="CP118" s="322"/>
      <c r="CQ118" s="322"/>
      <c r="CR118" s="322"/>
      <c r="CS118" s="322"/>
      <c r="CT118" s="322"/>
    </row>
    <row r="119" spans="1:113" s="266" customFormat="1" ht="13.6" customHeight="1" x14ac:dyDescent="0.2">
      <c r="A119" s="245"/>
      <c r="B119" s="245"/>
      <c r="C119" s="245"/>
      <c r="D119" s="245"/>
      <c r="E119" s="245"/>
      <c r="F119" s="245"/>
      <c r="G119" s="246"/>
      <c r="H119" s="247"/>
      <c r="I119" s="247"/>
      <c r="J119" s="247"/>
      <c r="K119" s="247"/>
      <c r="L119" s="247"/>
      <c r="M119" s="247"/>
      <c r="N119" s="247"/>
      <c r="O119" s="247"/>
      <c r="P119" s="247"/>
      <c r="Q119" s="247"/>
      <c r="R119" s="247"/>
      <c r="S119" s="247"/>
      <c r="T119" s="247"/>
      <c r="U119" s="247"/>
      <c r="V119" s="247"/>
      <c r="W119" s="247"/>
      <c r="X119" s="247"/>
      <c r="Y119" s="246"/>
      <c r="Z119" s="246"/>
      <c r="AA119" s="246"/>
      <c r="AB119" s="246"/>
      <c r="AS119" s="322"/>
      <c r="AT119" s="322"/>
      <c r="AU119" s="322"/>
      <c r="AV119" s="322"/>
      <c r="AW119" s="322"/>
      <c r="AX119" s="322"/>
      <c r="AY119" s="322"/>
      <c r="AZ119" s="322"/>
      <c r="BA119" s="322"/>
      <c r="BB119" s="322"/>
      <c r="BC119" s="322"/>
      <c r="BD119" s="322"/>
      <c r="BE119" s="322"/>
      <c r="BF119" s="322"/>
      <c r="BG119" s="322"/>
      <c r="BH119" s="322"/>
      <c r="BI119" s="322"/>
      <c r="BJ119" s="322"/>
      <c r="BK119" s="322"/>
      <c r="BL119" s="322"/>
      <c r="BM119" s="322"/>
      <c r="BN119" s="322"/>
      <c r="BO119" s="322"/>
      <c r="BP119" s="322"/>
      <c r="BQ119" s="322"/>
      <c r="BR119" s="322"/>
      <c r="BS119" s="322"/>
      <c r="BT119" s="322"/>
      <c r="BU119" s="322"/>
      <c r="BV119" s="322"/>
      <c r="BW119" s="322"/>
      <c r="BX119" s="322"/>
      <c r="BY119" s="322"/>
      <c r="BZ119" s="322"/>
      <c r="CA119" s="322"/>
      <c r="CB119" s="322"/>
      <c r="CC119" s="322"/>
      <c r="CD119" s="322"/>
      <c r="CE119" s="322"/>
      <c r="CF119" s="322"/>
      <c r="CG119" s="322"/>
      <c r="CH119" s="322"/>
      <c r="CI119" s="322"/>
      <c r="CJ119" s="322"/>
      <c r="CK119" s="322"/>
      <c r="CL119" s="322"/>
      <c r="CM119" s="322"/>
      <c r="CN119" s="322"/>
      <c r="CO119" s="322"/>
      <c r="CP119" s="322"/>
      <c r="CQ119" s="322"/>
    </row>
    <row r="120" spans="1:113" s="266" customFormat="1" ht="13.6" customHeight="1" x14ac:dyDescent="0.2">
      <c r="A120" s="2256" t="s">
        <v>306</v>
      </c>
      <c r="B120" s="2257"/>
      <c r="C120" s="2257"/>
      <c r="D120" s="2257"/>
      <c r="E120" s="2257"/>
      <c r="F120" s="2257"/>
      <c r="G120" s="2257"/>
      <c r="H120" s="2257"/>
      <c r="I120" s="2257"/>
      <c r="J120" s="2257"/>
      <c r="K120" s="2257"/>
      <c r="L120" s="2257"/>
      <c r="M120" s="2257"/>
      <c r="N120" s="2257"/>
      <c r="O120" s="2257"/>
      <c r="P120" s="2257"/>
      <c r="Q120" s="2257"/>
      <c r="R120" s="2257"/>
      <c r="S120" s="2257"/>
      <c r="T120" s="2257"/>
      <c r="U120" s="2257"/>
      <c r="V120" s="2257"/>
      <c r="W120" s="2257"/>
      <c r="X120" s="2257"/>
      <c r="Y120" s="2258"/>
      <c r="AA120" s="1738" t="s">
        <v>535</v>
      </c>
      <c r="AB120" s="1630"/>
      <c r="AC120" s="1630"/>
      <c r="AD120" s="1630"/>
      <c r="AE120" s="1630"/>
      <c r="AF120" s="1631"/>
      <c r="AJ120" s="246"/>
      <c r="AK120" s="246"/>
      <c r="AL120" s="246"/>
      <c r="AM120" s="246"/>
      <c r="AN120" s="246"/>
      <c r="BH120" s="322"/>
      <c r="BI120" s="322"/>
      <c r="BJ120" s="322"/>
      <c r="BK120" s="322"/>
      <c r="BL120" s="322"/>
      <c r="BM120" s="322"/>
      <c r="BN120" s="322"/>
      <c r="BO120" s="322"/>
      <c r="BP120" s="322"/>
      <c r="BQ120" s="322"/>
      <c r="BR120" s="322"/>
      <c r="BS120" s="322"/>
      <c r="BT120" s="322"/>
      <c r="BU120" s="322"/>
      <c r="BV120" s="322"/>
      <c r="BW120" s="322"/>
      <c r="BX120" s="322"/>
      <c r="BY120" s="322"/>
      <c r="BZ120" s="322"/>
      <c r="CA120" s="322"/>
      <c r="CB120" s="322"/>
      <c r="CC120" s="322"/>
      <c r="CD120" s="322"/>
      <c r="CE120" s="322"/>
      <c r="CF120" s="322"/>
      <c r="CG120" s="322"/>
      <c r="CH120" s="322"/>
      <c r="CI120" s="322"/>
      <c r="CJ120" s="322"/>
      <c r="CK120" s="322"/>
      <c r="CL120" s="322"/>
      <c r="CM120" s="322"/>
      <c r="CN120" s="322"/>
      <c r="CO120" s="322"/>
      <c r="CP120" s="322"/>
      <c r="CQ120" s="322"/>
      <c r="CR120" s="322"/>
      <c r="CS120" s="322"/>
      <c r="CT120" s="322"/>
      <c r="CU120" s="322"/>
      <c r="CV120" s="322"/>
      <c r="CW120" s="322"/>
      <c r="CX120" s="322"/>
      <c r="CY120" s="322"/>
      <c r="CZ120" s="322"/>
      <c r="DA120" s="322"/>
      <c r="DB120" s="322"/>
      <c r="DC120" s="322"/>
      <c r="DD120" s="322"/>
      <c r="DE120" s="322"/>
      <c r="DF120" s="322"/>
    </row>
    <row r="121" spans="1:113" s="266" customFormat="1" ht="12.75" customHeight="1" x14ac:dyDescent="0.2">
      <c r="A121" s="2261"/>
      <c r="B121" s="2262"/>
      <c r="C121" s="2262"/>
      <c r="D121" s="2262"/>
      <c r="E121" s="2262"/>
      <c r="F121" s="2262"/>
      <c r="G121" s="2263"/>
      <c r="H121" s="1947" t="s">
        <v>488</v>
      </c>
      <c r="I121" s="1947"/>
      <c r="J121" s="1947"/>
      <c r="K121" s="1947" t="str">
        <f>C45</f>
        <v>Holzpellets</v>
      </c>
      <c r="L121" s="1947"/>
      <c r="M121" s="1947"/>
      <c r="N121" s="1947" t="str">
        <f>C46</f>
        <v>Holzschnitzel</v>
      </c>
      <c r="O121" s="1947"/>
      <c r="P121" s="1947"/>
      <c r="Q121" s="1947" t="str">
        <f>C47</f>
        <v>Biogas - Durchschnitt CH</v>
      </c>
      <c r="R121" s="1947"/>
      <c r="S121" s="1947"/>
      <c r="T121" s="1947" t="str">
        <f>C49</f>
        <v>Erdgas</v>
      </c>
      <c r="U121" s="1947"/>
      <c r="V121" s="1947"/>
      <c r="W121" s="1947" t="str">
        <f>C50</f>
        <v>Heizöl EL</v>
      </c>
      <c r="X121" s="1947"/>
      <c r="Y121" s="1948"/>
      <c r="Z121" s="246"/>
      <c r="AA121" s="1632" t="s">
        <v>778</v>
      </c>
      <c r="AB121" s="1633"/>
      <c r="AC121" s="1633"/>
      <c r="AD121" s="1633"/>
      <c r="AE121" s="1633"/>
      <c r="AF121" s="1634"/>
      <c r="AG121" s="246"/>
      <c r="AH121" s="246"/>
      <c r="AI121" s="246"/>
      <c r="AJ121" s="246"/>
      <c r="AK121" s="246"/>
      <c r="AL121" s="246"/>
      <c r="AM121" s="246"/>
      <c r="AN121" s="246"/>
      <c r="BH121" s="322"/>
      <c r="BI121" s="322"/>
      <c r="BJ121" s="322"/>
      <c r="BK121" s="322"/>
      <c r="BL121" s="322"/>
      <c r="BM121" s="322"/>
      <c r="BN121" s="322"/>
      <c r="BO121" s="322"/>
      <c r="BP121" s="322"/>
      <c r="BQ121" s="322"/>
      <c r="BR121" s="322"/>
      <c r="BS121" s="322"/>
      <c r="BT121" s="322"/>
      <c r="BU121" s="322"/>
      <c r="BV121" s="322"/>
      <c r="BW121" s="322"/>
      <c r="BX121" s="322"/>
      <c r="BY121" s="322"/>
      <c r="BZ121" s="322"/>
      <c r="CA121" s="322"/>
      <c r="CB121" s="322"/>
      <c r="CC121" s="322"/>
      <c r="CD121" s="322"/>
      <c r="CE121" s="322"/>
      <c r="CF121" s="322"/>
      <c r="CG121" s="322"/>
      <c r="CH121" s="322"/>
      <c r="CI121" s="322"/>
      <c r="CJ121" s="322"/>
      <c r="CK121" s="322"/>
      <c r="CL121" s="322"/>
      <c r="CM121" s="322"/>
      <c r="CN121" s="322"/>
      <c r="CO121" s="322"/>
      <c r="CP121" s="322"/>
      <c r="CQ121" s="322"/>
      <c r="CR121" s="322"/>
      <c r="CS121" s="322"/>
      <c r="CT121" s="322"/>
      <c r="CU121" s="322"/>
      <c r="CV121" s="322"/>
      <c r="CW121" s="322"/>
      <c r="CX121" s="322"/>
      <c r="CY121" s="322"/>
      <c r="CZ121" s="322"/>
      <c r="DA121" s="322"/>
      <c r="DB121" s="322"/>
      <c r="DC121" s="322"/>
      <c r="DD121" s="322"/>
      <c r="DE121" s="322"/>
      <c r="DF121" s="322"/>
    </row>
    <row r="122" spans="1:113" s="266" customFormat="1" ht="12.75" customHeight="1" x14ac:dyDescent="0.2">
      <c r="A122" s="358" t="s">
        <v>307</v>
      </c>
      <c r="B122" s="359"/>
      <c r="C122" s="359"/>
      <c r="D122" s="359"/>
      <c r="E122" s="359"/>
      <c r="F122" s="359" t="s">
        <v>308</v>
      </c>
      <c r="G122" s="360"/>
      <c r="H122" s="2264">
        <v>500</v>
      </c>
      <c r="I122" s="2265"/>
      <c r="J122" s="2266"/>
      <c r="K122" s="1949"/>
      <c r="L122" s="1950"/>
      <c r="M122" s="1952"/>
      <c r="N122" s="1949"/>
      <c r="O122" s="1950"/>
      <c r="P122" s="1952"/>
      <c r="Q122" s="1949"/>
      <c r="R122" s="1950"/>
      <c r="S122" s="1952"/>
      <c r="T122" s="1949"/>
      <c r="U122" s="1950"/>
      <c r="V122" s="1952"/>
      <c r="W122" s="1949"/>
      <c r="X122" s="1950"/>
      <c r="Y122" s="1951"/>
      <c r="Z122" s="246"/>
      <c r="AA122" s="1632" t="s">
        <v>779</v>
      </c>
      <c r="AB122" s="1635"/>
      <c r="AC122" s="1635"/>
      <c r="AD122" s="1635"/>
      <c r="AE122" s="1635"/>
      <c r="AF122" s="1636"/>
      <c r="AG122" s="246"/>
      <c r="AH122" s="246"/>
      <c r="AI122" s="246"/>
      <c r="AJ122" s="246"/>
      <c r="AK122" s="246"/>
      <c r="AL122" s="246"/>
      <c r="AM122" s="246"/>
      <c r="AN122" s="246"/>
      <c r="BH122" s="322"/>
      <c r="BI122" s="322"/>
      <c r="BJ122" s="322"/>
      <c r="BK122" s="322"/>
      <c r="BL122" s="322"/>
      <c r="BM122" s="322"/>
      <c r="BN122" s="322"/>
      <c r="BO122" s="322"/>
      <c r="BP122" s="322"/>
      <c r="BQ122" s="322"/>
      <c r="BR122" s="322"/>
      <c r="BS122" s="322"/>
      <c r="BT122" s="322"/>
      <c r="BU122" s="322"/>
      <c r="BV122" s="322"/>
      <c r="BW122" s="322"/>
      <c r="BX122" s="322"/>
      <c r="BY122" s="322"/>
      <c r="BZ122" s="322"/>
      <c r="CA122" s="322"/>
      <c r="CB122" s="322"/>
      <c r="CC122" s="322"/>
      <c r="CD122" s="322"/>
      <c r="CE122" s="322"/>
      <c r="CF122" s="322"/>
      <c r="CG122" s="322"/>
      <c r="CH122" s="322"/>
      <c r="CI122" s="322"/>
      <c r="CJ122" s="322"/>
      <c r="CK122" s="322"/>
      <c r="CL122" s="322"/>
      <c r="CM122" s="322"/>
      <c r="CN122" s="322"/>
      <c r="CO122" s="322"/>
      <c r="CP122" s="322"/>
      <c r="CQ122" s="322"/>
      <c r="CR122" s="322"/>
      <c r="CS122" s="322"/>
      <c r="CT122" s="322"/>
      <c r="CU122" s="322"/>
      <c r="CV122" s="322"/>
      <c r="CW122" s="322"/>
      <c r="CX122" s="322"/>
      <c r="CY122" s="322"/>
      <c r="CZ122" s="322"/>
      <c r="DA122" s="322"/>
      <c r="DB122" s="322"/>
      <c r="DC122" s="322"/>
      <c r="DD122" s="322"/>
      <c r="DE122" s="322"/>
      <c r="DF122" s="322"/>
    </row>
    <row r="123" spans="1:113" s="266" customFormat="1" ht="12.75" customHeight="1" x14ac:dyDescent="0.2">
      <c r="A123" s="361" t="s">
        <v>309</v>
      </c>
      <c r="B123" s="362"/>
      <c r="C123" s="362"/>
      <c r="D123" s="362"/>
      <c r="E123" s="362"/>
      <c r="F123" s="553" t="s">
        <v>97</v>
      </c>
      <c r="G123" s="363"/>
      <c r="H123" s="2264">
        <v>800</v>
      </c>
      <c r="I123" s="2265"/>
      <c r="J123" s="2266"/>
      <c r="K123" s="1949"/>
      <c r="L123" s="1950"/>
      <c r="M123" s="1952"/>
      <c r="N123" s="1949"/>
      <c r="O123" s="1950"/>
      <c r="P123" s="1952"/>
      <c r="Q123" s="1949"/>
      <c r="R123" s="1950"/>
      <c r="S123" s="1952"/>
      <c r="T123" s="1949"/>
      <c r="U123" s="1950"/>
      <c r="V123" s="1952"/>
      <c r="W123" s="1949"/>
      <c r="X123" s="1950"/>
      <c r="Y123" s="1951"/>
      <c r="Z123" s="246"/>
      <c r="AA123" s="1938" t="s">
        <v>775</v>
      </c>
      <c r="AB123" s="1939"/>
      <c r="AC123" s="1939"/>
      <c r="AD123" s="1939"/>
      <c r="AE123" s="1939"/>
      <c r="AF123" s="1940"/>
      <c r="AG123" s="246"/>
      <c r="AH123" s="246"/>
      <c r="AI123" s="246"/>
      <c r="AJ123" s="246"/>
      <c r="AK123" s="246"/>
      <c r="AL123" s="246"/>
      <c r="AM123" s="246"/>
      <c r="AN123" s="246"/>
      <c r="BH123" s="322"/>
      <c r="BI123" s="322"/>
      <c r="BJ123" s="322"/>
      <c r="BK123" s="322"/>
      <c r="BL123" s="322"/>
      <c r="BM123" s="322"/>
      <c r="BN123" s="322"/>
      <c r="BO123" s="322"/>
      <c r="BP123" s="322"/>
      <c r="BQ123" s="322"/>
      <c r="BR123" s="322"/>
      <c r="BS123" s="322"/>
      <c r="BT123" s="322"/>
      <c r="BU123" s="322"/>
      <c r="BV123" s="322"/>
      <c r="BW123" s="322"/>
      <c r="BX123" s="322"/>
      <c r="BY123" s="322"/>
      <c r="BZ123" s="322"/>
      <c r="CA123" s="322"/>
      <c r="CB123" s="322"/>
      <c r="CC123" s="322"/>
      <c r="CD123" s="322"/>
      <c r="CE123" s="322"/>
      <c r="CF123" s="322"/>
      <c r="CG123" s="322"/>
      <c r="CH123" s="322"/>
      <c r="CI123" s="322"/>
      <c r="CJ123" s="322"/>
      <c r="CK123" s="322"/>
      <c r="CL123" s="322"/>
      <c r="CM123" s="322"/>
      <c r="CN123" s="322"/>
      <c r="CO123" s="322"/>
      <c r="CP123" s="322"/>
      <c r="CQ123" s="322"/>
      <c r="CR123" s="322"/>
      <c r="CS123" s="322"/>
      <c r="CT123" s="322"/>
      <c r="CU123" s="322"/>
      <c r="CV123" s="322"/>
      <c r="CW123" s="322"/>
      <c r="CX123" s="322"/>
      <c r="CY123" s="322"/>
      <c r="CZ123" s="322"/>
      <c r="DA123" s="322"/>
      <c r="DB123" s="322"/>
      <c r="DC123" s="322"/>
      <c r="DD123" s="322"/>
      <c r="DE123" s="322"/>
      <c r="DF123" s="322"/>
    </row>
    <row r="124" spans="1:113" s="266" customFormat="1" ht="12.75" customHeight="1" x14ac:dyDescent="0.2">
      <c r="A124" s="361" t="s">
        <v>310</v>
      </c>
      <c r="B124" s="362"/>
      <c r="C124" s="362"/>
      <c r="D124" s="362"/>
      <c r="E124" s="362"/>
      <c r="F124" s="362"/>
      <c r="G124" s="363"/>
      <c r="H124" s="2218">
        <v>0.8</v>
      </c>
      <c r="I124" s="2219"/>
      <c r="J124" s="2220"/>
      <c r="K124" s="2218">
        <v>0.85</v>
      </c>
      <c r="L124" s="2219"/>
      <c r="M124" s="2220"/>
      <c r="N124" s="2218">
        <v>0.75</v>
      </c>
      <c r="O124" s="2219"/>
      <c r="P124" s="2220"/>
      <c r="Q124" s="2218">
        <v>0.85</v>
      </c>
      <c r="R124" s="2219"/>
      <c r="S124" s="2220"/>
      <c r="T124" s="2218">
        <v>0.85</v>
      </c>
      <c r="U124" s="2219"/>
      <c r="V124" s="2220"/>
      <c r="W124" s="2218">
        <v>0.85</v>
      </c>
      <c r="X124" s="2219"/>
      <c r="Y124" s="2229"/>
      <c r="Z124" s="246"/>
      <c r="AA124" s="246"/>
      <c r="AB124" s="246"/>
      <c r="AC124" s="246"/>
      <c r="AD124" s="246"/>
      <c r="AE124" s="246"/>
      <c r="AF124" s="246"/>
      <c r="AG124" s="246"/>
      <c r="AH124" s="246"/>
      <c r="AI124" s="246"/>
      <c r="AJ124" s="246"/>
      <c r="AK124" s="246"/>
      <c r="AL124" s="246"/>
      <c r="AM124" s="246"/>
      <c r="AN124" s="246"/>
      <c r="BH124" s="322"/>
      <c r="BI124" s="322"/>
      <c r="BJ124" s="322"/>
      <c r="BK124" s="322"/>
      <c r="BL124" s="322"/>
      <c r="BM124" s="322"/>
      <c r="BN124" s="322"/>
      <c r="BO124" s="322"/>
      <c r="BP124" s="322"/>
      <c r="BQ124" s="322"/>
      <c r="BR124" s="322"/>
      <c r="BS124" s="322"/>
      <c r="BT124" s="322"/>
      <c r="BU124" s="322"/>
      <c r="BV124" s="322"/>
      <c r="BW124" s="322"/>
      <c r="BX124" s="322"/>
      <c r="BY124" s="322"/>
      <c r="BZ124" s="322"/>
      <c r="CA124" s="322"/>
      <c r="CB124" s="322"/>
      <c r="CC124" s="322"/>
      <c r="CD124" s="322"/>
      <c r="CE124" s="322"/>
      <c r="CF124" s="322"/>
      <c r="CG124" s="322"/>
      <c r="CH124" s="322"/>
      <c r="CI124" s="322"/>
      <c r="CJ124" s="322"/>
      <c r="CK124" s="322"/>
      <c r="CL124" s="322"/>
      <c r="CM124" s="322"/>
      <c r="CN124" s="322"/>
      <c r="CO124" s="322"/>
      <c r="CP124" s="322"/>
      <c r="CQ124" s="322"/>
      <c r="CR124" s="322"/>
      <c r="CS124" s="322"/>
      <c r="CT124" s="322"/>
      <c r="CU124" s="322"/>
      <c r="CV124" s="322"/>
      <c r="CW124" s="322"/>
      <c r="CX124" s="322"/>
      <c r="CY124" s="322"/>
      <c r="CZ124" s="322"/>
      <c r="DA124" s="322"/>
      <c r="DB124" s="322"/>
      <c r="DC124" s="322"/>
      <c r="DD124" s="322"/>
      <c r="DE124" s="322"/>
      <c r="DF124" s="322"/>
    </row>
    <row r="125" spans="1:113" s="266" customFormat="1" ht="12.75" customHeight="1" x14ac:dyDescent="0.2">
      <c r="A125" s="361" t="s">
        <v>311</v>
      </c>
      <c r="B125" s="362"/>
      <c r="C125" s="362"/>
      <c r="D125" s="362"/>
      <c r="E125" s="362"/>
      <c r="F125" s="362"/>
      <c r="G125" s="363"/>
      <c r="H125" s="2218">
        <v>0.7</v>
      </c>
      <c r="I125" s="2219"/>
      <c r="J125" s="2220"/>
      <c r="K125" s="2218">
        <v>0.85</v>
      </c>
      <c r="L125" s="2219"/>
      <c r="M125" s="2220"/>
      <c r="N125" s="2218">
        <v>0.75</v>
      </c>
      <c r="O125" s="2219"/>
      <c r="P125" s="2220"/>
      <c r="Q125" s="2218">
        <v>0.9</v>
      </c>
      <c r="R125" s="2219"/>
      <c r="S125" s="2220"/>
      <c r="T125" s="2230">
        <v>0.9</v>
      </c>
      <c r="U125" s="2231"/>
      <c r="V125" s="2233"/>
      <c r="W125" s="2230">
        <v>0.9</v>
      </c>
      <c r="X125" s="2231"/>
      <c r="Y125" s="2232"/>
      <c r="Z125" s="246"/>
      <c r="AA125" s="246"/>
      <c r="AB125" s="246"/>
      <c r="AC125" s="246"/>
      <c r="AD125" s="246"/>
      <c r="AE125" s="246"/>
      <c r="AF125" s="246"/>
      <c r="AG125" s="246"/>
      <c r="AH125" s="246"/>
      <c r="AI125" s="246"/>
      <c r="AJ125" s="246"/>
      <c r="AK125" s="246"/>
      <c r="AL125" s="246"/>
      <c r="AM125" s="246"/>
      <c r="AN125" s="246"/>
      <c r="AO125" s="246"/>
      <c r="AP125" s="246"/>
      <c r="AQ125" s="246"/>
      <c r="BK125" s="322"/>
      <c r="BL125" s="322"/>
      <c r="BM125" s="322"/>
      <c r="BN125" s="322"/>
      <c r="BO125" s="322"/>
      <c r="BP125" s="322"/>
      <c r="BQ125" s="322"/>
      <c r="BR125" s="322"/>
      <c r="BS125" s="322"/>
      <c r="BT125" s="322"/>
      <c r="BU125" s="322"/>
      <c r="BV125" s="322"/>
      <c r="BW125" s="322"/>
      <c r="BX125" s="322"/>
      <c r="BY125" s="322"/>
      <c r="BZ125" s="322"/>
      <c r="CA125" s="322"/>
      <c r="CB125" s="322"/>
      <c r="CC125" s="322"/>
      <c r="CD125" s="322"/>
      <c r="CE125" s="322"/>
      <c r="CF125" s="322"/>
      <c r="CG125" s="322"/>
      <c r="CH125" s="322"/>
      <c r="CI125" s="322"/>
      <c r="CJ125" s="322"/>
      <c r="CK125" s="322"/>
      <c r="CL125" s="322"/>
      <c r="CM125" s="322"/>
      <c r="CN125" s="322"/>
      <c r="CO125" s="322"/>
      <c r="CP125" s="322"/>
      <c r="CQ125" s="322"/>
      <c r="CR125" s="322"/>
      <c r="CS125" s="322"/>
      <c r="CT125" s="322"/>
      <c r="CU125" s="322"/>
      <c r="CV125" s="322"/>
      <c r="CW125" s="322"/>
      <c r="CX125" s="322"/>
      <c r="CY125" s="322"/>
      <c r="CZ125" s="322"/>
      <c r="DA125" s="322"/>
      <c r="DB125" s="322"/>
      <c r="DC125" s="322"/>
      <c r="DD125" s="322"/>
      <c r="DE125" s="322"/>
      <c r="DF125" s="322"/>
      <c r="DG125" s="322"/>
      <c r="DH125" s="322"/>
      <c r="DI125" s="322"/>
    </row>
    <row r="126" spans="1:113" s="266" customFormat="1" ht="12.75" customHeight="1" x14ac:dyDescent="0.2">
      <c r="A126" s="2259"/>
      <c r="B126" s="2260"/>
      <c r="C126" s="2260"/>
      <c r="D126" s="2260"/>
      <c r="E126" s="2260"/>
      <c r="F126" s="2260"/>
      <c r="G126" s="2260"/>
      <c r="H126" s="1947" t="s">
        <v>488</v>
      </c>
      <c r="I126" s="1947"/>
      <c r="J126" s="1947"/>
      <c r="K126" s="1947" t="str">
        <f>EV_Var1!AC12</f>
        <v>Erdsonden</v>
      </c>
      <c r="L126" s="1947"/>
      <c r="M126" s="1947"/>
      <c r="N126" s="1947" t="str">
        <f>EV_Var1!AC13</f>
        <v>Grundwasser</v>
      </c>
      <c r="O126" s="1947"/>
      <c r="P126" s="1947"/>
      <c r="Q126" s="1947" t="str">
        <f>EV_Var1!AC14</f>
        <v>Abwasser</v>
      </c>
      <c r="R126" s="1947"/>
      <c r="S126" s="1947"/>
      <c r="T126" s="1947" t="str">
        <f>EV_Var1!AC15</f>
        <v>Aussenluft</v>
      </c>
      <c r="U126" s="1947"/>
      <c r="V126" s="1947"/>
      <c r="W126" s="2223" t="str">
        <f>$C$55</f>
        <v>Wärmeverbund XY</v>
      </c>
      <c r="X126" s="2223"/>
      <c r="Y126" s="2224"/>
      <c r="Z126" s="246"/>
      <c r="AA126" s="246"/>
      <c r="AB126" s="246"/>
      <c r="AC126" s="246"/>
      <c r="AD126" s="246"/>
      <c r="AE126" s="246"/>
      <c r="AF126" s="246"/>
      <c r="AG126" s="246"/>
      <c r="AH126" s="246"/>
      <c r="AI126" s="246"/>
      <c r="AJ126" s="246"/>
      <c r="AK126" s="246"/>
      <c r="AL126" s="246"/>
      <c r="AM126" s="246"/>
      <c r="AN126" s="246"/>
      <c r="AO126" s="246"/>
      <c r="AP126" s="246"/>
      <c r="AQ126" s="246"/>
      <c r="BK126" s="322"/>
      <c r="BL126" s="322"/>
      <c r="BM126" s="322"/>
      <c r="BN126" s="322"/>
      <c r="BO126" s="322"/>
      <c r="BP126" s="322"/>
      <c r="BQ126" s="322"/>
      <c r="BR126" s="322"/>
      <c r="BS126" s="322"/>
      <c r="BT126" s="322"/>
      <c r="BU126" s="322"/>
      <c r="BV126" s="322"/>
      <c r="BW126" s="322"/>
      <c r="BX126" s="322"/>
      <c r="BY126" s="322"/>
      <c r="BZ126" s="322"/>
      <c r="CA126" s="322"/>
      <c r="CB126" s="322"/>
      <c r="CC126" s="322"/>
      <c r="CD126" s="322"/>
      <c r="CE126" s="322"/>
      <c r="CF126" s="322"/>
      <c r="CG126" s="322"/>
      <c r="CH126" s="322"/>
      <c r="CI126" s="322"/>
      <c r="CJ126" s="322"/>
      <c r="CK126" s="322"/>
      <c r="CL126" s="322"/>
      <c r="CM126" s="322"/>
      <c r="CN126" s="322"/>
      <c r="CO126" s="322"/>
      <c r="CP126" s="322"/>
      <c r="CQ126" s="322"/>
      <c r="CR126" s="322"/>
      <c r="CS126" s="322"/>
      <c r="CT126" s="322"/>
      <c r="CU126" s="322"/>
      <c r="CV126" s="322"/>
      <c r="CW126" s="322"/>
      <c r="CX126" s="322"/>
      <c r="CY126" s="322"/>
      <c r="CZ126" s="322"/>
      <c r="DA126" s="322"/>
      <c r="DB126" s="322"/>
      <c r="DC126" s="322"/>
      <c r="DD126" s="322"/>
      <c r="DE126" s="322"/>
      <c r="DF126" s="322"/>
      <c r="DG126" s="322"/>
      <c r="DH126" s="322"/>
      <c r="DI126" s="322"/>
    </row>
    <row r="127" spans="1:113" s="266" customFormat="1" ht="12.75" customHeight="1" x14ac:dyDescent="0.2">
      <c r="A127" s="361" t="s">
        <v>314</v>
      </c>
      <c r="B127" s="362"/>
      <c r="C127" s="362"/>
      <c r="D127" s="362"/>
      <c r="E127" s="362"/>
      <c r="F127" s="362"/>
      <c r="G127" s="363"/>
      <c r="H127" s="2212"/>
      <c r="I127" s="2213"/>
      <c r="J127" s="2214"/>
      <c r="K127" s="2215">
        <v>3.1</v>
      </c>
      <c r="L127" s="2216"/>
      <c r="M127" s="2217"/>
      <c r="N127" s="2215">
        <v>2.7</v>
      </c>
      <c r="O127" s="2216"/>
      <c r="P127" s="2217"/>
      <c r="Q127" s="2215">
        <v>3.4</v>
      </c>
      <c r="R127" s="2216"/>
      <c r="S127" s="2217"/>
      <c r="T127" s="2215">
        <v>2.2999999999999998</v>
      </c>
      <c r="U127" s="2216"/>
      <c r="V127" s="2216"/>
      <c r="W127" s="2225">
        <v>3.5</v>
      </c>
      <c r="X127" s="2225"/>
      <c r="Y127" s="2226"/>
      <c r="Z127" s="246"/>
      <c r="AA127" s="246"/>
      <c r="AB127" s="246"/>
      <c r="AC127" s="246"/>
      <c r="AD127" s="246"/>
      <c r="AE127" s="246"/>
      <c r="AF127" s="246"/>
      <c r="AG127" s="246"/>
      <c r="AH127" s="246"/>
      <c r="AI127" s="246"/>
      <c r="AJ127" s="246"/>
      <c r="AK127" s="246"/>
      <c r="AL127" s="246"/>
      <c r="AM127" s="246"/>
      <c r="AN127" s="246"/>
      <c r="AO127" s="246"/>
      <c r="AP127" s="246"/>
      <c r="AQ127" s="246"/>
      <c r="BK127" s="322"/>
      <c r="BL127" s="322"/>
      <c r="BM127" s="322"/>
      <c r="BN127" s="322"/>
      <c r="BO127" s="322"/>
      <c r="BP127" s="322"/>
      <c r="BQ127" s="322"/>
      <c r="BR127" s="322"/>
      <c r="BS127" s="322"/>
      <c r="BT127" s="322"/>
      <c r="BU127" s="322"/>
      <c r="BV127" s="322"/>
      <c r="BW127" s="322"/>
      <c r="BX127" s="322"/>
      <c r="BY127" s="322"/>
      <c r="BZ127" s="322"/>
      <c r="CA127" s="322"/>
      <c r="CB127" s="322"/>
      <c r="CC127" s="322"/>
      <c r="CD127" s="322"/>
      <c r="CE127" s="322"/>
      <c r="CF127" s="322"/>
      <c r="CG127" s="322"/>
      <c r="CH127" s="322"/>
      <c r="CI127" s="322"/>
      <c r="CJ127" s="322"/>
      <c r="CK127" s="322"/>
      <c r="CL127" s="322"/>
      <c r="CM127" s="322"/>
      <c r="CN127" s="322"/>
      <c r="CO127" s="322"/>
      <c r="CP127" s="322"/>
      <c r="CQ127" s="322"/>
      <c r="CR127" s="322"/>
      <c r="CS127" s="322"/>
      <c r="CT127" s="322"/>
      <c r="CU127" s="322"/>
      <c r="CV127" s="322"/>
      <c r="CW127" s="322"/>
      <c r="CX127" s="322"/>
      <c r="CY127" s="322"/>
      <c r="CZ127" s="322"/>
      <c r="DA127" s="322"/>
      <c r="DB127" s="322"/>
      <c r="DC127" s="322"/>
      <c r="DD127" s="322"/>
      <c r="DE127" s="322"/>
      <c r="DF127" s="322"/>
      <c r="DG127" s="322"/>
      <c r="DH127" s="322"/>
      <c r="DI127" s="322"/>
    </row>
    <row r="128" spans="1:113" s="266" customFormat="1" ht="12.75" customHeight="1" x14ac:dyDescent="0.2">
      <c r="A128" s="361" t="s">
        <v>312</v>
      </c>
      <c r="B128" s="362"/>
      <c r="C128" s="362"/>
      <c r="D128" s="362"/>
      <c r="E128" s="362"/>
      <c r="F128" s="362"/>
      <c r="G128" s="363"/>
      <c r="H128" s="2212"/>
      <c r="I128" s="2213"/>
      <c r="J128" s="2214"/>
      <c r="K128" s="2215">
        <v>3.1</v>
      </c>
      <c r="L128" s="2216"/>
      <c r="M128" s="2217"/>
      <c r="N128" s="2215">
        <v>2.7</v>
      </c>
      <c r="O128" s="2216"/>
      <c r="P128" s="2217"/>
      <c r="Q128" s="2215">
        <v>3.4</v>
      </c>
      <c r="R128" s="2216"/>
      <c r="S128" s="2217"/>
      <c r="T128" s="2215">
        <v>2.2999999999999998</v>
      </c>
      <c r="U128" s="2216"/>
      <c r="V128" s="2216"/>
      <c r="W128" s="2221">
        <v>3.5</v>
      </c>
      <c r="X128" s="2221"/>
      <c r="Y128" s="2222"/>
      <c r="Z128" s="246"/>
      <c r="AA128" s="246"/>
      <c r="AB128" s="246"/>
      <c r="AC128" s="246"/>
      <c r="AD128" s="246"/>
      <c r="AE128" s="246"/>
      <c r="AF128" s="246"/>
      <c r="AG128" s="246"/>
      <c r="AH128" s="246"/>
      <c r="AI128" s="246"/>
      <c r="AJ128" s="246"/>
      <c r="AK128" s="246"/>
      <c r="AL128" s="246"/>
      <c r="AM128" s="246"/>
      <c r="AN128" s="246"/>
      <c r="AO128" s="246"/>
      <c r="AP128" s="246"/>
      <c r="AQ128" s="246"/>
      <c r="BK128" s="322"/>
      <c r="BL128" s="322"/>
      <c r="BM128" s="322"/>
      <c r="BN128" s="322"/>
      <c r="BO128" s="322"/>
      <c r="BP128" s="322"/>
      <c r="BQ128" s="322"/>
      <c r="BR128" s="322"/>
      <c r="BS128" s="322"/>
      <c r="BT128" s="322"/>
      <c r="BU128" s="322"/>
      <c r="BV128" s="322"/>
      <c r="BW128" s="322"/>
      <c r="BX128" s="322"/>
      <c r="BY128" s="322"/>
      <c r="BZ128" s="322"/>
      <c r="CA128" s="322"/>
      <c r="CB128" s="322"/>
      <c r="CC128" s="322"/>
      <c r="CD128" s="322"/>
      <c r="CE128" s="322"/>
      <c r="CF128" s="322"/>
      <c r="CG128" s="322"/>
      <c r="CH128" s="322"/>
      <c r="CI128" s="322"/>
      <c r="CJ128" s="322"/>
      <c r="CK128" s="322"/>
      <c r="CL128" s="322"/>
      <c r="CM128" s="322"/>
      <c r="CN128" s="322"/>
      <c r="CO128" s="322"/>
      <c r="CP128" s="322"/>
      <c r="CQ128" s="322"/>
      <c r="CR128" s="322"/>
      <c r="CS128" s="322"/>
      <c r="CT128" s="322"/>
      <c r="CU128" s="322"/>
      <c r="CV128" s="322"/>
      <c r="CW128" s="322"/>
      <c r="CX128" s="322"/>
      <c r="CY128" s="322"/>
      <c r="CZ128" s="322"/>
      <c r="DA128" s="322"/>
      <c r="DB128" s="322"/>
      <c r="DC128" s="322"/>
      <c r="DD128" s="322"/>
      <c r="DE128" s="322"/>
      <c r="DF128" s="322"/>
      <c r="DG128" s="322"/>
      <c r="DH128" s="322"/>
      <c r="DI128" s="322"/>
    </row>
    <row r="129" spans="1:113" s="266" customFormat="1" ht="12.75" customHeight="1" x14ac:dyDescent="0.2">
      <c r="A129" s="361" t="s">
        <v>315</v>
      </c>
      <c r="B129" s="362"/>
      <c r="C129" s="362"/>
      <c r="D129" s="362"/>
      <c r="E129" s="362"/>
      <c r="F129" s="362"/>
      <c r="G129" s="363"/>
      <c r="H129" s="2215">
        <v>3</v>
      </c>
      <c r="I129" s="2216"/>
      <c r="J129" s="2217"/>
      <c r="K129" s="1949"/>
      <c r="L129" s="1950"/>
      <c r="M129" s="1952"/>
      <c r="N129" s="1949"/>
      <c r="O129" s="1950"/>
      <c r="P129" s="1952"/>
      <c r="Q129" s="1949"/>
      <c r="R129" s="1950"/>
      <c r="S129" s="1952"/>
      <c r="T129" s="2227"/>
      <c r="U129" s="2227"/>
      <c r="V129" s="2227"/>
      <c r="W129" s="2227"/>
      <c r="X129" s="2227"/>
      <c r="Y129" s="2228"/>
      <c r="Z129" s="246"/>
      <c r="AA129" s="246"/>
      <c r="AB129" s="246"/>
      <c r="AC129" s="246"/>
      <c r="AD129" s="246"/>
      <c r="AE129" s="246"/>
      <c r="AF129" s="246"/>
      <c r="AG129" s="246"/>
      <c r="AH129" s="246"/>
      <c r="AI129" s="246"/>
      <c r="AJ129" s="246"/>
      <c r="AK129" s="246"/>
      <c r="AL129" s="246"/>
      <c r="AM129" s="246"/>
      <c r="AN129" s="246"/>
      <c r="AO129" s="246"/>
      <c r="AP129" s="246"/>
      <c r="AQ129" s="246"/>
      <c r="BK129" s="322"/>
      <c r="BL129" s="322"/>
      <c r="BM129" s="322"/>
      <c r="BN129" s="322"/>
      <c r="BO129" s="322"/>
      <c r="BP129" s="322"/>
      <c r="BQ129" s="322"/>
      <c r="BR129" s="322"/>
      <c r="BS129" s="322"/>
      <c r="BT129" s="322"/>
      <c r="BU129" s="322"/>
      <c r="BV129" s="322"/>
      <c r="BW129" s="322"/>
      <c r="BX129" s="322"/>
      <c r="BY129" s="322"/>
      <c r="BZ129" s="322"/>
      <c r="CA129" s="322"/>
      <c r="CB129" s="322"/>
      <c r="CC129" s="322"/>
      <c r="CD129" s="322"/>
      <c r="CE129" s="322"/>
      <c r="CF129" s="322"/>
      <c r="CG129" s="322"/>
      <c r="CH129" s="322"/>
      <c r="CI129" s="322"/>
      <c r="CJ129" s="322"/>
      <c r="CK129" s="322"/>
      <c r="CL129" s="322"/>
      <c r="CM129" s="322"/>
      <c r="CN129" s="322"/>
      <c r="CO129" s="322"/>
      <c r="CP129" s="322"/>
      <c r="CQ129" s="322"/>
      <c r="CR129" s="322"/>
      <c r="CS129" s="322"/>
      <c r="CT129" s="322"/>
      <c r="CU129" s="322"/>
      <c r="CV129" s="322"/>
      <c r="CW129" s="322"/>
      <c r="CX129" s="322"/>
      <c r="CY129" s="322"/>
      <c r="CZ129" s="322"/>
      <c r="DA129" s="322"/>
      <c r="DB129" s="322"/>
      <c r="DC129" s="322"/>
      <c r="DD129" s="322"/>
      <c r="DE129" s="322"/>
      <c r="DF129" s="322"/>
      <c r="DG129" s="322"/>
      <c r="DH129" s="322"/>
      <c r="DI129" s="322"/>
    </row>
    <row r="130" spans="1:113" s="266" customFormat="1" ht="12.75" customHeight="1" x14ac:dyDescent="0.2">
      <c r="A130" s="361" t="s">
        <v>313</v>
      </c>
      <c r="B130" s="362"/>
      <c r="C130" s="362"/>
      <c r="D130" s="362"/>
      <c r="E130" s="362"/>
      <c r="F130" s="362"/>
      <c r="G130" s="363"/>
      <c r="H130" s="2215">
        <v>0.7</v>
      </c>
      <c r="I130" s="2216"/>
      <c r="J130" s="2217"/>
      <c r="K130" s="1949"/>
      <c r="L130" s="1950"/>
      <c r="M130" s="1952"/>
      <c r="N130" s="1949"/>
      <c r="O130" s="1950"/>
      <c r="P130" s="1952"/>
      <c r="Q130" s="1949"/>
      <c r="R130" s="1950"/>
      <c r="S130" s="1952"/>
      <c r="T130" s="2227"/>
      <c r="U130" s="2227"/>
      <c r="V130" s="2227"/>
      <c r="W130" s="2227"/>
      <c r="X130" s="2227"/>
      <c r="Y130" s="2228"/>
      <c r="Z130" s="246"/>
      <c r="AA130" s="246"/>
      <c r="AB130" s="246"/>
      <c r="AC130" s="246"/>
      <c r="AD130" s="246"/>
      <c r="AE130" s="246"/>
      <c r="AF130" s="246"/>
      <c r="AG130" s="246"/>
      <c r="AH130" s="246"/>
      <c r="AI130" s="246"/>
      <c r="AJ130" s="246"/>
      <c r="AK130" s="246"/>
      <c r="AL130" s="246"/>
      <c r="AM130" s="246"/>
      <c r="AN130" s="246"/>
      <c r="AO130" s="246"/>
      <c r="AP130" s="246"/>
      <c r="AQ130" s="246"/>
      <c r="BK130" s="322"/>
      <c r="BL130" s="322"/>
      <c r="BM130" s="322"/>
      <c r="BN130" s="322"/>
      <c r="BO130" s="322"/>
      <c r="BP130" s="322"/>
      <c r="BQ130" s="322"/>
      <c r="BR130" s="322"/>
      <c r="BS130" s="322"/>
      <c r="BT130" s="322"/>
      <c r="BU130" s="322"/>
      <c r="BV130" s="322"/>
      <c r="BW130" s="322"/>
      <c r="BX130" s="322"/>
      <c r="BY130" s="322"/>
      <c r="BZ130" s="322"/>
      <c r="CA130" s="322"/>
      <c r="CB130" s="322"/>
      <c r="CC130" s="322"/>
      <c r="CD130" s="322"/>
      <c r="CE130" s="322"/>
      <c r="CF130" s="322"/>
      <c r="CG130" s="322"/>
      <c r="CH130" s="322"/>
      <c r="CI130" s="322"/>
      <c r="CJ130" s="322"/>
      <c r="CK130" s="322"/>
      <c r="CL130" s="322"/>
      <c r="CM130" s="322"/>
      <c r="CN130" s="322"/>
      <c r="CO130" s="322"/>
      <c r="CP130" s="322"/>
      <c r="CQ130" s="322"/>
      <c r="CR130" s="322"/>
      <c r="CS130" s="322"/>
      <c r="CT130" s="322"/>
      <c r="CU130" s="322"/>
      <c r="CV130" s="322"/>
      <c r="CW130" s="322"/>
      <c r="CX130" s="322"/>
      <c r="CY130" s="322"/>
      <c r="CZ130" s="322"/>
      <c r="DA130" s="322"/>
      <c r="DB130" s="322"/>
      <c r="DC130" s="322"/>
      <c r="DD130" s="322"/>
      <c r="DE130" s="322"/>
      <c r="DF130" s="322"/>
      <c r="DG130" s="322"/>
      <c r="DH130" s="322"/>
      <c r="DI130" s="322"/>
    </row>
    <row r="131" spans="1:113" s="125" customFormat="1" x14ac:dyDescent="0.2">
      <c r="A131" s="364" t="s">
        <v>519</v>
      </c>
      <c r="B131" s="365"/>
      <c r="C131" s="365"/>
      <c r="D131" s="365"/>
      <c r="E131" s="365"/>
      <c r="F131" s="365"/>
      <c r="G131" s="366"/>
      <c r="H131" s="2250">
        <v>20</v>
      </c>
      <c r="I131" s="2251"/>
      <c r="J131" s="2252"/>
      <c r="K131" s="1544"/>
      <c r="L131" s="1545"/>
      <c r="M131" s="1546"/>
      <c r="N131" s="1544"/>
      <c r="O131" s="1545"/>
      <c r="P131" s="1546"/>
      <c r="Q131" s="1544"/>
      <c r="R131" s="1545"/>
      <c r="S131" s="1546"/>
      <c r="T131" s="2208"/>
      <c r="U131" s="2209"/>
      <c r="V131" s="2210"/>
      <c r="W131" s="2208"/>
      <c r="X131" s="2209"/>
      <c r="Y131" s="2211"/>
      <c r="Z131" s="246"/>
      <c r="AA131" s="246"/>
      <c r="AB131" s="246"/>
      <c r="AC131" s="246"/>
      <c r="AD131" s="246"/>
      <c r="AE131" s="246"/>
      <c r="AF131" s="246"/>
      <c r="AG131" s="246"/>
      <c r="AH131" s="246"/>
      <c r="AI131" s="246"/>
      <c r="AP131" s="247"/>
      <c r="AV131" s="402"/>
      <c r="AW131" s="402"/>
      <c r="AX131" s="402"/>
      <c r="AY131" s="402"/>
      <c r="AZ131" s="402"/>
      <c r="BA131" s="402"/>
      <c r="BB131" s="402"/>
      <c r="BC131" s="402"/>
      <c r="BD131" s="402"/>
      <c r="BE131" s="402"/>
      <c r="BF131" s="402"/>
      <c r="BG131" s="402"/>
      <c r="BH131" s="402"/>
      <c r="BI131" s="402"/>
      <c r="BJ131" s="402"/>
      <c r="BK131" s="402"/>
      <c r="BL131" s="402"/>
      <c r="BM131" s="402"/>
      <c r="BN131" s="402"/>
      <c r="BO131" s="402"/>
      <c r="BP131" s="402"/>
      <c r="BQ131" s="402"/>
      <c r="BR131" s="402"/>
      <c r="BS131" s="402"/>
      <c r="BT131" s="402"/>
      <c r="BU131" s="402"/>
      <c r="BV131" s="402"/>
      <c r="BW131" s="402"/>
      <c r="BX131" s="402"/>
      <c r="BY131" s="402"/>
      <c r="BZ131" s="402"/>
      <c r="CA131" s="402"/>
      <c r="CB131" s="402"/>
      <c r="CC131" s="402"/>
      <c r="CD131" s="402"/>
      <c r="CE131" s="402"/>
      <c r="CF131" s="402"/>
      <c r="CG131" s="402"/>
      <c r="CH131" s="402"/>
      <c r="CI131" s="402"/>
      <c r="CJ131" s="402"/>
      <c r="CK131" s="402"/>
      <c r="CL131" s="402"/>
      <c r="CM131" s="402"/>
      <c r="CN131" s="402"/>
      <c r="CO131" s="402"/>
      <c r="CP131" s="402"/>
      <c r="CQ131" s="402"/>
      <c r="CR131" s="402"/>
      <c r="CS131" s="402"/>
      <c r="CT131" s="402"/>
    </row>
    <row r="132" spans="1:113" s="125" customFormat="1" x14ac:dyDescent="0.2">
      <c r="G132" s="248"/>
      <c r="H132" s="89"/>
      <c r="I132" s="89"/>
      <c r="J132" s="89"/>
      <c r="K132" s="89"/>
      <c r="L132" s="89"/>
      <c r="M132" s="89"/>
      <c r="N132" s="89"/>
      <c r="O132" s="89"/>
      <c r="P132" s="89"/>
      <c r="Q132" s="89"/>
      <c r="R132" s="89"/>
      <c r="S132" s="89"/>
      <c r="T132" s="89"/>
      <c r="U132" s="89"/>
      <c r="V132" s="89"/>
      <c r="W132" s="89"/>
      <c r="X132" s="89"/>
      <c r="Y132" s="248"/>
      <c r="Z132" s="248"/>
      <c r="AA132" s="248"/>
      <c r="AB132" s="248"/>
      <c r="AV132" s="402"/>
      <c r="AW132" s="402"/>
      <c r="AX132" s="402"/>
      <c r="AY132" s="402"/>
      <c r="AZ132" s="402"/>
      <c r="BA132" s="402"/>
      <c r="BB132" s="402"/>
      <c r="BC132" s="402"/>
      <c r="BD132" s="402"/>
      <c r="BE132" s="402"/>
      <c r="BF132" s="402"/>
      <c r="BG132" s="402"/>
      <c r="BH132" s="402"/>
      <c r="BI132" s="402"/>
      <c r="BJ132" s="402"/>
      <c r="BK132" s="402"/>
      <c r="BL132" s="402"/>
      <c r="BM132" s="402"/>
      <c r="BN132" s="402"/>
      <c r="BO132" s="402"/>
      <c r="BP132" s="402"/>
      <c r="BQ132" s="402"/>
      <c r="BR132" s="402"/>
      <c r="BS132" s="402"/>
      <c r="BT132" s="402"/>
      <c r="BU132" s="402"/>
      <c r="BV132" s="402"/>
      <c r="BW132" s="402"/>
      <c r="BX132" s="402"/>
      <c r="BY132" s="402"/>
      <c r="BZ132" s="402"/>
      <c r="CA132" s="402"/>
      <c r="CB132" s="402"/>
      <c r="CC132" s="402"/>
      <c r="CD132" s="402"/>
      <c r="CE132" s="402"/>
      <c r="CF132" s="402"/>
      <c r="CG132" s="402"/>
      <c r="CH132" s="402"/>
      <c r="CI132" s="402"/>
      <c r="CJ132" s="402"/>
      <c r="CK132" s="402"/>
      <c r="CL132" s="402"/>
      <c r="CM132" s="402"/>
      <c r="CN132" s="402"/>
      <c r="CO132" s="402"/>
      <c r="CP132" s="402"/>
      <c r="CQ132" s="402"/>
      <c r="CR132" s="402"/>
      <c r="CS132" s="402"/>
      <c r="CT132" s="402"/>
    </row>
    <row r="133" spans="1:113" s="125" customFormat="1" x14ac:dyDescent="0.2">
      <c r="G133" s="248"/>
      <c r="H133" s="89"/>
      <c r="I133" s="89"/>
      <c r="J133" s="89"/>
      <c r="K133" s="89"/>
      <c r="L133" s="89"/>
      <c r="M133" s="89"/>
      <c r="N133" s="89"/>
      <c r="O133" s="89"/>
      <c r="P133" s="89"/>
      <c r="Q133" s="89"/>
      <c r="R133" s="89"/>
      <c r="S133" s="89"/>
      <c r="T133" s="89"/>
      <c r="U133" s="89"/>
      <c r="V133" s="89"/>
      <c r="W133" s="89"/>
      <c r="X133" s="89"/>
      <c r="Y133" s="248"/>
      <c r="Z133" s="248"/>
      <c r="AA133" s="248"/>
      <c r="AB133" s="248"/>
      <c r="AV133" s="402"/>
      <c r="AW133" s="402"/>
      <c r="AX133" s="402"/>
      <c r="AY133" s="402"/>
      <c r="AZ133" s="402"/>
      <c r="BA133" s="402"/>
      <c r="BB133" s="402"/>
      <c r="BC133" s="402"/>
      <c r="BD133" s="402"/>
      <c r="BE133" s="402"/>
      <c r="BF133" s="402"/>
      <c r="BG133" s="402"/>
      <c r="BH133" s="402"/>
      <c r="BI133" s="402"/>
      <c r="BJ133" s="402"/>
      <c r="BK133" s="402"/>
      <c r="BL133" s="402"/>
      <c r="BM133" s="402"/>
      <c r="BN133" s="402"/>
      <c r="BO133" s="402"/>
      <c r="BP133" s="402"/>
      <c r="BQ133" s="402"/>
      <c r="BR133" s="402"/>
      <c r="BS133" s="402"/>
      <c r="BT133" s="402"/>
      <c r="BU133" s="402"/>
      <c r="BV133" s="402"/>
      <c r="BW133" s="402"/>
      <c r="BX133" s="402"/>
      <c r="BY133" s="402"/>
      <c r="BZ133" s="402"/>
      <c r="CA133" s="402"/>
      <c r="CB133" s="402"/>
      <c r="CC133" s="402"/>
      <c r="CD133" s="402"/>
      <c r="CE133" s="402"/>
      <c r="CF133" s="402"/>
      <c r="CG133" s="402"/>
      <c r="CH133" s="402"/>
      <c r="CI133" s="402"/>
      <c r="CJ133" s="402"/>
      <c r="CK133" s="402"/>
      <c r="CL133" s="402"/>
      <c r="CM133" s="402"/>
      <c r="CN133" s="402"/>
      <c r="CO133" s="402"/>
      <c r="CP133" s="402"/>
      <c r="CQ133" s="402"/>
      <c r="CR133" s="402"/>
      <c r="CS133" s="402"/>
      <c r="CT133" s="402"/>
    </row>
    <row r="134" spans="1:113" s="125" customFormat="1" x14ac:dyDescent="0.2">
      <c r="G134" s="248"/>
      <c r="H134" s="89"/>
      <c r="I134" s="89"/>
      <c r="J134" s="89"/>
      <c r="K134" s="89"/>
      <c r="L134" s="89"/>
      <c r="M134" s="89"/>
      <c r="N134" s="89"/>
      <c r="O134" s="89"/>
      <c r="P134" s="89"/>
      <c r="Q134" s="89"/>
      <c r="R134" s="89"/>
      <c r="S134" s="89"/>
      <c r="T134" s="89"/>
      <c r="U134" s="89"/>
      <c r="V134" s="89"/>
      <c r="W134" s="89"/>
      <c r="X134" s="89"/>
      <c r="Y134" s="248"/>
      <c r="Z134" s="248"/>
      <c r="AA134" s="248"/>
      <c r="AB134" s="248"/>
      <c r="AV134" s="402"/>
      <c r="AW134" s="402"/>
      <c r="AX134" s="402"/>
      <c r="AY134" s="402"/>
      <c r="AZ134" s="402"/>
      <c r="BA134" s="402"/>
      <c r="BB134" s="402"/>
      <c r="BC134" s="402"/>
      <c r="BD134" s="402"/>
      <c r="BE134" s="402"/>
      <c r="BF134" s="402"/>
      <c r="BG134" s="402"/>
      <c r="BH134" s="402"/>
      <c r="BI134" s="402"/>
      <c r="BJ134" s="402"/>
      <c r="BK134" s="402"/>
      <c r="BL134" s="402"/>
      <c r="BM134" s="402"/>
      <c r="BN134" s="402"/>
      <c r="BO134" s="402"/>
      <c r="BP134" s="402"/>
      <c r="BQ134" s="402"/>
      <c r="BR134" s="402"/>
      <c r="BS134" s="402"/>
      <c r="BT134" s="402"/>
      <c r="BU134" s="402"/>
      <c r="BV134" s="402"/>
      <c r="BW134" s="402"/>
      <c r="BX134" s="402"/>
      <c r="BY134" s="402"/>
      <c r="BZ134" s="402"/>
      <c r="CA134" s="402"/>
      <c r="CB134" s="402"/>
      <c r="CC134" s="402"/>
      <c r="CD134" s="402"/>
      <c r="CE134" s="402"/>
      <c r="CF134" s="402"/>
      <c r="CG134" s="402"/>
      <c r="CH134" s="402"/>
      <c r="CI134" s="402"/>
      <c r="CJ134" s="402"/>
      <c r="CK134" s="402"/>
      <c r="CL134" s="402"/>
      <c r="CM134" s="402"/>
      <c r="CN134" s="402"/>
      <c r="CO134" s="402"/>
      <c r="CP134" s="402"/>
      <c r="CQ134" s="402"/>
      <c r="CR134" s="402"/>
      <c r="CS134" s="402"/>
      <c r="CT134" s="402"/>
    </row>
    <row r="135" spans="1:113" s="125" customFormat="1" x14ac:dyDescent="0.2">
      <c r="G135" s="248"/>
      <c r="H135" s="89"/>
      <c r="I135" s="89"/>
      <c r="J135" s="89"/>
      <c r="K135" s="89"/>
      <c r="L135" s="89"/>
      <c r="M135" s="89"/>
      <c r="N135" s="89"/>
      <c r="O135" s="89"/>
      <c r="P135" s="89"/>
      <c r="Q135" s="89"/>
      <c r="R135" s="89"/>
      <c r="S135" s="89"/>
      <c r="T135" s="89"/>
      <c r="U135" s="89"/>
      <c r="V135" s="89"/>
      <c r="W135" s="89"/>
      <c r="X135" s="89"/>
      <c r="Y135" s="248"/>
      <c r="Z135" s="248"/>
      <c r="AA135" s="248"/>
      <c r="AB135" s="248"/>
      <c r="AV135" s="402"/>
      <c r="AW135" s="402"/>
      <c r="AX135" s="402"/>
      <c r="AY135" s="402"/>
      <c r="AZ135" s="402"/>
      <c r="BA135" s="402"/>
      <c r="BB135" s="402"/>
      <c r="BC135" s="402"/>
      <c r="BD135" s="402"/>
      <c r="BE135" s="402"/>
      <c r="BF135" s="402"/>
      <c r="BG135" s="402"/>
      <c r="BH135" s="402"/>
      <c r="BI135" s="402"/>
      <c r="BJ135" s="402"/>
      <c r="BK135" s="402"/>
      <c r="BL135" s="402"/>
      <c r="BM135" s="402"/>
      <c r="BN135" s="402"/>
      <c r="BO135" s="402"/>
      <c r="BP135" s="402"/>
      <c r="BQ135" s="402"/>
      <c r="BR135" s="402"/>
      <c r="BS135" s="402"/>
      <c r="BT135" s="402"/>
      <c r="BU135" s="402"/>
      <c r="BV135" s="402"/>
      <c r="BW135" s="402"/>
      <c r="BX135" s="402"/>
      <c r="BY135" s="402"/>
      <c r="BZ135" s="402"/>
      <c r="CA135" s="402"/>
      <c r="CB135" s="402"/>
      <c r="CC135" s="402"/>
      <c r="CD135" s="402"/>
      <c r="CE135" s="402"/>
      <c r="CF135" s="402"/>
      <c r="CG135" s="402"/>
      <c r="CH135" s="402"/>
      <c r="CI135" s="402"/>
      <c r="CJ135" s="402"/>
      <c r="CK135" s="402"/>
      <c r="CL135" s="402"/>
      <c r="CM135" s="402"/>
      <c r="CN135" s="402"/>
      <c r="CO135" s="402"/>
      <c r="CP135" s="402"/>
      <c r="CQ135" s="402"/>
      <c r="CR135" s="402"/>
      <c r="CS135" s="402"/>
      <c r="CT135" s="402"/>
    </row>
    <row r="136" spans="1:113" s="125" customFormat="1" x14ac:dyDescent="0.2">
      <c r="G136" s="248"/>
      <c r="H136" s="89"/>
      <c r="I136" s="89"/>
      <c r="J136" s="89"/>
      <c r="K136" s="89"/>
      <c r="L136" s="89"/>
      <c r="M136" s="89"/>
      <c r="N136" s="89"/>
      <c r="O136" s="89"/>
      <c r="P136" s="89"/>
      <c r="Q136" s="89"/>
      <c r="R136" s="89"/>
      <c r="S136" s="89"/>
      <c r="T136" s="89"/>
      <c r="U136" s="89"/>
      <c r="V136" s="89"/>
      <c r="W136" s="89"/>
      <c r="X136" s="89"/>
      <c r="Y136" s="248"/>
      <c r="Z136" s="248"/>
      <c r="AA136" s="248"/>
      <c r="AB136" s="248"/>
      <c r="AV136" s="402"/>
      <c r="AW136" s="402"/>
      <c r="AX136" s="402"/>
      <c r="AY136" s="402"/>
      <c r="AZ136" s="402"/>
      <c r="BA136" s="402"/>
      <c r="BB136" s="402"/>
      <c r="BC136" s="402"/>
      <c r="BD136" s="402"/>
      <c r="BE136" s="402"/>
      <c r="BF136" s="402"/>
      <c r="BG136" s="402"/>
      <c r="BH136" s="402"/>
      <c r="BI136" s="402"/>
      <c r="BJ136" s="402"/>
      <c r="BK136" s="402"/>
      <c r="BL136" s="402"/>
      <c r="BM136" s="402"/>
      <c r="BN136" s="402"/>
      <c r="BO136" s="402"/>
      <c r="BP136" s="402"/>
      <c r="BQ136" s="402"/>
      <c r="BR136" s="402"/>
      <c r="BS136" s="402"/>
      <c r="BT136" s="402"/>
      <c r="BU136" s="402"/>
      <c r="BV136" s="402"/>
      <c r="BW136" s="402"/>
      <c r="BX136" s="402"/>
      <c r="BY136" s="402"/>
      <c r="BZ136" s="402"/>
      <c r="CA136" s="402"/>
      <c r="CB136" s="402"/>
      <c r="CC136" s="402"/>
      <c r="CD136" s="402"/>
      <c r="CE136" s="402"/>
      <c r="CF136" s="402"/>
      <c r="CG136" s="402"/>
      <c r="CH136" s="402"/>
      <c r="CI136" s="402"/>
      <c r="CJ136" s="402"/>
      <c r="CK136" s="402"/>
      <c r="CL136" s="402"/>
      <c r="CM136" s="402"/>
      <c r="CN136" s="402"/>
      <c r="CO136" s="402"/>
      <c r="CP136" s="402"/>
      <c r="CQ136" s="402"/>
      <c r="CR136" s="402"/>
      <c r="CS136" s="402"/>
      <c r="CT136" s="402"/>
    </row>
    <row r="137" spans="1:113" s="125" customFormat="1" x14ac:dyDescent="0.2">
      <c r="G137" s="248"/>
      <c r="H137" s="89"/>
      <c r="I137" s="89"/>
      <c r="J137" s="89"/>
      <c r="K137" s="89"/>
      <c r="L137" s="89"/>
      <c r="M137" s="89"/>
      <c r="N137" s="89"/>
      <c r="O137" s="89"/>
      <c r="P137" s="89"/>
      <c r="Q137" s="89"/>
      <c r="R137" s="89"/>
      <c r="S137" s="89"/>
      <c r="T137" s="89"/>
      <c r="U137" s="89"/>
      <c r="V137" s="89"/>
      <c r="W137" s="89"/>
      <c r="X137" s="89"/>
      <c r="Y137" s="248"/>
      <c r="Z137" s="248"/>
      <c r="AA137" s="248"/>
      <c r="AB137" s="248"/>
      <c r="AV137" s="402"/>
      <c r="AW137" s="402"/>
      <c r="AX137" s="402"/>
      <c r="AY137" s="402"/>
      <c r="AZ137" s="402"/>
      <c r="BA137" s="402"/>
      <c r="BB137" s="402"/>
      <c r="BC137" s="402"/>
      <c r="BD137" s="402"/>
      <c r="BE137" s="402"/>
      <c r="BF137" s="402"/>
      <c r="BG137" s="402"/>
      <c r="BH137" s="402"/>
      <c r="BI137" s="402"/>
      <c r="BJ137" s="402"/>
      <c r="BK137" s="402"/>
      <c r="BL137" s="402"/>
      <c r="BM137" s="402"/>
      <c r="BN137" s="402"/>
      <c r="BO137" s="402"/>
      <c r="BP137" s="402"/>
      <c r="BQ137" s="402"/>
      <c r="BR137" s="402"/>
      <c r="BS137" s="402"/>
      <c r="BT137" s="402"/>
      <c r="BU137" s="402"/>
      <c r="BV137" s="402"/>
      <c r="BW137" s="402"/>
      <c r="BX137" s="402"/>
      <c r="BY137" s="402"/>
      <c r="BZ137" s="402"/>
      <c r="CA137" s="402"/>
      <c r="CB137" s="402"/>
      <c r="CC137" s="402"/>
      <c r="CD137" s="402"/>
      <c r="CE137" s="402"/>
      <c r="CF137" s="402"/>
      <c r="CG137" s="402"/>
      <c r="CH137" s="402"/>
      <c r="CI137" s="402"/>
      <c r="CJ137" s="402"/>
      <c r="CK137" s="402"/>
      <c r="CL137" s="402"/>
      <c r="CM137" s="402"/>
      <c r="CN137" s="402"/>
      <c r="CO137" s="402"/>
      <c r="CP137" s="402"/>
      <c r="CQ137" s="402"/>
      <c r="CR137" s="402"/>
      <c r="CS137" s="402"/>
      <c r="CT137" s="402"/>
    </row>
    <row r="138" spans="1:113" s="125" customFormat="1" x14ac:dyDescent="0.2">
      <c r="G138" s="248"/>
      <c r="H138" s="89"/>
      <c r="I138" s="89"/>
      <c r="J138" s="89"/>
      <c r="K138" s="89"/>
      <c r="L138" s="89"/>
      <c r="M138" s="89"/>
      <c r="N138" s="89"/>
      <c r="O138" s="89"/>
      <c r="P138" s="89"/>
      <c r="Q138" s="89"/>
      <c r="R138" s="89"/>
      <c r="S138" s="89"/>
      <c r="T138" s="89"/>
      <c r="U138" s="89"/>
      <c r="V138" s="89"/>
      <c r="W138" s="89"/>
      <c r="X138" s="89"/>
      <c r="Y138" s="248"/>
      <c r="Z138" s="248"/>
      <c r="AA138" s="248"/>
      <c r="AB138" s="248"/>
      <c r="AV138" s="402"/>
      <c r="AW138" s="402"/>
      <c r="AX138" s="402"/>
      <c r="AY138" s="402"/>
      <c r="AZ138" s="402"/>
      <c r="BA138" s="402"/>
      <c r="BB138" s="402"/>
      <c r="BC138" s="402"/>
      <c r="BD138" s="402"/>
      <c r="BE138" s="402"/>
      <c r="BF138" s="402"/>
      <c r="BG138" s="402"/>
      <c r="BH138" s="402"/>
      <c r="BI138" s="402"/>
      <c r="BJ138" s="402"/>
      <c r="BK138" s="402"/>
      <c r="BL138" s="402"/>
      <c r="BM138" s="402"/>
      <c r="BN138" s="402"/>
      <c r="BO138" s="402"/>
      <c r="BP138" s="402"/>
      <c r="BQ138" s="402"/>
      <c r="BR138" s="402"/>
      <c r="BS138" s="402"/>
      <c r="BT138" s="402"/>
      <c r="BU138" s="402"/>
      <c r="BV138" s="402"/>
      <c r="BW138" s="402"/>
      <c r="BX138" s="402"/>
      <c r="BY138" s="402"/>
      <c r="BZ138" s="402"/>
      <c r="CA138" s="402"/>
      <c r="CB138" s="402"/>
      <c r="CC138" s="402"/>
      <c r="CD138" s="402"/>
      <c r="CE138" s="402"/>
      <c r="CF138" s="402"/>
      <c r="CG138" s="402"/>
      <c r="CH138" s="402"/>
      <c r="CI138" s="402"/>
      <c r="CJ138" s="402"/>
      <c r="CK138" s="402"/>
      <c r="CL138" s="402"/>
      <c r="CM138" s="402"/>
      <c r="CN138" s="402"/>
      <c r="CO138" s="402"/>
      <c r="CP138" s="402"/>
      <c r="CQ138" s="402"/>
      <c r="CR138" s="402"/>
      <c r="CS138" s="402"/>
      <c r="CT138" s="402"/>
    </row>
    <row r="139" spans="1:113" s="125" customFormat="1" x14ac:dyDescent="0.2">
      <c r="G139" s="248"/>
      <c r="H139" s="89"/>
      <c r="I139" s="89"/>
      <c r="J139" s="89"/>
      <c r="K139" s="89"/>
      <c r="L139" s="89"/>
      <c r="M139" s="89"/>
      <c r="N139" s="89"/>
      <c r="O139" s="89"/>
      <c r="P139" s="89"/>
      <c r="Q139" s="89"/>
      <c r="R139" s="89"/>
      <c r="S139" s="89"/>
      <c r="T139" s="89"/>
      <c r="U139" s="89"/>
      <c r="V139" s="89"/>
      <c r="W139" s="89"/>
      <c r="X139" s="89"/>
      <c r="Y139" s="248"/>
      <c r="Z139" s="248"/>
      <c r="AA139" s="248"/>
      <c r="AB139" s="248"/>
      <c r="AV139" s="402"/>
      <c r="AW139" s="402"/>
      <c r="AX139" s="402"/>
      <c r="AY139" s="402"/>
      <c r="AZ139" s="402"/>
      <c r="BA139" s="402"/>
      <c r="BB139" s="402"/>
      <c r="BC139" s="402"/>
      <c r="BD139" s="402"/>
      <c r="BE139" s="402"/>
      <c r="BF139" s="402"/>
      <c r="BG139" s="402"/>
      <c r="BH139" s="402"/>
      <c r="BI139" s="402"/>
      <c r="BJ139" s="402"/>
      <c r="BK139" s="402"/>
      <c r="BL139" s="402"/>
      <c r="BM139" s="402"/>
      <c r="BN139" s="402"/>
      <c r="BO139" s="402"/>
      <c r="BP139" s="402"/>
      <c r="BQ139" s="402"/>
      <c r="BR139" s="402"/>
      <c r="BS139" s="402"/>
      <c r="BT139" s="402"/>
      <c r="BU139" s="402"/>
      <c r="BV139" s="402"/>
      <c r="BW139" s="402"/>
      <c r="BX139" s="402"/>
      <c r="BY139" s="402"/>
      <c r="BZ139" s="402"/>
      <c r="CA139" s="402"/>
      <c r="CB139" s="402"/>
      <c r="CC139" s="402"/>
      <c r="CD139" s="402"/>
      <c r="CE139" s="402"/>
      <c r="CF139" s="402"/>
      <c r="CG139" s="402"/>
      <c r="CH139" s="402"/>
      <c r="CI139" s="402"/>
      <c r="CJ139" s="402"/>
      <c r="CK139" s="402"/>
      <c r="CL139" s="402"/>
      <c r="CM139" s="402"/>
      <c r="CN139" s="402"/>
      <c r="CO139" s="402"/>
      <c r="CP139" s="402"/>
      <c r="CQ139" s="402"/>
      <c r="CR139" s="402"/>
      <c r="CS139" s="402"/>
      <c r="CT139" s="402"/>
    </row>
    <row r="140" spans="1:113" s="125" customFormat="1" x14ac:dyDescent="0.2">
      <c r="G140" s="248"/>
      <c r="H140" s="89"/>
      <c r="I140" s="89"/>
      <c r="J140" s="89"/>
      <c r="K140" s="89"/>
      <c r="L140" s="89"/>
      <c r="M140" s="89"/>
      <c r="N140" s="89"/>
      <c r="O140" s="89"/>
      <c r="P140" s="89"/>
      <c r="Q140" s="89"/>
      <c r="R140" s="89"/>
      <c r="S140" s="89"/>
      <c r="T140" s="89"/>
      <c r="U140" s="89"/>
      <c r="V140" s="89"/>
      <c r="W140" s="89"/>
      <c r="X140" s="89"/>
      <c r="Y140" s="248"/>
      <c r="Z140" s="248"/>
      <c r="AA140" s="248"/>
      <c r="AB140" s="248"/>
      <c r="AV140" s="402"/>
      <c r="AW140" s="402"/>
      <c r="AX140" s="402"/>
      <c r="AY140" s="402"/>
      <c r="AZ140" s="402"/>
      <c r="BA140" s="402"/>
      <c r="BB140" s="402"/>
      <c r="BC140" s="402"/>
      <c r="BD140" s="402"/>
      <c r="BE140" s="402"/>
      <c r="BF140" s="402"/>
      <c r="BG140" s="402"/>
      <c r="BH140" s="402"/>
      <c r="BI140" s="402"/>
      <c r="BJ140" s="402"/>
      <c r="BK140" s="402"/>
      <c r="BL140" s="402"/>
      <c r="BM140" s="402"/>
      <c r="BN140" s="402"/>
      <c r="BO140" s="402"/>
      <c r="BP140" s="402"/>
      <c r="BQ140" s="402"/>
      <c r="BR140" s="402"/>
      <c r="BS140" s="402"/>
      <c r="BT140" s="402"/>
      <c r="BU140" s="402"/>
      <c r="BV140" s="402"/>
      <c r="BW140" s="402"/>
      <c r="BX140" s="402"/>
      <c r="BY140" s="402"/>
      <c r="BZ140" s="402"/>
      <c r="CA140" s="402"/>
      <c r="CB140" s="402"/>
      <c r="CC140" s="402"/>
      <c r="CD140" s="402"/>
      <c r="CE140" s="402"/>
      <c r="CF140" s="402"/>
      <c r="CG140" s="402"/>
      <c r="CH140" s="402"/>
      <c r="CI140" s="402"/>
      <c r="CJ140" s="402"/>
      <c r="CK140" s="402"/>
      <c r="CL140" s="402"/>
      <c r="CM140" s="402"/>
      <c r="CN140" s="402"/>
      <c r="CO140" s="402"/>
      <c r="CP140" s="402"/>
      <c r="CQ140" s="402"/>
      <c r="CR140" s="402"/>
      <c r="CS140" s="402"/>
      <c r="CT140" s="402"/>
    </row>
    <row r="141" spans="1:113" s="125" customFormat="1" x14ac:dyDescent="0.2">
      <c r="G141" s="248"/>
      <c r="H141" s="89"/>
      <c r="I141" s="89"/>
      <c r="J141" s="89"/>
      <c r="K141" s="89"/>
      <c r="L141" s="89"/>
      <c r="M141" s="89"/>
      <c r="N141" s="89"/>
      <c r="O141" s="89"/>
      <c r="P141" s="89"/>
      <c r="Q141" s="89"/>
      <c r="R141" s="89"/>
      <c r="S141" s="89"/>
      <c r="T141" s="89"/>
      <c r="U141" s="89"/>
      <c r="V141" s="89"/>
      <c r="W141" s="89"/>
      <c r="X141" s="89"/>
      <c r="Y141" s="248"/>
      <c r="Z141" s="248"/>
      <c r="AA141" s="248"/>
      <c r="AB141" s="248"/>
      <c r="AV141" s="402"/>
      <c r="AW141" s="402"/>
      <c r="AX141" s="402"/>
      <c r="AY141" s="402"/>
      <c r="AZ141" s="402"/>
      <c r="BA141" s="402"/>
      <c r="BB141" s="402"/>
      <c r="BC141" s="402"/>
      <c r="BD141" s="402"/>
      <c r="BE141" s="402"/>
      <c r="BF141" s="402"/>
      <c r="BG141" s="402"/>
      <c r="BH141" s="402"/>
      <c r="BI141" s="402"/>
      <c r="BJ141" s="402"/>
      <c r="BK141" s="402"/>
      <c r="BL141" s="402"/>
      <c r="BM141" s="402"/>
      <c r="BN141" s="402"/>
      <c r="BO141" s="402"/>
      <c r="BP141" s="402"/>
      <c r="BQ141" s="402"/>
      <c r="BR141" s="402"/>
      <c r="BS141" s="402"/>
      <c r="BT141" s="402"/>
      <c r="BU141" s="402"/>
      <c r="BV141" s="402"/>
      <c r="BW141" s="402"/>
      <c r="BX141" s="402"/>
      <c r="BY141" s="402"/>
      <c r="BZ141" s="402"/>
      <c r="CA141" s="402"/>
      <c r="CB141" s="402"/>
      <c r="CC141" s="402"/>
      <c r="CD141" s="402"/>
      <c r="CE141" s="402"/>
      <c r="CF141" s="402"/>
      <c r="CG141" s="402"/>
      <c r="CH141" s="402"/>
      <c r="CI141" s="402"/>
      <c r="CJ141" s="402"/>
      <c r="CK141" s="402"/>
      <c r="CL141" s="402"/>
      <c r="CM141" s="402"/>
      <c r="CN141" s="402"/>
      <c r="CO141" s="402"/>
      <c r="CP141" s="402"/>
      <c r="CQ141" s="402"/>
      <c r="CR141" s="402"/>
      <c r="CS141" s="402"/>
      <c r="CT141" s="402"/>
    </row>
    <row r="142" spans="1:113" s="125" customFormat="1" x14ac:dyDescent="0.2">
      <c r="G142" s="248"/>
      <c r="H142" s="89"/>
      <c r="I142" s="89"/>
      <c r="J142" s="89"/>
      <c r="K142" s="89"/>
      <c r="L142" s="89"/>
      <c r="M142" s="89"/>
      <c r="N142" s="89"/>
      <c r="O142" s="89"/>
      <c r="P142" s="89"/>
      <c r="Q142" s="89"/>
      <c r="R142" s="89"/>
      <c r="S142" s="89"/>
      <c r="T142" s="89"/>
      <c r="U142" s="89"/>
      <c r="V142" s="89"/>
      <c r="W142" s="89"/>
      <c r="X142" s="89"/>
      <c r="Y142" s="248"/>
      <c r="Z142" s="248"/>
      <c r="AA142" s="248"/>
      <c r="AB142" s="248"/>
      <c r="AV142" s="402"/>
      <c r="AW142" s="402"/>
      <c r="AX142" s="402"/>
      <c r="AY142" s="402"/>
      <c r="AZ142" s="402"/>
      <c r="BA142" s="402"/>
      <c r="BB142" s="402"/>
      <c r="BC142" s="402"/>
      <c r="BD142" s="402"/>
      <c r="BE142" s="402"/>
      <c r="BF142" s="402"/>
      <c r="BG142" s="402"/>
      <c r="BH142" s="402"/>
      <c r="BI142" s="402"/>
      <c r="BJ142" s="402"/>
      <c r="BK142" s="402"/>
      <c r="BL142" s="402"/>
      <c r="BM142" s="402"/>
      <c r="BN142" s="402"/>
      <c r="BO142" s="402"/>
      <c r="BP142" s="402"/>
      <c r="BQ142" s="402"/>
      <c r="BR142" s="402"/>
      <c r="BS142" s="402"/>
      <c r="BT142" s="402"/>
      <c r="BU142" s="402"/>
      <c r="BV142" s="402"/>
      <c r="BW142" s="402"/>
      <c r="BX142" s="402"/>
      <c r="BY142" s="402"/>
      <c r="BZ142" s="402"/>
      <c r="CA142" s="402"/>
      <c r="CB142" s="402"/>
      <c r="CC142" s="402"/>
      <c r="CD142" s="402"/>
      <c r="CE142" s="402"/>
      <c r="CF142" s="402"/>
      <c r="CG142" s="402"/>
      <c r="CH142" s="402"/>
      <c r="CI142" s="402"/>
      <c r="CJ142" s="402"/>
      <c r="CK142" s="402"/>
      <c r="CL142" s="402"/>
      <c r="CM142" s="402"/>
      <c r="CN142" s="402"/>
      <c r="CO142" s="402"/>
      <c r="CP142" s="402"/>
      <c r="CQ142" s="402"/>
      <c r="CR142" s="402"/>
      <c r="CS142" s="402"/>
      <c r="CT142" s="402"/>
    </row>
    <row r="143" spans="1:113" s="125" customFormat="1" x14ac:dyDescent="0.2">
      <c r="G143" s="248"/>
      <c r="H143" s="89"/>
      <c r="I143" s="89"/>
      <c r="J143" s="89"/>
      <c r="K143" s="89"/>
      <c r="L143" s="89"/>
      <c r="M143" s="89"/>
      <c r="N143" s="89"/>
      <c r="O143" s="89"/>
      <c r="P143" s="89"/>
      <c r="Q143" s="89"/>
      <c r="R143" s="89"/>
      <c r="S143" s="89"/>
      <c r="T143" s="89"/>
      <c r="U143" s="89"/>
      <c r="V143" s="89"/>
      <c r="W143" s="89"/>
      <c r="X143" s="89"/>
      <c r="Y143" s="248"/>
      <c r="Z143" s="248"/>
      <c r="AA143" s="248"/>
      <c r="AB143" s="248"/>
      <c r="AV143" s="402"/>
      <c r="AW143" s="402"/>
      <c r="AX143" s="402"/>
      <c r="AY143" s="402"/>
      <c r="AZ143" s="402"/>
      <c r="BA143" s="402"/>
      <c r="BB143" s="402"/>
      <c r="BC143" s="402"/>
      <c r="BD143" s="402"/>
      <c r="BE143" s="402"/>
      <c r="BF143" s="402"/>
      <c r="BG143" s="402"/>
      <c r="BH143" s="402"/>
      <c r="BI143" s="402"/>
      <c r="BJ143" s="402"/>
      <c r="BK143" s="402"/>
      <c r="BL143" s="402"/>
      <c r="BM143" s="402"/>
      <c r="BN143" s="402"/>
      <c r="BO143" s="402"/>
      <c r="BP143" s="402"/>
      <c r="BQ143" s="402"/>
      <c r="BR143" s="402"/>
      <c r="BS143" s="402"/>
      <c r="BT143" s="402"/>
      <c r="BU143" s="402"/>
      <c r="BV143" s="402"/>
      <c r="BW143" s="402"/>
      <c r="BX143" s="402"/>
      <c r="BY143" s="402"/>
      <c r="BZ143" s="402"/>
      <c r="CA143" s="402"/>
      <c r="CB143" s="402"/>
      <c r="CC143" s="402"/>
      <c r="CD143" s="402"/>
      <c r="CE143" s="402"/>
      <c r="CF143" s="402"/>
      <c r="CG143" s="402"/>
      <c r="CH143" s="402"/>
      <c r="CI143" s="402"/>
      <c r="CJ143" s="402"/>
      <c r="CK143" s="402"/>
      <c r="CL143" s="402"/>
      <c r="CM143" s="402"/>
      <c r="CN143" s="402"/>
      <c r="CO143" s="402"/>
      <c r="CP143" s="402"/>
      <c r="CQ143" s="402"/>
      <c r="CR143" s="402"/>
      <c r="CS143" s="402"/>
      <c r="CT143" s="402"/>
    </row>
    <row r="144" spans="1:113" s="125" customFormat="1" x14ac:dyDescent="0.2">
      <c r="G144" s="248"/>
      <c r="H144" s="89"/>
      <c r="I144" s="89"/>
      <c r="J144" s="89"/>
      <c r="K144" s="89"/>
      <c r="L144" s="89"/>
      <c r="M144" s="89"/>
      <c r="N144" s="89"/>
      <c r="O144" s="89"/>
      <c r="P144" s="89"/>
      <c r="Q144" s="89"/>
      <c r="R144" s="89"/>
      <c r="S144" s="89"/>
      <c r="T144" s="89"/>
      <c r="U144" s="89"/>
      <c r="V144" s="89"/>
      <c r="W144" s="89"/>
      <c r="X144" s="89"/>
      <c r="Y144" s="248"/>
      <c r="Z144" s="248"/>
      <c r="AA144" s="248"/>
      <c r="AB144" s="248"/>
      <c r="AV144" s="402"/>
      <c r="AW144" s="402"/>
      <c r="AX144" s="402"/>
      <c r="AY144" s="402"/>
      <c r="AZ144" s="402"/>
      <c r="BA144" s="402"/>
      <c r="BB144" s="402"/>
      <c r="BC144" s="402"/>
      <c r="BD144" s="402"/>
      <c r="BE144" s="402"/>
      <c r="BF144" s="402"/>
      <c r="BG144" s="402"/>
      <c r="BH144" s="402"/>
      <c r="BI144" s="402"/>
      <c r="BJ144" s="402"/>
      <c r="BK144" s="402"/>
      <c r="BL144" s="402"/>
      <c r="BM144" s="402"/>
      <c r="BN144" s="402"/>
      <c r="BO144" s="402"/>
      <c r="BP144" s="402"/>
      <c r="BQ144" s="402"/>
      <c r="BR144" s="402"/>
      <c r="BS144" s="402"/>
      <c r="BT144" s="402"/>
      <c r="BU144" s="402"/>
      <c r="BV144" s="402"/>
      <c r="BW144" s="402"/>
      <c r="BX144" s="402"/>
      <c r="BY144" s="402"/>
      <c r="BZ144" s="402"/>
      <c r="CA144" s="402"/>
      <c r="CB144" s="402"/>
      <c r="CC144" s="402"/>
      <c r="CD144" s="402"/>
      <c r="CE144" s="402"/>
      <c r="CF144" s="402"/>
      <c r="CG144" s="402"/>
      <c r="CH144" s="402"/>
      <c r="CI144" s="402"/>
      <c r="CJ144" s="402"/>
      <c r="CK144" s="402"/>
      <c r="CL144" s="402"/>
      <c r="CM144" s="402"/>
      <c r="CN144" s="402"/>
      <c r="CO144" s="402"/>
      <c r="CP144" s="402"/>
      <c r="CQ144" s="402"/>
      <c r="CR144" s="402"/>
      <c r="CS144" s="402"/>
      <c r="CT144" s="402"/>
    </row>
    <row r="145" spans="7:98" s="125" customFormat="1" x14ac:dyDescent="0.2">
      <c r="G145" s="248"/>
      <c r="H145" s="89"/>
      <c r="I145" s="89"/>
      <c r="J145" s="89"/>
      <c r="K145" s="89"/>
      <c r="L145" s="89"/>
      <c r="M145" s="89"/>
      <c r="N145" s="89"/>
      <c r="O145" s="89"/>
      <c r="P145" s="89"/>
      <c r="Q145" s="89"/>
      <c r="R145" s="89"/>
      <c r="S145" s="89"/>
      <c r="T145" s="89"/>
      <c r="U145" s="89"/>
      <c r="V145" s="89"/>
      <c r="W145" s="89"/>
      <c r="X145" s="89"/>
      <c r="Y145" s="248"/>
      <c r="Z145" s="248"/>
      <c r="AA145" s="248"/>
      <c r="AB145" s="248"/>
      <c r="AV145" s="402"/>
      <c r="AW145" s="402"/>
      <c r="AX145" s="402"/>
      <c r="AY145" s="402"/>
      <c r="AZ145" s="402"/>
      <c r="BA145" s="402"/>
      <c r="BB145" s="402"/>
      <c r="BC145" s="402"/>
      <c r="BD145" s="402"/>
      <c r="BE145" s="402"/>
      <c r="BF145" s="402"/>
      <c r="BG145" s="402"/>
      <c r="BH145" s="402"/>
      <c r="BI145" s="402"/>
      <c r="BJ145" s="402"/>
      <c r="BK145" s="402"/>
      <c r="BL145" s="402"/>
      <c r="BM145" s="402"/>
      <c r="BN145" s="402"/>
      <c r="BO145" s="402"/>
      <c r="BP145" s="402"/>
      <c r="BQ145" s="402"/>
      <c r="BR145" s="402"/>
      <c r="BS145" s="402"/>
      <c r="BT145" s="402"/>
      <c r="BU145" s="402"/>
      <c r="BV145" s="402"/>
      <c r="BW145" s="402"/>
      <c r="BX145" s="402"/>
      <c r="BY145" s="402"/>
      <c r="BZ145" s="402"/>
      <c r="CA145" s="402"/>
      <c r="CB145" s="402"/>
      <c r="CC145" s="402"/>
      <c r="CD145" s="402"/>
      <c r="CE145" s="402"/>
      <c r="CF145" s="402"/>
      <c r="CG145" s="402"/>
      <c r="CH145" s="402"/>
      <c r="CI145" s="402"/>
      <c r="CJ145" s="402"/>
      <c r="CK145" s="402"/>
      <c r="CL145" s="402"/>
      <c r="CM145" s="402"/>
      <c r="CN145" s="402"/>
      <c r="CO145" s="402"/>
      <c r="CP145" s="402"/>
      <c r="CQ145" s="402"/>
      <c r="CR145" s="402"/>
      <c r="CS145" s="402"/>
      <c r="CT145" s="402"/>
    </row>
    <row r="146" spans="7:98" s="125" customFormat="1" x14ac:dyDescent="0.2">
      <c r="G146" s="248"/>
      <c r="H146" s="89"/>
      <c r="I146" s="89"/>
      <c r="J146" s="89"/>
      <c r="K146" s="89"/>
      <c r="L146" s="89"/>
      <c r="M146" s="89"/>
      <c r="N146" s="89"/>
      <c r="O146" s="89"/>
      <c r="P146" s="89"/>
      <c r="Q146" s="89"/>
      <c r="R146" s="89"/>
      <c r="S146" s="89"/>
      <c r="T146" s="89"/>
      <c r="U146" s="89"/>
      <c r="V146" s="89"/>
      <c r="W146" s="89"/>
      <c r="X146" s="89"/>
      <c r="Y146" s="248"/>
      <c r="Z146" s="248"/>
      <c r="AA146" s="248"/>
      <c r="AB146" s="248"/>
      <c r="AV146" s="402"/>
      <c r="AW146" s="402"/>
      <c r="AX146" s="402"/>
      <c r="AY146" s="402"/>
      <c r="AZ146" s="402"/>
      <c r="BA146" s="402"/>
      <c r="BB146" s="402"/>
      <c r="BC146" s="402"/>
      <c r="BD146" s="402"/>
      <c r="BE146" s="402"/>
      <c r="BF146" s="402"/>
      <c r="BG146" s="402"/>
      <c r="BH146" s="402"/>
      <c r="BI146" s="402"/>
      <c r="BJ146" s="402"/>
      <c r="BK146" s="402"/>
      <c r="BL146" s="402"/>
      <c r="BM146" s="402"/>
      <c r="BN146" s="402"/>
      <c r="BO146" s="402"/>
      <c r="BP146" s="402"/>
      <c r="BQ146" s="402"/>
      <c r="BR146" s="402"/>
      <c r="BS146" s="402"/>
      <c r="BT146" s="402"/>
      <c r="BU146" s="402"/>
      <c r="BV146" s="402"/>
      <c r="BW146" s="402"/>
      <c r="BX146" s="402"/>
      <c r="BY146" s="402"/>
      <c r="BZ146" s="402"/>
      <c r="CA146" s="402"/>
      <c r="CB146" s="402"/>
      <c r="CC146" s="402"/>
      <c r="CD146" s="402"/>
      <c r="CE146" s="402"/>
      <c r="CF146" s="402"/>
      <c r="CG146" s="402"/>
      <c r="CH146" s="402"/>
      <c r="CI146" s="402"/>
      <c r="CJ146" s="402"/>
      <c r="CK146" s="402"/>
      <c r="CL146" s="402"/>
      <c r="CM146" s="402"/>
      <c r="CN146" s="402"/>
      <c r="CO146" s="402"/>
      <c r="CP146" s="402"/>
      <c r="CQ146" s="402"/>
      <c r="CR146" s="402"/>
      <c r="CS146" s="402"/>
      <c r="CT146" s="402"/>
    </row>
    <row r="147" spans="7:98" s="125" customFormat="1" x14ac:dyDescent="0.2">
      <c r="G147" s="248"/>
      <c r="H147" s="89"/>
      <c r="I147" s="89"/>
      <c r="J147" s="89"/>
      <c r="K147" s="89"/>
      <c r="L147" s="89"/>
      <c r="M147" s="89"/>
      <c r="N147" s="89"/>
      <c r="O147" s="89"/>
      <c r="P147" s="89"/>
      <c r="Q147" s="89"/>
      <c r="R147" s="89"/>
      <c r="S147" s="89"/>
      <c r="T147" s="89"/>
      <c r="U147" s="89"/>
      <c r="V147" s="89"/>
      <c r="W147" s="89"/>
      <c r="X147" s="89"/>
      <c r="Y147" s="248"/>
      <c r="Z147" s="248"/>
      <c r="AA147" s="248"/>
      <c r="AB147" s="248"/>
      <c r="AV147" s="402"/>
      <c r="AW147" s="402"/>
      <c r="AX147" s="402"/>
      <c r="AY147" s="402"/>
      <c r="AZ147" s="402"/>
      <c r="BA147" s="402"/>
      <c r="BB147" s="402"/>
      <c r="BC147" s="402"/>
      <c r="BD147" s="402"/>
      <c r="BE147" s="402"/>
      <c r="BF147" s="402"/>
      <c r="BG147" s="402"/>
      <c r="BH147" s="402"/>
      <c r="BI147" s="402"/>
      <c r="BJ147" s="402"/>
      <c r="BK147" s="402"/>
      <c r="BL147" s="402"/>
      <c r="BM147" s="402"/>
      <c r="BN147" s="402"/>
      <c r="BO147" s="402"/>
      <c r="BP147" s="402"/>
      <c r="BQ147" s="402"/>
      <c r="BR147" s="402"/>
      <c r="BS147" s="402"/>
      <c r="BT147" s="402"/>
      <c r="BU147" s="402"/>
      <c r="BV147" s="402"/>
      <c r="BW147" s="402"/>
      <c r="BX147" s="402"/>
      <c r="BY147" s="402"/>
      <c r="BZ147" s="402"/>
      <c r="CA147" s="402"/>
      <c r="CB147" s="402"/>
      <c r="CC147" s="402"/>
      <c r="CD147" s="402"/>
      <c r="CE147" s="402"/>
      <c r="CF147" s="402"/>
      <c r="CG147" s="402"/>
      <c r="CH147" s="402"/>
      <c r="CI147" s="402"/>
      <c r="CJ147" s="402"/>
      <c r="CK147" s="402"/>
      <c r="CL147" s="402"/>
      <c r="CM147" s="402"/>
      <c r="CN147" s="402"/>
      <c r="CO147" s="402"/>
      <c r="CP147" s="402"/>
      <c r="CQ147" s="402"/>
      <c r="CR147" s="402"/>
      <c r="CS147" s="402"/>
      <c r="CT147" s="402"/>
    </row>
    <row r="148" spans="7:98" s="125" customFormat="1" x14ac:dyDescent="0.2">
      <c r="G148" s="248"/>
      <c r="H148" s="89"/>
      <c r="I148" s="89"/>
      <c r="J148" s="89"/>
      <c r="K148" s="89"/>
      <c r="L148" s="89"/>
      <c r="M148" s="89"/>
      <c r="N148" s="89"/>
      <c r="O148" s="89"/>
      <c r="P148" s="89"/>
      <c r="Q148" s="89"/>
      <c r="R148" s="89"/>
      <c r="S148" s="89"/>
      <c r="T148" s="89"/>
      <c r="U148" s="89"/>
      <c r="V148" s="89"/>
      <c r="W148" s="89"/>
      <c r="X148" s="89"/>
      <c r="Y148" s="248"/>
      <c r="Z148" s="248"/>
      <c r="AA148" s="248"/>
      <c r="AB148" s="248"/>
      <c r="AV148" s="402"/>
      <c r="AW148" s="402"/>
      <c r="AX148" s="402"/>
      <c r="AY148" s="402"/>
      <c r="AZ148" s="402"/>
      <c r="BA148" s="402"/>
      <c r="BB148" s="402"/>
      <c r="BC148" s="402"/>
      <c r="BD148" s="402"/>
      <c r="BE148" s="402"/>
      <c r="BF148" s="402"/>
      <c r="BG148" s="402"/>
      <c r="BH148" s="402"/>
      <c r="BI148" s="402"/>
      <c r="BJ148" s="402"/>
      <c r="BK148" s="402"/>
      <c r="BL148" s="402"/>
      <c r="BM148" s="402"/>
      <c r="BN148" s="402"/>
      <c r="BO148" s="402"/>
      <c r="BP148" s="402"/>
      <c r="BQ148" s="402"/>
      <c r="BR148" s="402"/>
      <c r="BS148" s="402"/>
      <c r="BT148" s="402"/>
      <c r="BU148" s="402"/>
      <c r="BV148" s="402"/>
      <c r="BW148" s="402"/>
      <c r="BX148" s="402"/>
      <c r="BY148" s="402"/>
      <c r="BZ148" s="402"/>
      <c r="CA148" s="402"/>
      <c r="CB148" s="402"/>
      <c r="CC148" s="402"/>
      <c r="CD148" s="402"/>
      <c r="CE148" s="402"/>
      <c r="CF148" s="402"/>
      <c r="CG148" s="402"/>
      <c r="CH148" s="402"/>
      <c r="CI148" s="402"/>
      <c r="CJ148" s="402"/>
      <c r="CK148" s="402"/>
      <c r="CL148" s="402"/>
      <c r="CM148" s="402"/>
      <c r="CN148" s="402"/>
      <c r="CO148" s="402"/>
      <c r="CP148" s="402"/>
      <c r="CQ148" s="402"/>
      <c r="CR148" s="402"/>
      <c r="CS148" s="402"/>
      <c r="CT148" s="402"/>
    </row>
    <row r="149" spans="7:98" s="125" customFormat="1" x14ac:dyDescent="0.2">
      <c r="G149" s="248"/>
      <c r="H149" s="89"/>
      <c r="I149" s="89"/>
      <c r="J149" s="89"/>
      <c r="K149" s="89"/>
      <c r="L149" s="89"/>
      <c r="M149" s="89"/>
      <c r="N149" s="89"/>
      <c r="O149" s="89"/>
      <c r="P149" s="89"/>
      <c r="Q149" s="89"/>
      <c r="R149" s="89"/>
      <c r="S149" s="89"/>
      <c r="T149" s="89"/>
      <c r="U149" s="89"/>
      <c r="V149" s="89"/>
      <c r="W149" s="89"/>
      <c r="X149" s="89"/>
      <c r="Y149" s="248"/>
      <c r="Z149" s="248"/>
      <c r="AA149" s="248"/>
      <c r="AB149" s="248"/>
      <c r="AV149" s="402"/>
      <c r="AW149" s="402"/>
      <c r="AX149" s="402"/>
      <c r="AY149" s="402"/>
      <c r="AZ149" s="402"/>
      <c r="BA149" s="402"/>
      <c r="BB149" s="402"/>
      <c r="BC149" s="402"/>
      <c r="BD149" s="402"/>
      <c r="BE149" s="402"/>
      <c r="BF149" s="402"/>
      <c r="BG149" s="402"/>
      <c r="BH149" s="402"/>
      <c r="BI149" s="402"/>
      <c r="BJ149" s="402"/>
      <c r="BK149" s="402"/>
      <c r="BL149" s="402"/>
      <c r="BM149" s="402"/>
      <c r="BN149" s="402"/>
      <c r="BO149" s="402"/>
      <c r="BP149" s="402"/>
      <c r="BQ149" s="402"/>
      <c r="BR149" s="402"/>
      <c r="BS149" s="402"/>
      <c r="BT149" s="402"/>
      <c r="BU149" s="402"/>
      <c r="BV149" s="402"/>
      <c r="BW149" s="402"/>
      <c r="BX149" s="402"/>
      <c r="BY149" s="402"/>
      <c r="BZ149" s="402"/>
      <c r="CA149" s="402"/>
      <c r="CB149" s="402"/>
      <c r="CC149" s="402"/>
      <c r="CD149" s="402"/>
      <c r="CE149" s="402"/>
      <c r="CF149" s="402"/>
      <c r="CG149" s="402"/>
      <c r="CH149" s="402"/>
      <c r="CI149" s="402"/>
      <c r="CJ149" s="402"/>
      <c r="CK149" s="402"/>
      <c r="CL149" s="402"/>
      <c r="CM149" s="402"/>
      <c r="CN149" s="402"/>
      <c r="CO149" s="402"/>
      <c r="CP149" s="402"/>
      <c r="CQ149" s="402"/>
      <c r="CR149" s="402"/>
      <c r="CS149" s="402"/>
      <c r="CT149" s="402"/>
    </row>
    <row r="150" spans="7:98" s="125" customFormat="1" x14ac:dyDescent="0.2">
      <c r="G150" s="248"/>
      <c r="H150" s="89"/>
      <c r="I150" s="89"/>
      <c r="J150" s="89"/>
      <c r="K150" s="89"/>
      <c r="L150" s="89"/>
      <c r="M150" s="89"/>
      <c r="N150" s="89"/>
      <c r="O150" s="89"/>
      <c r="P150" s="89"/>
      <c r="Q150" s="89"/>
      <c r="R150" s="89"/>
      <c r="S150" s="89"/>
      <c r="T150" s="89"/>
      <c r="U150" s="89"/>
      <c r="V150" s="89"/>
      <c r="W150" s="89"/>
      <c r="X150" s="89"/>
      <c r="Y150" s="248"/>
      <c r="Z150" s="248"/>
      <c r="AA150" s="248"/>
      <c r="AB150" s="248"/>
      <c r="AV150" s="402"/>
      <c r="AW150" s="402"/>
      <c r="AX150" s="402"/>
      <c r="AY150" s="402"/>
      <c r="AZ150" s="402"/>
      <c r="BA150" s="402"/>
      <c r="BB150" s="402"/>
      <c r="BC150" s="402"/>
      <c r="BD150" s="402"/>
      <c r="BE150" s="402"/>
      <c r="BF150" s="402"/>
      <c r="BG150" s="402"/>
      <c r="BH150" s="402"/>
      <c r="BI150" s="402"/>
      <c r="BJ150" s="402"/>
      <c r="BK150" s="402"/>
      <c r="BL150" s="402"/>
      <c r="BM150" s="402"/>
      <c r="BN150" s="402"/>
      <c r="BO150" s="402"/>
      <c r="BP150" s="402"/>
      <c r="BQ150" s="402"/>
      <c r="BR150" s="402"/>
      <c r="BS150" s="402"/>
      <c r="BT150" s="402"/>
      <c r="BU150" s="402"/>
      <c r="BV150" s="402"/>
      <c r="BW150" s="402"/>
      <c r="BX150" s="402"/>
      <c r="BY150" s="402"/>
      <c r="BZ150" s="402"/>
      <c r="CA150" s="402"/>
      <c r="CB150" s="402"/>
      <c r="CC150" s="402"/>
      <c r="CD150" s="402"/>
      <c r="CE150" s="402"/>
      <c r="CF150" s="402"/>
      <c r="CG150" s="402"/>
      <c r="CH150" s="402"/>
      <c r="CI150" s="402"/>
      <c r="CJ150" s="402"/>
      <c r="CK150" s="402"/>
      <c r="CL150" s="402"/>
      <c r="CM150" s="402"/>
      <c r="CN150" s="402"/>
      <c r="CO150" s="402"/>
      <c r="CP150" s="402"/>
      <c r="CQ150" s="402"/>
      <c r="CR150" s="402"/>
      <c r="CS150" s="402"/>
      <c r="CT150" s="402"/>
    </row>
    <row r="151" spans="7:98" s="125" customFormat="1" x14ac:dyDescent="0.2">
      <c r="G151" s="248"/>
      <c r="H151" s="89"/>
      <c r="I151" s="89"/>
      <c r="J151" s="89"/>
      <c r="K151" s="89"/>
      <c r="L151" s="89"/>
      <c r="M151" s="89"/>
      <c r="N151" s="89"/>
      <c r="O151" s="89"/>
      <c r="P151" s="89"/>
      <c r="Q151" s="89"/>
      <c r="R151" s="89"/>
      <c r="S151" s="89"/>
      <c r="T151" s="89"/>
      <c r="U151" s="89"/>
      <c r="V151" s="89"/>
      <c r="W151" s="89"/>
      <c r="X151" s="89"/>
      <c r="Y151" s="248"/>
      <c r="Z151" s="248"/>
      <c r="AA151" s="248"/>
      <c r="AB151" s="248"/>
      <c r="AV151" s="402"/>
      <c r="AW151" s="402"/>
      <c r="AX151" s="402"/>
      <c r="AY151" s="402"/>
      <c r="AZ151" s="402"/>
      <c r="BA151" s="402"/>
      <c r="BB151" s="402"/>
      <c r="BC151" s="402"/>
      <c r="BD151" s="402"/>
      <c r="BE151" s="402"/>
      <c r="BF151" s="402"/>
      <c r="BG151" s="402"/>
      <c r="BH151" s="402"/>
      <c r="BI151" s="402"/>
      <c r="BJ151" s="402"/>
      <c r="BK151" s="402"/>
      <c r="BL151" s="402"/>
      <c r="BM151" s="402"/>
      <c r="BN151" s="402"/>
      <c r="BO151" s="402"/>
      <c r="BP151" s="402"/>
      <c r="BQ151" s="402"/>
      <c r="BR151" s="402"/>
      <c r="BS151" s="402"/>
      <c r="BT151" s="402"/>
      <c r="BU151" s="402"/>
      <c r="BV151" s="402"/>
      <c r="BW151" s="402"/>
      <c r="BX151" s="402"/>
      <c r="BY151" s="402"/>
      <c r="BZ151" s="402"/>
      <c r="CA151" s="402"/>
      <c r="CB151" s="402"/>
      <c r="CC151" s="402"/>
      <c r="CD151" s="402"/>
      <c r="CE151" s="402"/>
      <c r="CF151" s="402"/>
      <c r="CG151" s="402"/>
      <c r="CH151" s="402"/>
      <c r="CI151" s="402"/>
      <c r="CJ151" s="402"/>
      <c r="CK151" s="402"/>
      <c r="CL151" s="402"/>
      <c r="CM151" s="402"/>
      <c r="CN151" s="402"/>
      <c r="CO151" s="402"/>
      <c r="CP151" s="402"/>
      <c r="CQ151" s="402"/>
      <c r="CR151" s="402"/>
      <c r="CS151" s="402"/>
      <c r="CT151" s="402"/>
    </row>
    <row r="152" spans="7:98" s="125" customFormat="1" x14ac:dyDescent="0.2">
      <c r="G152" s="248"/>
      <c r="H152" s="89"/>
      <c r="I152" s="89"/>
      <c r="J152" s="89"/>
      <c r="K152" s="89"/>
      <c r="L152" s="89"/>
      <c r="M152" s="89"/>
      <c r="N152" s="89"/>
      <c r="O152" s="89"/>
      <c r="P152" s="89"/>
      <c r="Q152" s="89"/>
      <c r="R152" s="89"/>
      <c r="S152" s="89"/>
      <c r="T152" s="89"/>
      <c r="U152" s="89"/>
      <c r="V152" s="89"/>
      <c r="W152" s="89"/>
      <c r="X152" s="89"/>
      <c r="Y152" s="248"/>
      <c r="Z152" s="248"/>
      <c r="AA152" s="248"/>
      <c r="AB152" s="248"/>
      <c r="AV152" s="402"/>
      <c r="AW152" s="402"/>
      <c r="AX152" s="402"/>
      <c r="AY152" s="402"/>
      <c r="AZ152" s="402"/>
      <c r="BA152" s="402"/>
      <c r="BB152" s="402"/>
      <c r="BC152" s="402"/>
      <c r="BD152" s="402"/>
      <c r="BE152" s="402"/>
      <c r="BF152" s="402"/>
      <c r="BG152" s="402"/>
      <c r="BH152" s="402"/>
      <c r="BI152" s="402"/>
      <c r="BJ152" s="402"/>
      <c r="BK152" s="402"/>
      <c r="BL152" s="402"/>
      <c r="BM152" s="402"/>
      <c r="BN152" s="402"/>
      <c r="BO152" s="402"/>
      <c r="BP152" s="402"/>
      <c r="BQ152" s="402"/>
      <c r="BR152" s="402"/>
      <c r="BS152" s="402"/>
      <c r="BT152" s="402"/>
      <c r="BU152" s="402"/>
      <c r="BV152" s="402"/>
      <c r="BW152" s="402"/>
      <c r="BX152" s="402"/>
      <c r="BY152" s="402"/>
      <c r="BZ152" s="402"/>
      <c r="CA152" s="402"/>
      <c r="CB152" s="402"/>
      <c r="CC152" s="402"/>
      <c r="CD152" s="402"/>
      <c r="CE152" s="402"/>
      <c r="CF152" s="402"/>
      <c r="CG152" s="402"/>
      <c r="CH152" s="402"/>
      <c r="CI152" s="402"/>
      <c r="CJ152" s="402"/>
      <c r="CK152" s="402"/>
      <c r="CL152" s="402"/>
      <c r="CM152" s="402"/>
      <c r="CN152" s="402"/>
      <c r="CO152" s="402"/>
      <c r="CP152" s="402"/>
      <c r="CQ152" s="402"/>
      <c r="CR152" s="402"/>
      <c r="CS152" s="402"/>
      <c r="CT152" s="402"/>
    </row>
    <row r="153" spans="7:98" s="125" customFormat="1" x14ac:dyDescent="0.2">
      <c r="G153" s="248"/>
      <c r="H153" s="89"/>
      <c r="I153" s="89"/>
      <c r="J153" s="89"/>
      <c r="K153" s="89"/>
      <c r="L153" s="89"/>
      <c r="M153" s="89"/>
      <c r="N153" s="89"/>
      <c r="O153" s="89"/>
      <c r="P153" s="89"/>
      <c r="Q153" s="89"/>
      <c r="R153" s="89"/>
      <c r="S153" s="89"/>
      <c r="T153" s="89"/>
      <c r="U153" s="89"/>
      <c r="V153" s="89"/>
      <c r="W153" s="89"/>
      <c r="X153" s="89"/>
      <c r="Y153" s="248"/>
      <c r="Z153" s="248"/>
      <c r="AA153" s="248"/>
      <c r="AB153" s="248"/>
      <c r="AV153" s="402"/>
      <c r="AW153" s="402"/>
      <c r="AX153" s="402"/>
      <c r="AY153" s="402"/>
      <c r="AZ153" s="402"/>
      <c r="BA153" s="402"/>
      <c r="BB153" s="402"/>
      <c r="BC153" s="402"/>
      <c r="BD153" s="402"/>
      <c r="BE153" s="402"/>
      <c r="BF153" s="402"/>
      <c r="BG153" s="402"/>
      <c r="BH153" s="402"/>
      <c r="BI153" s="402"/>
      <c r="BJ153" s="402"/>
      <c r="BK153" s="402"/>
      <c r="BL153" s="402"/>
      <c r="BM153" s="402"/>
      <c r="BN153" s="402"/>
      <c r="BO153" s="402"/>
      <c r="BP153" s="402"/>
      <c r="BQ153" s="402"/>
      <c r="BR153" s="402"/>
      <c r="BS153" s="402"/>
      <c r="BT153" s="402"/>
      <c r="BU153" s="402"/>
      <c r="BV153" s="402"/>
      <c r="BW153" s="402"/>
      <c r="BX153" s="402"/>
      <c r="BY153" s="402"/>
      <c r="BZ153" s="402"/>
      <c r="CA153" s="402"/>
      <c r="CB153" s="402"/>
      <c r="CC153" s="402"/>
      <c r="CD153" s="402"/>
      <c r="CE153" s="402"/>
      <c r="CF153" s="402"/>
      <c r="CG153" s="402"/>
      <c r="CH153" s="402"/>
      <c r="CI153" s="402"/>
      <c r="CJ153" s="402"/>
      <c r="CK153" s="402"/>
      <c r="CL153" s="402"/>
      <c r="CM153" s="402"/>
      <c r="CN153" s="402"/>
      <c r="CO153" s="402"/>
      <c r="CP153" s="402"/>
      <c r="CQ153" s="402"/>
      <c r="CR153" s="402"/>
      <c r="CS153" s="402"/>
      <c r="CT153" s="402"/>
    </row>
    <row r="154" spans="7:98" s="125" customFormat="1" x14ac:dyDescent="0.2">
      <c r="G154" s="248"/>
      <c r="H154" s="89"/>
      <c r="I154" s="89"/>
      <c r="J154" s="89"/>
      <c r="K154" s="89"/>
      <c r="L154" s="89"/>
      <c r="M154" s="89"/>
      <c r="N154" s="89"/>
      <c r="O154" s="89"/>
      <c r="P154" s="89"/>
      <c r="Q154" s="89"/>
      <c r="R154" s="89"/>
      <c r="S154" s="89"/>
      <c r="T154" s="89"/>
      <c r="U154" s="89"/>
      <c r="V154" s="89"/>
      <c r="W154" s="89"/>
      <c r="X154" s="89"/>
      <c r="Y154" s="248"/>
      <c r="Z154" s="248"/>
      <c r="AA154" s="248"/>
      <c r="AB154" s="248"/>
      <c r="AV154" s="402"/>
      <c r="AW154" s="402"/>
      <c r="AX154" s="402"/>
      <c r="AY154" s="402"/>
      <c r="AZ154" s="402"/>
      <c r="BA154" s="402"/>
      <c r="BB154" s="402"/>
      <c r="BC154" s="402"/>
      <c r="BD154" s="402"/>
      <c r="BE154" s="402"/>
      <c r="BF154" s="402"/>
      <c r="BG154" s="402"/>
      <c r="BH154" s="402"/>
      <c r="BI154" s="402"/>
      <c r="BJ154" s="402"/>
      <c r="BK154" s="402"/>
      <c r="BL154" s="402"/>
      <c r="BM154" s="402"/>
      <c r="BN154" s="402"/>
      <c r="BO154" s="402"/>
      <c r="BP154" s="402"/>
      <c r="BQ154" s="402"/>
      <c r="BR154" s="402"/>
      <c r="BS154" s="402"/>
      <c r="BT154" s="402"/>
      <c r="BU154" s="402"/>
      <c r="BV154" s="402"/>
      <c r="BW154" s="402"/>
      <c r="BX154" s="402"/>
      <c r="BY154" s="402"/>
      <c r="BZ154" s="402"/>
      <c r="CA154" s="402"/>
      <c r="CB154" s="402"/>
      <c r="CC154" s="402"/>
      <c r="CD154" s="402"/>
      <c r="CE154" s="402"/>
      <c r="CF154" s="402"/>
      <c r="CG154" s="402"/>
      <c r="CH154" s="402"/>
      <c r="CI154" s="402"/>
      <c r="CJ154" s="402"/>
      <c r="CK154" s="402"/>
      <c r="CL154" s="402"/>
      <c r="CM154" s="402"/>
      <c r="CN154" s="402"/>
      <c r="CO154" s="402"/>
      <c r="CP154" s="402"/>
      <c r="CQ154" s="402"/>
      <c r="CR154" s="402"/>
      <c r="CS154" s="402"/>
      <c r="CT154" s="402"/>
    </row>
    <row r="155" spans="7:98" s="125" customFormat="1" x14ac:dyDescent="0.2">
      <c r="G155" s="248"/>
      <c r="H155" s="89"/>
      <c r="I155" s="89"/>
      <c r="J155" s="89"/>
      <c r="K155" s="89"/>
      <c r="L155" s="89"/>
      <c r="M155" s="89"/>
      <c r="N155" s="89"/>
      <c r="O155" s="89"/>
      <c r="P155" s="89"/>
      <c r="Q155" s="89"/>
      <c r="R155" s="89"/>
      <c r="S155" s="89"/>
      <c r="T155" s="89"/>
      <c r="U155" s="89"/>
      <c r="V155" s="89"/>
      <c r="W155" s="89"/>
      <c r="X155" s="89"/>
      <c r="Y155" s="248"/>
      <c r="Z155" s="248"/>
      <c r="AA155" s="248"/>
      <c r="AB155" s="248"/>
      <c r="AV155" s="402"/>
      <c r="AW155" s="402"/>
      <c r="AX155" s="402"/>
      <c r="AY155" s="402"/>
      <c r="AZ155" s="402"/>
      <c r="BA155" s="402"/>
      <c r="BB155" s="402"/>
      <c r="BC155" s="402"/>
      <c r="BD155" s="402"/>
      <c r="BE155" s="402"/>
      <c r="BF155" s="402"/>
      <c r="BG155" s="402"/>
      <c r="BH155" s="402"/>
      <c r="BI155" s="402"/>
      <c r="BJ155" s="402"/>
      <c r="BK155" s="402"/>
      <c r="BL155" s="402"/>
      <c r="BM155" s="402"/>
      <c r="BN155" s="402"/>
      <c r="BO155" s="402"/>
      <c r="BP155" s="402"/>
      <c r="BQ155" s="402"/>
      <c r="BR155" s="402"/>
      <c r="BS155" s="402"/>
      <c r="BT155" s="402"/>
      <c r="BU155" s="402"/>
      <c r="BV155" s="402"/>
      <c r="BW155" s="402"/>
      <c r="BX155" s="402"/>
      <c r="BY155" s="402"/>
      <c r="BZ155" s="402"/>
      <c r="CA155" s="402"/>
      <c r="CB155" s="402"/>
      <c r="CC155" s="402"/>
      <c r="CD155" s="402"/>
      <c r="CE155" s="402"/>
      <c r="CF155" s="402"/>
      <c r="CG155" s="402"/>
      <c r="CH155" s="402"/>
      <c r="CI155" s="402"/>
      <c r="CJ155" s="402"/>
      <c r="CK155" s="402"/>
      <c r="CL155" s="402"/>
      <c r="CM155" s="402"/>
      <c r="CN155" s="402"/>
      <c r="CO155" s="402"/>
      <c r="CP155" s="402"/>
      <c r="CQ155" s="402"/>
      <c r="CR155" s="402"/>
      <c r="CS155" s="402"/>
      <c r="CT155" s="402"/>
    </row>
    <row r="156" spans="7:98" s="125" customFormat="1" x14ac:dyDescent="0.2">
      <c r="G156" s="248"/>
      <c r="H156" s="89"/>
      <c r="I156" s="89"/>
      <c r="J156" s="89"/>
      <c r="K156" s="89"/>
      <c r="L156" s="89"/>
      <c r="M156" s="89"/>
      <c r="N156" s="89"/>
      <c r="O156" s="89"/>
      <c r="P156" s="89"/>
      <c r="Q156" s="89"/>
      <c r="R156" s="89"/>
      <c r="S156" s="89"/>
      <c r="T156" s="89"/>
      <c r="U156" s="89"/>
      <c r="V156" s="89"/>
      <c r="W156" s="89"/>
      <c r="X156" s="89"/>
      <c r="Y156" s="248"/>
      <c r="Z156" s="248"/>
      <c r="AA156" s="248"/>
      <c r="AB156" s="248"/>
      <c r="AV156" s="402"/>
      <c r="AW156" s="402"/>
      <c r="AX156" s="402"/>
      <c r="AY156" s="402"/>
      <c r="AZ156" s="402"/>
      <c r="BA156" s="402"/>
      <c r="BB156" s="402"/>
      <c r="BC156" s="402"/>
      <c r="BD156" s="402"/>
      <c r="BE156" s="402"/>
      <c r="BF156" s="402"/>
      <c r="BG156" s="402"/>
      <c r="BH156" s="402"/>
      <c r="BI156" s="402"/>
      <c r="BJ156" s="402"/>
      <c r="BK156" s="402"/>
      <c r="BL156" s="402"/>
      <c r="BM156" s="402"/>
      <c r="BN156" s="402"/>
      <c r="BO156" s="402"/>
      <c r="BP156" s="402"/>
      <c r="BQ156" s="402"/>
      <c r="BR156" s="402"/>
      <c r="BS156" s="402"/>
      <c r="BT156" s="402"/>
      <c r="BU156" s="402"/>
      <c r="BV156" s="402"/>
      <c r="BW156" s="402"/>
      <c r="BX156" s="402"/>
      <c r="BY156" s="402"/>
      <c r="BZ156" s="402"/>
      <c r="CA156" s="402"/>
      <c r="CB156" s="402"/>
      <c r="CC156" s="402"/>
      <c r="CD156" s="402"/>
      <c r="CE156" s="402"/>
      <c r="CF156" s="402"/>
      <c r="CG156" s="402"/>
      <c r="CH156" s="402"/>
      <c r="CI156" s="402"/>
      <c r="CJ156" s="402"/>
      <c r="CK156" s="402"/>
      <c r="CL156" s="402"/>
      <c r="CM156" s="402"/>
      <c r="CN156" s="402"/>
      <c r="CO156" s="402"/>
      <c r="CP156" s="402"/>
      <c r="CQ156" s="402"/>
      <c r="CR156" s="402"/>
      <c r="CS156" s="402"/>
      <c r="CT156" s="402"/>
    </row>
    <row r="157" spans="7:98" s="125" customFormat="1" x14ac:dyDescent="0.2">
      <c r="G157" s="248"/>
      <c r="H157" s="89"/>
      <c r="I157" s="89"/>
      <c r="J157" s="89"/>
      <c r="K157" s="89"/>
      <c r="L157" s="89"/>
      <c r="M157" s="89"/>
      <c r="N157" s="89"/>
      <c r="O157" s="89"/>
      <c r="P157" s="89"/>
      <c r="Q157" s="89"/>
      <c r="R157" s="89"/>
      <c r="S157" s="89"/>
      <c r="T157" s="89"/>
      <c r="U157" s="89"/>
      <c r="V157" s="89"/>
      <c r="W157" s="89"/>
      <c r="X157" s="89"/>
      <c r="Y157" s="248"/>
      <c r="Z157" s="248"/>
      <c r="AA157" s="248"/>
      <c r="AB157" s="248"/>
      <c r="AV157" s="402"/>
      <c r="AW157" s="402"/>
      <c r="AX157" s="402"/>
      <c r="AY157" s="402"/>
      <c r="AZ157" s="402"/>
      <c r="BA157" s="402"/>
      <c r="BB157" s="402"/>
      <c r="BC157" s="402"/>
      <c r="BD157" s="402"/>
      <c r="BE157" s="402"/>
      <c r="BF157" s="402"/>
      <c r="BG157" s="402"/>
      <c r="BH157" s="402"/>
      <c r="BI157" s="402"/>
      <c r="BJ157" s="402"/>
      <c r="BK157" s="402"/>
      <c r="BL157" s="402"/>
      <c r="BM157" s="402"/>
      <c r="BN157" s="402"/>
      <c r="BO157" s="402"/>
      <c r="BP157" s="402"/>
      <c r="BQ157" s="402"/>
      <c r="BR157" s="402"/>
      <c r="BS157" s="402"/>
      <c r="BT157" s="402"/>
      <c r="BU157" s="402"/>
      <c r="BV157" s="402"/>
      <c r="BW157" s="402"/>
      <c r="BX157" s="402"/>
      <c r="BY157" s="402"/>
      <c r="BZ157" s="402"/>
      <c r="CA157" s="402"/>
      <c r="CB157" s="402"/>
      <c r="CC157" s="402"/>
      <c r="CD157" s="402"/>
      <c r="CE157" s="402"/>
      <c r="CF157" s="402"/>
      <c r="CG157" s="402"/>
      <c r="CH157" s="402"/>
      <c r="CI157" s="402"/>
      <c r="CJ157" s="402"/>
      <c r="CK157" s="402"/>
      <c r="CL157" s="402"/>
      <c r="CM157" s="402"/>
      <c r="CN157" s="402"/>
      <c r="CO157" s="402"/>
      <c r="CP157" s="402"/>
      <c r="CQ157" s="402"/>
      <c r="CR157" s="402"/>
      <c r="CS157" s="402"/>
      <c r="CT157" s="402"/>
    </row>
    <row r="158" spans="7:98" s="125" customFormat="1" x14ac:dyDescent="0.2">
      <c r="G158" s="248"/>
      <c r="H158" s="89"/>
      <c r="I158" s="89"/>
      <c r="J158" s="89"/>
      <c r="K158" s="89"/>
      <c r="L158" s="89"/>
      <c r="M158" s="89"/>
      <c r="N158" s="89"/>
      <c r="O158" s="89"/>
      <c r="P158" s="89"/>
      <c r="Q158" s="89"/>
      <c r="R158" s="89"/>
      <c r="S158" s="89"/>
      <c r="T158" s="89"/>
      <c r="U158" s="89"/>
      <c r="V158" s="89"/>
      <c r="W158" s="89"/>
      <c r="X158" s="89"/>
      <c r="Y158" s="248"/>
      <c r="Z158" s="248"/>
      <c r="AA158" s="248"/>
      <c r="AB158" s="248"/>
      <c r="AV158" s="402"/>
      <c r="AW158" s="402"/>
      <c r="AX158" s="402"/>
      <c r="AY158" s="402"/>
      <c r="AZ158" s="402"/>
      <c r="BA158" s="402"/>
      <c r="BB158" s="402"/>
      <c r="BC158" s="402"/>
      <c r="BD158" s="402"/>
      <c r="BE158" s="402"/>
      <c r="BF158" s="402"/>
      <c r="BG158" s="402"/>
      <c r="BH158" s="402"/>
      <c r="BI158" s="402"/>
      <c r="BJ158" s="402"/>
      <c r="BK158" s="402"/>
      <c r="BL158" s="402"/>
      <c r="BM158" s="402"/>
      <c r="BN158" s="402"/>
      <c r="BO158" s="402"/>
      <c r="BP158" s="402"/>
      <c r="BQ158" s="402"/>
      <c r="BR158" s="402"/>
      <c r="BS158" s="402"/>
      <c r="BT158" s="402"/>
      <c r="BU158" s="402"/>
      <c r="BV158" s="402"/>
      <c r="BW158" s="402"/>
      <c r="BX158" s="402"/>
      <c r="BY158" s="402"/>
      <c r="BZ158" s="402"/>
      <c r="CA158" s="402"/>
      <c r="CB158" s="402"/>
      <c r="CC158" s="402"/>
      <c r="CD158" s="402"/>
      <c r="CE158" s="402"/>
      <c r="CF158" s="402"/>
      <c r="CG158" s="402"/>
      <c r="CH158" s="402"/>
      <c r="CI158" s="402"/>
      <c r="CJ158" s="402"/>
      <c r="CK158" s="402"/>
      <c r="CL158" s="402"/>
      <c r="CM158" s="402"/>
      <c r="CN158" s="402"/>
      <c r="CO158" s="402"/>
      <c r="CP158" s="402"/>
      <c r="CQ158" s="402"/>
      <c r="CR158" s="402"/>
      <c r="CS158" s="402"/>
      <c r="CT158" s="402"/>
    </row>
    <row r="159" spans="7:98" s="125" customFormat="1" x14ac:dyDescent="0.2">
      <c r="G159" s="248"/>
      <c r="H159" s="89"/>
      <c r="I159" s="89"/>
      <c r="J159" s="89"/>
      <c r="K159" s="89"/>
      <c r="L159" s="89"/>
      <c r="M159" s="89"/>
      <c r="N159" s="89"/>
      <c r="O159" s="89"/>
      <c r="P159" s="89"/>
      <c r="Q159" s="89"/>
      <c r="R159" s="89"/>
      <c r="S159" s="89"/>
      <c r="T159" s="89"/>
      <c r="U159" s="89"/>
      <c r="V159" s="89"/>
      <c r="W159" s="89"/>
      <c r="X159" s="89"/>
      <c r="Y159" s="248"/>
      <c r="Z159" s="248"/>
      <c r="AA159" s="248"/>
      <c r="AB159" s="248"/>
      <c r="AV159" s="402"/>
      <c r="AW159" s="402"/>
      <c r="AX159" s="402"/>
      <c r="AY159" s="402"/>
      <c r="AZ159" s="402"/>
      <c r="BA159" s="402"/>
      <c r="BB159" s="402"/>
      <c r="BC159" s="402"/>
      <c r="BD159" s="402"/>
      <c r="BE159" s="402"/>
      <c r="BF159" s="402"/>
      <c r="BG159" s="402"/>
      <c r="BH159" s="402"/>
      <c r="BI159" s="402"/>
      <c r="BJ159" s="402"/>
      <c r="BK159" s="402"/>
      <c r="BL159" s="402"/>
      <c r="BM159" s="402"/>
      <c r="BN159" s="402"/>
      <c r="BO159" s="402"/>
      <c r="BP159" s="402"/>
      <c r="BQ159" s="402"/>
      <c r="BR159" s="402"/>
      <c r="BS159" s="402"/>
      <c r="BT159" s="402"/>
      <c r="BU159" s="402"/>
      <c r="BV159" s="402"/>
      <c r="BW159" s="402"/>
      <c r="BX159" s="402"/>
      <c r="BY159" s="402"/>
      <c r="BZ159" s="402"/>
      <c r="CA159" s="402"/>
      <c r="CB159" s="402"/>
      <c r="CC159" s="402"/>
      <c r="CD159" s="402"/>
      <c r="CE159" s="402"/>
      <c r="CF159" s="402"/>
      <c r="CG159" s="402"/>
      <c r="CH159" s="402"/>
      <c r="CI159" s="402"/>
      <c r="CJ159" s="402"/>
      <c r="CK159" s="402"/>
      <c r="CL159" s="402"/>
      <c r="CM159" s="402"/>
      <c r="CN159" s="402"/>
      <c r="CO159" s="402"/>
      <c r="CP159" s="402"/>
      <c r="CQ159" s="402"/>
      <c r="CR159" s="402"/>
      <c r="CS159" s="402"/>
      <c r="CT159" s="402"/>
    </row>
    <row r="160" spans="7:98" s="125" customFormat="1" x14ac:dyDescent="0.2">
      <c r="G160" s="248"/>
      <c r="H160" s="89"/>
      <c r="I160" s="89"/>
      <c r="J160" s="89"/>
      <c r="K160" s="89"/>
      <c r="L160" s="89"/>
      <c r="M160" s="89"/>
      <c r="N160" s="89"/>
      <c r="O160" s="89"/>
      <c r="P160" s="89"/>
      <c r="Q160" s="89"/>
      <c r="R160" s="89"/>
      <c r="S160" s="89"/>
      <c r="T160" s="89"/>
      <c r="U160" s="89"/>
      <c r="V160" s="89"/>
      <c r="W160" s="89"/>
      <c r="X160" s="89"/>
      <c r="Y160" s="248"/>
      <c r="Z160" s="248"/>
      <c r="AA160" s="248"/>
      <c r="AB160" s="248"/>
      <c r="AV160" s="402"/>
      <c r="AW160" s="402"/>
      <c r="AX160" s="402"/>
      <c r="AY160" s="402"/>
      <c r="AZ160" s="402"/>
      <c r="BA160" s="402"/>
      <c r="BB160" s="402"/>
      <c r="BC160" s="402"/>
      <c r="BD160" s="402"/>
      <c r="BE160" s="402"/>
      <c r="BF160" s="402"/>
      <c r="BG160" s="402"/>
      <c r="BH160" s="402"/>
      <c r="BI160" s="402"/>
      <c r="BJ160" s="402"/>
      <c r="BK160" s="402"/>
      <c r="BL160" s="402"/>
      <c r="BM160" s="402"/>
      <c r="BN160" s="402"/>
      <c r="BO160" s="402"/>
      <c r="BP160" s="402"/>
      <c r="BQ160" s="402"/>
      <c r="BR160" s="402"/>
      <c r="BS160" s="402"/>
      <c r="BT160" s="402"/>
      <c r="BU160" s="402"/>
      <c r="BV160" s="402"/>
      <c r="BW160" s="402"/>
      <c r="BX160" s="402"/>
      <c r="BY160" s="402"/>
      <c r="BZ160" s="402"/>
      <c r="CA160" s="402"/>
      <c r="CB160" s="402"/>
      <c r="CC160" s="402"/>
      <c r="CD160" s="402"/>
      <c r="CE160" s="402"/>
      <c r="CF160" s="402"/>
      <c r="CG160" s="402"/>
      <c r="CH160" s="402"/>
      <c r="CI160" s="402"/>
      <c r="CJ160" s="402"/>
      <c r="CK160" s="402"/>
      <c r="CL160" s="402"/>
      <c r="CM160" s="402"/>
      <c r="CN160" s="402"/>
      <c r="CO160" s="402"/>
      <c r="CP160" s="402"/>
      <c r="CQ160" s="402"/>
      <c r="CR160" s="402"/>
      <c r="CS160" s="402"/>
      <c r="CT160" s="402"/>
    </row>
    <row r="161" spans="7:98" s="125" customFormat="1" x14ac:dyDescent="0.2">
      <c r="G161" s="248"/>
      <c r="H161" s="89"/>
      <c r="I161" s="89"/>
      <c r="J161" s="89"/>
      <c r="K161" s="89"/>
      <c r="L161" s="89"/>
      <c r="M161" s="89"/>
      <c r="N161" s="89"/>
      <c r="O161" s="89"/>
      <c r="P161" s="89"/>
      <c r="Q161" s="89"/>
      <c r="R161" s="89"/>
      <c r="S161" s="89"/>
      <c r="T161" s="89"/>
      <c r="U161" s="89"/>
      <c r="V161" s="89"/>
      <c r="W161" s="89"/>
      <c r="X161" s="89"/>
      <c r="Y161" s="248"/>
      <c r="Z161" s="248"/>
      <c r="AA161" s="248"/>
      <c r="AB161" s="248"/>
      <c r="AV161" s="402"/>
      <c r="AW161" s="402"/>
      <c r="AX161" s="402"/>
      <c r="AY161" s="402"/>
      <c r="AZ161" s="402"/>
      <c r="BA161" s="402"/>
      <c r="BB161" s="402"/>
      <c r="BC161" s="402"/>
      <c r="BD161" s="402"/>
      <c r="BE161" s="402"/>
      <c r="BF161" s="402"/>
      <c r="BG161" s="402"/>
      <c r="BH161" s="402"/>
      <c r="BI161" s="402"/>
      <c r="BJ161" s="402"/>
      <c r="BK161" s="402"/>
      <c r="BL161" s="402"/>
      <c r="BM161" s="402"/>
      <c r="BN161" s="402"/>
      <c r="BO161" s="402"/>
      <c r="BP161" s="402"/>
      <c r="BQ161" s="402"/>
      <c r="BR161" s="402"/>
      <c r="BS161" s="402"/>
      <c r="BT161" s="402"/>
      <c r="BU161" s="402"/>
      <c r="BV161" s="402"/>
      <c r="BW161" s="402"/>
      <c r="BX161" s="402"/>
      <c r="BY161" s="402"/>
      <c r="BZ161" s="402"/>
      <c r="CA161" s="402"/>
      <c r="CB161" s="402"/>
      <c r="CC161" s="402"/>
      <c r="CD161" s="402"/>
      <c r="CE161" s="402"/>
      <c r="CF161" s="402"/>
      <c r="CG161" s="402"/>
      <c r="CH161" s="402"/>
      <c r="CI161" s="402"/>
      <c r="CJ161" s="402"/>
      <c r="CK161" s="402"/>
      <c r="CL161" s="402"/>
      <c r="CM161" s="402"/>
      <c r="CN161" s="402"/>
      <c r="CO161" s="402"/>
      <c r="CP161" s="402"/>
      <c r="CQ161" s="402"/>
      <c r="CR161" s="402"/>
      <c r="CS161" s="402"/>
      <c r="CT161" s="402"/>
    </row>
    <row r="162" spans="7:98" s="125" customFormat="1" x14ac:dyDescent="0.2">
      <c r="G162" s="248"/>
      <c r="H162" s="89"/>
      <c r="I162" s="89"/>
      <c r="J162" s="89"/>
      <c r="K162" s="89"/>
      <c r="L162" s="89"/>
      <c r="M162" s="89"/>
      <c r="N162" s="89"/>
      <c r="O162" s="89"/>
      <c r="P162" s="89"/>
      <c r="Q162" s="89"/>
      <c r="R162" s="89"/>
      <c r="S162" s="89"/>
      <c r="T162" s="89"/>
      <c r="U162" s="89"/>
      <c r="V162" s="89"/>
      <c r="W162" s="89"/>
      <c r="X162" s="89"/>
      <c r="Y162" s="248"/>
      <c r="Z162" s="248"/>
      <c r="AA162" s="248"/>
      <c r="AB162" s="248"/>
      <c r="AV162" s="402"/>
      <c r="AW162" s="402"/>
      <c r="AX162" s="402"/>
      <c r="AY162" s="402"/>
      <c r="AZ162" s="402"/>
      <c r="BA162" s="402"/>
      <c r="BB162" s="402"/>
      <c r="BC162" s="402"/>
      <c r="BD162" s="402"/>
      <c r="BE162" s="402"/>
      <c r="BF162" s="402"/>
      <c r="BG162" s="402"/>
      <c r="BH162" s="402"/>
      <c r="BI162" s="402"/>
      <c r="BJ162" s="402"/>
      <c r="BK162" s="402"/>
      <c r="BL162" s="402"/>
      <c r="BM162" s="402"/>
      <c r="BN162" s="402"/>
      <c r="BO162" s="402"/>
      <c r="BP162" s="402"/>
      <c r="BQ162" s="402"/>
      <c r="BR162" s="402"/>
      <c r="BS162" s="402"/>
      <c r="BT162" s="402"/>
      <c r="BU162" s="402"/>
      <c r="BV162" s="402"/>
      <c r="BW162" s="402"/>
      <c r="BX162" s="402"/>
      <c r="BY162" s="402"/>
      <c r="BZ162" s="402"/>
      <c r="CA162" s="402"/>
      <c r="CB162" s="402"/>
      <c r="CC162" s="402"/>
      <c r="CD162" s="402"/>
      <c r="CE162" s="402"/>
      <c r="CF162" s="402"/>
      <c r="CG162" s="402"/>
      <c r="CH162" s="402"/>
      <c r="CI162" s="402"/>
      <c r="CJ162" s="402"/>
      <c r="CK162" s="402"/>
      <c r="CL162" s="402"/>
      <c r="CM162" s="402"/>
      <c r="CN162" s="402"/>
      <c r="CO162" s="402"/>
      <c r="CP162" s="402"/>
      <c r="CQ162" s="402"/>
      <c r="CR162" s="402"/>
      <c r="CS162" s="402"/>
      <c r="CT162" s="402"/>
    </row>
    <row r="163" spans="7:98" s="125" customFormat="1" x14ac:dyDescent="0.2">
      <c r="G163" s="248"/>
      <c r="H163" s="89"/>
      <c r="I163" s="89"/>
      <c r="J163" s="89"/>
      <c r="K163" s="89"/>
      <c r="L163" s="89"/>
      <c r="M163" s="89"/>
      <c r="N163" s="89"/>
      <c r="O163" s="89"/>
      <c r="P163" s="89"/>
      <c r="Q163" s="89"/>
      <c r="R163" s="89"/>
      <c r="S163" s="89"/>
      <c r="T163" s="89"/>
      <c r="U163" s="89"/>
      <c r="V163" s="89"/>
      <c r="W163" s="89"/>
      <c r="X163" s="89"/>
      <c r="Y163" s="248"/>
      <c r="Z163" s="248"/>
      <c r="AA163" s="248"/>
      <c r="AB163" s="248"/>
      <c r="AV163" s="402"/>
      <c r="AW163" s="402"/>
      <c r="AX163" s="402"/>
      <c r="AY163" s="402"/>
      <c r="AZ163" s="402"/>
      <c r="BA163" s="402"/>
      <c r="BB163" s="402"/>
      <c r="BC163" s="402"/>
      <c r="BD163" s="402"/>
      <c r="BE163" s="402"/>
      <c r="BF163" s="402"/>
      <c r="BG163" s="402"/>
      <c r="BH163" s="402"/>
      <c r="BI163" s="402"/>
      <c r="BJ163" s="402"/>
      <c r="BK163" s="402"/>
      <c r="BL163" s="402"/>
      <c r="BM163" s="402"/>
      <c r="BN163" s="402"/>
      <c r="BO163" s="402"/>
      <c r="BP163" s="402"/>
      <c r="BQ163" s="402"/>
      <c r="BR163" s="402"/>
      <c r="BS163" s="402"/>
      <c r="BT163" s="402"/>
      <c r="BU163" s="402"/>
      <c r="BV163" s="402"/>
      <c r="BW163" s="402"/>
      <c r="BX163" s="402"/>
      <c r="BY163" s="402"/>
      <c r="BZ163" s="402"/>
      <c r="CA163" s="402"/>
      <c r="CB163" s="402"/>
      <c r="CC163" s="402"/>
      <c r="CD163" s="402"/>
      <c r="CE163" s="402"/>
      <c r="CF163" s="402"/>
      <c r="CG163" s="402"/>
      <c r="CH163" s="402"/>
      <c r="CI163" s="402"/>
      <c r="CJ163" s="402"/>
      <c r="CK163" s="402"/>
      <c r="CL163" s="402"/>
      <c r="CM163" s="402"/>
      <c r="CN163" s="402"/>
      <c r="CO163" s="402"/>
      <c r="CP163" s="402"/>
      <c r="CQ163" s="402"/>
      <c r="CR163" s="402"/>
      <c r="CS163" s="402"/>
      <c r="CT163" s="402"/>
    </row>
    <row r="164" spans="7:98" s="125" customFormat="1" x14ac:dyDescent="0.2">
      <c r="G164" s="248"/>
      <c r="H164" s="89"/>
      <c r="I164" s="89"/>
      <c r="J164" s="89"/>
      <c r="K164" s="89"/>
      <c r="L164" s="89"/>
      <c r="M164" s="89"/>
      <c r="N164" s="89"/>
      <c r="O164" s="89"/>
      <c r="P164" s="89"/>
      <c r="Q164" s="89"/>
      <c r="R164" s="89"/>
      <c r="S164" s="89"/>
      <c r="T164" s="89"/>
      <c r="U164" s="89"/>
      <c r="V164" s="89"/>
      <c r="W164" s="89"/>
      <c r="X164" s="89"/>
      <c r="Y164" s="248"/>
      <c r="Z164" s="248"/>
      <c r="AA164" s="248"/>
      <c r="AB164" s="248"/>
      <c r="AV164" s="402"/>
      <c r="AW164" s="402"/>
      <c r="AX164" s="402"/>
      <c r="AY164" s="402"/>
      <c r="AZ164" s="402"/>
      <c r="BA164" s="402"/>
      <c r="BB164" s="402"/>
      <c r="BC164" s="402"/>
      <c r="BD164" s="402"/>
      <c r="BE164" s="402"/>
      <c r="BF164" s="402"/>
      <c r="BG164" s="402"/>
      <c r="BH164" s="402"/>
      <c r="BI164" s="402"/>
      <c r="BJ164" s="402"/>
      <c r="BK164" s="402"/>
      <c r="BL164" s="402"/>
      <c r="BM164" s="402"/>
      <c r="BN164" s="402"/>
      <c r="BO164" s="402"/>
      <c r="BP164" s="402"/>
      <c r="BQ164" s="402"/>
      <c r="BR164" s="402"/>
      <c r="BS164" s="402"/>
      <c r="BT164" s="402"/>
      <c r="BU164" s="402"/>
      <c r="BV164" s="402"/>
      <c r="BW164" s="402"/>
      <c r="BX164" s="402"/>
      <c r="BY164" s="402"/>
      <c r="BZ164" s="402"/>
      <c r="CA164" s="402"/>
      <c r="CB164" s="402"/>
      <c r="CC164" s="402"/>
      <c r="CD164" s="402"/>
      <c r="CE164" s="402"/>
      <c r="CF164" s="402"/>
      <c r="CG164" s="402"/>
      <c r="CH164" s="402"/>
      <c r="CI164" s="402"/>
      <c r="CJ164" s="402"/>
      <c r="CK164" s="402"/>
      <c r="CL164" s="402"/>
      <c r="CM164" s="402"/>
      <c r="CN164" s="402"/>
      <c r="CO164" s="402"/>
      <c r="CP164" s="402"/>
      <c r="CQ164" s="402"/>
      <c r="CR164" s="402"/>
      <c r="CS164" s="402"/>
      <c r="CT164" s="402"/>
    </row>
    <row r="165" spans="7:98" s="125" customFormat="1" x14ac:dyDescent="0.2">
      <c r="G165" s="248"/>
      <c r="H165" s="89"/>
      <c r="I165" s="89"/>
      <c r="J165" s="89"/>
      <c r="K165" s="89"/>
      <c r="L165" s="89"/>
      <c r="M165" s="89"/>
      <c r="N165" s="89"/>
      <c r="O165" s="89"/>
      <c r="P165" s="89"/>
      <c r="Q165" s="89"/>
      <c r="R165" s="89"/>
      <c r="S165" s="89"/>
      <c r="T165" s="89"/>
      <c r="U165" s="89"/>
      <c r="V165" s="89"/>
      <c r="W165" s="89"/>
      <c r="X165" s="89"/>
      <c r="Y165" s="248"/>
      <c r="Z165" s="248"/>
      <c r="AA165" s="248"/>
      <c r="AB165" s="248"/>
      <c r="AV165" s="402"/>
      <c r="AW165" s="402"/>
      <c r="AX165" s="402"/>
      <c r="AY165" s="402"/>
      <c r="AZ165" s="402"/>
      <c r="BA165" s="402"/>
      <c r="BB165" s="402"/>
      <c r="BC165" s="402"/>
      <c r="BD165" s="402"/>
      <c r="BE165" s="402"/>
      <c r="BF165" s="402"/>
      <c r="BG165" s="402"/>
      <c r="BH165" s="402"/>
      <c r="BI165" s="402"/>
      <c r="BJ165" s="402"/>
      <c r="BK165" s="402"/>
      <c r="BL165" s="402"/>
      <c r="BM165" s="402"/>
      <c r="BN165" s="402"/>
      <c r="BO165" s="402"/>
      <c r="BP165" s="402"/>
      <c r="BQ165" s="402"/>
      <c r="BR165" s="402"/>
      <c r="BS165" s="402"/>
      <c r="BT165" s="402"/>
      <c r="BU165" s="402"/>
      <c r="BV165" s="402"/>
      <c r="BW165" s="402"/>
      <c r="BX165" s="402"/>
      <c r="BY165" s="402"/>
      <c r="BZ165" s="402"/>
      <c r="CA165" s="402"/>
      <c r="CB165" s="402"/>
      <c r="CC165" s="402"/>
      <c r="CD165" s="402"/>
      <c r="CE165" s="402"/>
      <c r="CF165" s="402"/>
      <c r="CG165" s="402"/>
      <c r="CH165" s="402"/>
      <c r="CI165" s="402"/>
      <c r="CJ165" s="402"/>
      <c r="CK165" s="402"/>
      <c r="CL165" s="402"/>
      <c r="CM165" s="402"/>
      <c r="CN165" s="402"/>
      <c r="CO165" s="402"/>
      <c r="CP165" s="402"/>
      <c r="CQ165" s="402"/>
      <c r="CR165" s="402"/>
      <c r="CS165" s="402"/>
      <c r="CT165" s="402"/>
    </row>
    <row r="166" spans="7:98" s="125" customFormat="1" x14ac:dyDescent="0.2">
      <c r="G166" s="248"/>
      <c r="H166" s="89"/>
      <c r="I166" s="89"/>
      <c r="J166" s="89"/>
      <c r="K166" s="89"/>
      <c r="L166" s="89"/>
      <c r="M166" s="89"/>
      <c r="N166" s="89"/>
      <c r="O166" s="89"/>
      <c r="P166" s="89"/>
      <c r="Q166" s="89"/>
      <c r="R166" s="89"/>
      <c r="S166" s="89"/>
      <c r="T166" s="89"/>
      <c r="U166" s="89"/>
      <c r="V166" s="89"/>
      <c r="W166" s="89"/>
      <c r="X166" s="89"/>
      <c r="Y166" s="248"/>
      <c r="Z166" s="248"/>
      <c r="AA166" s="248"/>
      <c r="AB166" s="248"/>
      <c r="AV166" s="402"/>
      <c r="AW166" s="402"/>
      <c r="AX166" s="402"/>
      <c r="AY166" s="402"/>
      <c r="AZ166" s="402"/>
      <c r="BA166" s="402"/>
      <c r="BB166" s="402"/>
      <c r="BC166" s="402"/>
      <c r="BD166" s="402"/>
      <c r="BE166" s="402"/>
      <c r="BF166" s="402"/>
      <c r="BG166" s="402"/>
      <c r="BH166" s="402"/>
      <c r="BI166" s="402"/>
      <c r="BJ166" s="402"/>
      <c r="BK166" s="402"/>
      <c r="BL166" s="402"/>
      <c r="BM166" s="402"/>
      <c r="BN166" s="402"/>
      <c r="BO166" s="402"/>
      <c r="BP166" s="402"/>
      <c r="BQ166" s="402"/>
      <c r="BR166" s="402"/>
      <c r="BS166" s="402"/>
      <c r="BT166" s="402"/>
      <c r="BU166" s="402"/>
      <c r="BV166" s="402"/>
      <c r="BW166" s="402"/>
      <c r="BX166" s="402"/>
      <c r="BY166" s="402"/>
      <c r="BZ166" s="402"/>
      <c r="CA166" s="402"/>
      <c r="CB166" s="402"/>
      <c r="CC166" s="402"/>
      <c r="CD166" s="402"/>
      <c r="CE166" s="402"/>
      <c r="CF166" s="402"/>
      <c r="CG166" s="402"/>
      <c r="CH166" s="402"/>
      <c r="CI166" s="402"/>
      <c r="CJ166" s="402"/>
      <c r="CK166" s="402"/>
      <c r="CL166" s="402"/>
      <c r="CM166" s="402"/>
      <c r="CN166" s="402"/>
      <c r="CO166" s="402"/>
      <c r="CP166" s="402"/>
      <c r="CQ166" s="402"/>
      <c r="CR166" s="402"/>
      <c r="CS166" s="402"/>
      <c r="CT166" s="402"/>
    </row>
    <row r="167" spans="7:98" s="125" customFormat="1" x14ac:dyDescent="0.2">
      <c r="G167" s="248"/>
      <c r="H167" s="89"/>
      <c r="I167" s="89"/>
      <c r="J167" s="89"/>
      <c r="K167" s="89"/>
      <c r="L167" s="89"/>
      <c r="M167" s="89"/>
      <c r="N167" s="89"/>
      <c r="O167" s="89"/>
      <c r="P167" s="89"/>
      <c r="Q167" s="89"/>
      <c r="R167" s="89"/>
      <c r="S167" s="89"/>
      <c r="T167" s="89"/>
      <c r="U167" s="89"/>
      <c r="V167" s="89"/>
      <c r="W167" s="89"/>
      <c r="X167" s="89"/>
      <c r="Y167" s="248"/>
      <c r="Z167" s="248"/>
      <c r="AA167" s="248"/>
      <c r="AB167" s="248"/>
      <c r="AV167" s="402"/>
      <c r="AW167" s="402"/>
      <c r="AX167" s="402"/>
      <c r="AY167" s="402"/>
      <c r="AZ167" s="402"/>
      <c r="BA167" s="402"/>
      <c r="BB167" s="402"/>
      <c r="BC167" s="402"/>
      <c r="BD167" s="402"/>
      <c r="BE167" s="402"/>
      <c r="BF167" s="402"/>
      <c r="BG167" s="402"/>
      <c r="BH167" s="402"/>
      <c r="BI167" s="402"/>
      <c r="BJ167" s="402"/>
      <c r="BK167" s="402"/>
      <c r="BL167" s="402"/>
      <c r="BM167" s="402"/>
      <c r="BN167" s="402"/>
      <c r="BO167" s="402"/>
      <c r="BP167" s="402"/>
      <c r="BQ167" s="402"/>
      <c r="BR167" s="402"/>
      <c r="BS167" s="402"/>
      <c r="BT167" s="402"/>
      <c r="BU167" s="402"/>
      <c r="BV167" s="402"/>
      <c r="BW167" s="402"/>
      <c r="BX167" s="402"/>
      <c r="BY167" s="402"/>
      <c r="BZ167" s="402"/>
      <c r="CA167" s="402"/>
      <c r="CB167" s="402"/>
      <c r="CC167" s="402"/>
      <c r="CD167" s="402"/>
      <c r="CE167" s="402"/>
      <c r="CF167" s="402"/>
      <c r="CG167" s="402"/>
      <c r="CH167" s="402"/>
      <c r="CI167" s="402"/>
      <c r="CJ167" s="402"/>
      <c r="CK167" s="402"/>
      <c r="CL167" s="402"/>
      <c r="CM167" s="402"/>
      <c r="CN167" s="402"/>
      <c r="CO167" s="402"/>
      <c r="CP167" s="402"/>
      <c r="CQ167" s="402"/>
      <c r="CR167" s="402"/>
      <c r="CS167" s="402"/>
      <c r="CT167" s="402"/>
    </row>
    <row r="168" spans="7:98" s="125" customFormat="1" x14ac:dyDescent="0.2">
      <c r="G168" s="248"/>
      <c r="H168" s="89"/>
      <c r="I168" s="89"/>
      <c r="J168" s="89"/>
      <c r="K168" s="89"/>
      <c r="L168" s="89"/>
      <c r="M168" s="89"/>
      <c r="N168" s="89"/>
      <c r="O168" s="89"/>
      <c r="P168" s="89"/>
      <c r="Q168" s="89"/>
      <c r="R168" s="89"/>
      <c r="S168" s="89"/>
      <c r="T168" s="89"/>
      <c r="U168" s="89"/>
      <c r="V168" s="89"/>
      <c r="W168" s="89"/>
      <c r="X168" s="89"/>
      <c r="Y168" s="248"/>
      <c r="Z168" s="248"/>
      <c r="AA168" s="248"/>
      <c r="AB168" s="248"/>
      <c r="AV168" s="402"/>
      <c r="AW168" s="402"/>
      <c r="AX168" s="402"/>
      <c r="AY168" s="402"/>
      <c r="AZ168" s="402"/>
      <c r="BA168" s="402"/>
      <c r="BB168" s="402"/>
      <c r="BC168" s="402"/>
      <c r="BD168" s="402"/>
      <c r="BE168" s="402"/>
      <c r="BF168" s="402"/>
      <c r="BG168" s="402"/>
      <c r="BH168" s="402"/>
      <c r="BI168" s="402"/>
      <c r="BJ168" s="402"/>
      <c r="BK168" s="402"/>
      <c r="BL168" s="402"/>
      <c r="BM168" s="402"/>
      <c r="BN168" s="402"/>
      <c r="BO168" s="402"/>
      <c r="BP168" s="402"/>
      <c r="BQ168" s="402"/>
      <c r="BR168" s="402"/>
      <c r="BS168" s="402"/>
      <c r="BT168" s="402"/>
      <c r="BU168" s="402"/>
      <c r="BV168" s="402"/>
      <c r="BW168" s="402"/>
      <c r="BX168" s="402"/>
      <c r="BY168" s="402"/>
      <c r="BZ168" s="402"/>
      <c r="CA168" s="402"/>
      <c r="CB168" s="402"/>
      <c r="CC168" s="402"/>
      <c r="CD168" s="402"/>
      <c r="CE168" s="402"/>
      <c r="CF168" s="402"/>
      <c r="CG168" s="402"/>
      <c r="CH168" s="402"/>
      <c r="CI168" s="402"/>
      <c r="CJ168" s="402"/>
      <c r="CK168" s="402"/>
      <c r="CL168" s="402"/>
      <c r="CM168" s="402"/>
      <c r="CN168" s="402"/>
      <c r="CO168" s="402"/>
      <c r="CP168" s="402"/>
      <c r="CQ168" s="402"/>
      <c r="CR168" s="402"/>
      <c r="CS168" s="402"/>
      <c r="CT168" s="402"/>
    </row>
    <row r="169" spans="7:98" s="125" customFormat="1" x14ac:dyDescent="0.2">
      <c r="G169" s="248"/>
      <c r="H169" s="89"/>
      <c r="I169" s="89"/>
      <c r="J169" s="89"/>
      <c r="K169" s="89"/>
      <c r="L169" s="89"/>
      <c r="M169" s="89"/>
      <c r="N169" s="89"/>
      <c r="O169" s="89"/>
      <c r="P169" s="89"/>
      <c r="Q169" s="89"/>
      <c r="R169" s="89"/>
      <c r="S169" s="89"/>
      <c r="T169" s="89"/>
      <c r="U169" s="89"/>
      <c r="V169" s="89"/>
      <c r="W169" s="89"/>
      <c r="X169" s="89"/>
      <c r="Y169" s="248"/>
      <c r="Z169" s="248"/>
      <c r="AA169" s="248"/>
      <c r="AB169" s="248"/>
      <c r="AV169" s="402"/>
      <c r="AW169" s="402"/>
      <c r="AX169" s="402"/>
      <c r="AY169" s="402"/>
      <c r="AZ169" s="402"/>
      <c r="BA169" s="402"/>
      <c r="BB169" s="402"/>
      <c r="BC169" s="402"/>
      <c r="BD169" s="402"/>
      <c r="BE169" s="402"/>
      <c r="BF169" s="402"/>
      <c r="BG169" s="402"/>
      <c r="BH169" s="402"/>
      <c r="BI169" s="402"/>
      <c r="BJ169" s="402"/>
      <c r="BK169" s="402"/>
      <c r="BL169" s="402"/>
      <c r="BM169" s="402"/>
      <c r="BN169" s="402"/>
      <c r="BO169" s="402"/>
      <c r="BP169" s="402"/>
      <c r="BQ169" s="402"/>
      <c r="BR169" s="402"/>
      <c r="BS169" s="402"/>
      <c r="BT169" s="402"/>
      <c r="BU169" s="402"/>
      <c r="BV169" s="402"/>
      <c r="BW169" s="402"/>
      <c r="BX169" s="402"/>
      <c r="BY169" s="402"/>
      <c r="BZ169" s="402"/>
      <c r="CA169" s="402"/>
      <c r="CB169" s="402"/>
      <c r="CC169" s="402"/>
      <c r="CD169" s="402"/>
      <c r="CE169" s="402"/>
      <c r="CF169" s="402"/>
      <c r="CG169" s="402"/>
      <c r="CH169" s="402"/>
      <c r="CI169" s="402"/>
      <c r="CJ169" s="402"/>
      <c r="CK169" s="402"/>
      <c r="CL169" s="402"/>
      <c r="CM169" s="402"/>
      <c r="CN169" s="402"/>
      <c r="CO169" s="402"/>
      <c r="CP169" s="402"/>
      <c r="CQ169" s="402"/>
      <c r="CR169" s="402"/>
      <c r="CS169" s="402"/>
      <c r="CT169" s="402"/>
    </row>
    <row r="170" spans="7:98" s="125" customFormat="1" x14ac:dyDescent="0.2">
      <c r="G170" s="248"/>
      <c r="H170" s="89"/>
      <c r="I170" s="89"/>
      <c r="J170" s="89"/>
      <c r="K170" s="89"/>
      <c r="L170" s="89"/>
      <c r="M170" s="89"/>
      <c r="N170" s="89"/>
      <c r="O170" s="89"/>
      <c r="P170" s="89"/>
      <c r="Q170" s="89"/>
      <c r="R170" s="89"/>
      <c r="S170" s="89"/>
      <c r="T170" s="89"/>
      <c r="U170" s="89"/>
      <c r="V170" s="89"/>
      <c r="W170" s="89"/>
      <c r="X170" s="89"/>
      <c r="Y170" s="248"/>
      <c r="Z170" s="248"/>
      <c r="AA170" s="248"/>
      <c r="AB170" s="248"/>
      <c r="AV170" s="402"/>
      <c r="AW170" s="402"/>
      <c r="AX170" s="402"/>
      <c r="AY170" s="402"/>
      <c r="AZ170" s="402"/>
      <c r="BA170" s="402"/>
      <c r="BB170" s="402"/>
      <c r="BC170" s="402"/>
      <c r="BD170" s="402"/>
      <c r="BE170" s="402"/>
      <c r="BF170" s="402"/>
      <c r="BG170" s="402"/>
      <c r="BH170" s="402"/>
      <c r="BI170" s="402"/>
      <c r="BJ170" s="402"/>
      <c r="BK170" s="402"/>
      <c r="BL170" s="402"/>
      <c r="BM170" s="402"/>
      <c r="BN170" s="402"/>
      <c r="BO170" s="402"/>
      <c r="BP170" s="402"/>
      <c r="BQ170" s="402"/>
      <c r="BR170" s="402"/>
      <c r="BS170" s="402"/>
      <c r="BT170" s="402"/>
      <c r="BU170" s="402"/>
      <c r="BV170" s="402"/>
      <c r="BW170" s="402"/>
      <c r="BX170" s="402"/>
      <c r="BY170" s="402"/>
      <c r="BZ170" s="402"/>
      <c r="CA170" s="402"/>
      <c r="CB170" s="402"/>
      <c r="CC170" s="402"/>
      <c r="CD170" s="402"/>
      <c r="CE170" s="402"/>
      <c r="CF170" s="402"/>
      <c r="CG170" s="402"/>
      <c r="CH170" s="402"/>
      <c r="CI170" s="402"/>
      <c r="CJ170" s="402"/>
      <c r="CK170" s="402"/>
      <c r="CL170" s="402"/>
      <c r="CM170" s="402"/>
      <c r="CN170" s="402"/>
      <c r="CO170" s="402"/>
      <c r="CP170" s="402"/>
      <c r="CQ170" s="402"/>
      <c r="CR170" s="402"/>
      <c r="CS170" s="402"/>
      <c r="CT170" s="402"/>
    </row>
    <row r="171" spans="7:98" s="125" customFormat="1" x14ac:dyDescent="0.2">
      <c r="G171" s="248"/>
      <c r="H171" s="89"/>
      <c r="I171" s="89"/>
      <c r="J171" s="89"/>
      <c r="K171" s="89"/>
      <c r="L171" s="89"/>
      <c r="M171" s="89"/>
      <c r="N171" s="89"/>
      <c r="O171" s="89"/>
      <c r="P171" s="89"/>
      <c r="Q171" s="89"/>
      <c r="R171" s="89"/>
      <c r="S171" s="89"/>
      <c r="T171" s="89"/>
      <c r="U171" s="89"/>
      <c r="V171" s="89"/>
      <c r="W171" s="89"/>
      <c r="X171" s="89"/>
      <c r="Y171" s="248"/>
      <c r="Z171" s="248"/>
      <c r="AA171" s="248"/>
      <c r="AB171" s="248"/>
      <c r="AV171" s="402"/>
      <c r="AW171" s="402"/>
      <c r="AX171" s="402"/>
      <c r="AY171" s="402"/>
      <c r="AZ171" s="402"/>
      <c r="BA171" s="402"/>
      <c r="BB171" s="402"/>
      <c r="BC171" s="402"/>
      <c r="BD171" s="402"/>
      <c r="BE171" s="402"/>
      <c r="BF171" s="402"/>
      <c r="BG171" s="402"/>
      <c r="BH171" s="402"/>
      <c r="BI171" s="402"/>
      <c r="BJ171" s="402"/>
      <c r="BK171" s="402"/>
      <c r="BL171" s="402"/>
      <c r="BM171" s="402"/>
      <c r="BN171" s="402"/>
      <c r="BO171" s="402"/>
      <c r="BP171" s="402"/>
      <c r="BQ171" s="402"/>
      <c r="BR171" s="402"/>
      <c r="BS171" s="402"/>
      <c r="BT171" s="402"/>
      <c r="BU171" s="402"/>
      <c r="BV171" s="402"/>
      <c r="BW171" s="402"/>
      <c r="BX171" s="402"/>
      <c r="BY171" s="402"/>
      <c r="BZ171" s="402"/>
      <c r="CA171" s="402"/>
      <c r="CB171" s="402"/>
      <c r="CC171" s="402"/>
      <c r="CD171" s="402"/>
      <c r="CE171" s="402"/>
      <c r="CF171" s="402"/>
      <c r="CG171" s="402"/>
      <c r="CH171" s="402"/>
      <c r="CI171" s="402"/>
      <c r="CJ171" s="402"/>
      <c r="CK171" s="402"/>
      <c r="CL171" s="402"/>
      <c r="CM171" s="402"/>
      <c r="CN171" s="402"/>
      <c r="CO171" s="402"/>
      <c r="CP171" s="402"/>
      <c r="CQ171" s="402"/>
      <c r="CR171" s="402"/>
      <c r="CS171" s="402"/>
      <c r="CT171" s="402"/>
    </row>
    <row r="172" spans="7:98" s="125" customFormat="1" x14ac:dyDescent="0.2">
      <c r="G172" s="248"/>
      <c r="H172" s="89"/>
      <c r="I172" s="89"/>
      <c r="J172" s="89"/>
      <c r="K172" s="89"/>
      <c r="L172" s="89"/>
      <c r="M172" s="89"/>
      <c r="N172" s="89"/>
      <c r="O172" s="89"/>
      <c r="P172" s="89"/>
      <c r="Q172" s="89"/>
      <c r="R172" s="89"/>
      <c r="S172" s="89"/>
      <c r="T172" s="89"/>
      <c r="U172" s="89"/>
      <c r="V172" s="89"/>
      <c r="W172" s="89"/>
      <c r="X172" s="89"/>
      <c r="Y172" s="248"/>
      <c r="Z172" s="248"/>
      <c r="AA172" s="248"/>
      <c r="AB172" s="248"/>
      <c r="AV172" s="402"/>
      <c r="AW172" s="402"/>
      <c r="AX172" s="402"/>
      <c r="AY172" s="402"/>
      <c r="AZ172" s="402"/>
      <c r="BA172" s="402"/>
      <c r="BB172" s="402"/>
      <c r="BC172" s="402"/>
      <c r="BD172" s="402"/>
      <c r="BE172" s="402"/>
      <c r="BF172" s="402"/>
      <c r="BG172" s="402"/>
      <c r="BH172" s="402"/>
      <c r="BI172" s="402"/>
      <c r="BJ172" s="402"/>
      <c r="BK172" s="402"/>
      <c r="BL172" s="402"/>
      <c r="BM172" s="402"/>
      <c r="BN172" s="402"/>
      <c r="BO172" s="402"/>
      <c r="BP172" s="402"/>
      <c r="BQ172" s="402"/>
      <c r="BR172" s="402"/>
      <c r="BS172" s="402"/>
      <c r="BT172" s="402"/>
      <c r="BU172" s="402"/>
      <c r="BV172" s="402"/>
      <c r="BW172" s="402"/>
      <c r="BX172" s="402"/>
      <c r="BY172" s="402"/>
      <c r="BZ172" s="402"/>
      <c r="CA172" s="402"/>
      <c r="CB172" s="402"/>
      <c r="CC172" s="402"/>
      <c r="CD172" s="402"/>
      <c r="CE172" s="402"/>
      <c r="CF172" s="402"/>
      <c r="CG172" s="402"/>
      <c r="CH172" s="402"/>
      <c r="CI172" s="402"/>
      <c r="CJ172" s="402"/>
      <c r="CK172" s="402"/>
      <c r="CL172" s="402"/>
      <c r="CM172" s="402"/>
      <c r="CN172" s="402"/>
      <c r="CO172" s="402"/>
      <c r="CP172" s="402"/>
      <c r="CQ172" s="402"/>
      <c r="CR172" s="402"/>
      <c r="CS172" s="402"/>
      <c r="CT172" s="402"/>
    </row>
    <row r="173" spans="7:98" s="125" customFormat="1" x14ac:dyDescent="0.2">
      <c r="G173" s="248"/>
      <c r="H173" s="89"/>
      <c r="I173" s="89"/>
      <c r="J173" s="89"/>
      <c r="K173" s="89"/>
      <c r="L173" s="89"/>
      <c r="M173" s="89"/>
      <c r="N173" s="89"/>
      <c r="O173" s="89"/>
      <c r="P173" s="89"/>
      <c r="Q173" s="89"/>
      <c r="R173" s="89"/>
      <c r="S173" s="89"/>
      <c r="T173" s="89"/>
      <c r="U173" s="89"/>
      <c r="V173" s="89"/>
      <c r="W173" s="89"/>
      <c r="X173" s="89"/>
      <c r="Y173" s="248"/>
      <c r="Z173" s="248"/>
      <c r="AA173" s="248"/>
      <c r="AB173" s="248"/>
      <c r="AV173" s="402"/>
      <c r="AW173" s="402"/>
      <c r="AX173" s="402"/>
      <c r="AY173" s="402"/>
      <c r="AZ173" s="402"/>
      <c r="BA173" s="402"/>
      <c r="BB173" s="402"/>
      <c r="BC173" s="402"/>
      <c r="BD173" s="402"/>
      <c r="BE173" s="402"/>
      <c r="BF173" s="402"/>
      <c r="BG173" s="402"/>
      <c r="BH173" s="402"/>
      <c r="BI173" s="402"/>
      <c r="BJ173" s="402"/>
      <c r="BK173" s="402"/>
      <c r="BL173" s="402"/>
      <c r="BM173" s="402"/>
      <c r="BN173" s="402"/>
      <c r="BO173" s="402"/>
      <c r="BP173" s="402"/>
      <c r="BQ173" s="402"/>
      <c r="BR173" s="402"/>
      <c r="BS173" s="402"/>
      <c r="BT173" s="402"/>
      <c r="BU173" s="402"/>
      <c r="BV173" s="402"/>
      <c r="BW173" s="402"/>
      <c r="BX173" s="402"/>
      <c r="BY173" s="402"/>
      <c r="BZ173" s="402"/>
      <c r="CA173" s="402"/>
      <c r="CB173" s="402"/>
      <c r="CC173" s="402"/>
      <c r="CD173" s="402"/>
      <c r="CE173" s="402"/>
      <c r="CF173" s="402"/>
      <c r="CG173" s="402"/>
      <c r="CH173" s="402"/>
      <c r="CI173" s="402"/>
      <c r="CJ173" s="402"/>
      <c r="CK173" s="402"/>
      <c r="CL173" s="402"/>
      <c r="CM173" s="402"/>
      <c r="CN173" s="402"/>
      <c r="CO173" s="402"/>
      <c r="CP173" s="402"/>
      <c r="CQ173" s="402"/>
      <c r="CR173" s="402"/>
      <c r="CS173" s="402"/>
      <c r="CT173" s="402"/>
    </row>
    <row r="174" spans="7:98" s="125" customFormat="1" x14ac:dyDescent="0.2">
      <c r="G174" s="248"/>
      <c r="H174" s="89"/>
      <c r="I174" s="89"/>
      <c r="J174" s="89"/>
      <c r="K174" s="89"/>
      <c r="L174" s="89"/>
      <c r="M174" s="89"/>
      <c r="N174" s="89"/>
      <c r="O174" s="89"/>
      <c r="P174" s="89"/>
      <c r="Q174" s="89"/>
      <c r="R174" s="89"/>
      <c r="S174" s="89"/>
      <c r="T174" s="89"/>
      <c r="U174" s="89"/>
      <c r="V174" s="89"/>
      <c r="W174" s="89"/>
      <c r="X174" s="89"/>
      <c r="Y174" s="248"/>
      <c r="Z174" s="248"/>
      <c r="AA174" s="248"/>
      <c r="AB174" s="248"/>
      <c r="AV174" s="402"/>
      <c r="AW174" s="402"/>
      <c r="AX174" s="402"/>
      <c r="AY174" s="402"/>
      <c r="AZ174" s="402"/>
      <c r="BA174" s="402"/>
      <c r="BB174" s="402"/>
      <c r="BC174" s="402"/>
      <c r="BD174" s="402"/>
      <c r="BE174" s="402"/>
      <c r="BF174" s="402"/>
      <c r="BG174" s="402"/>
      <c r="BH174" s="402"/>
      <c r="BI174" s="402"/>
      <c r="BJ174" s="402"/>
      <c r="BK174" s="402"/>
      <c r="BL174" s="402"/>
      <c r="BM174" s="402"/>
      <c r="BN174" s="402"/>
      <c r="BO174" s="402"/>
      <c r="BP174" s="402"/>
      <c r="BQ174" s="402"/>
      <c r="BR174" s="402"/>
      <c r="BS174" s="402"/>
      <c r="BT174" s="402"/>
      <c r="BU174" s="402"/>
      <c r="BV174" s="402"/>
      <c r="BW174" s="402"/>
      <c r="BX174" s="402"/>
      <c r="BY174" s="402"/>
      <c r="BZ174" s="402"/>
      <c r="CA174" s="402"/>
      <c r="CB174" s="402"/>
      <c r="CC174" s="402"/>
      <c r="CD174" s="402"/>
      <c r="CE174" s="402"/>
      <c r="CF174" s="402"/>
      <c r="CG174" s="402"/>
      <c r="CH174" s="402"/>
      <c r="CI174" s="402"/>
      <c r="CJ174" s="402"/>
      <c r="CK174" s="402"/>
      <c r="CL174" s="402"/>
      <c r="CM174" s="402"/>
      <c r="CN174" s="402"/>
      <c r="CO174" s="402"/>
      <c r="CP174" s="402"/>
      <c r="CQ174" s="402"/>
      <c r="CR174" s="402"/>
      <c r="CS174" s="402"/>
      <c r="CT174" s="402"/>
    </row>
    <row r="175" spans="7:98" s="125" customFormat="1" x14ac:dyDescent="0.2">
      <c r="G175" s="248"/>
      <c r="H175" s="89"/>
      <c r="I175" s="89"/>
      <c r="J175" s="89"/>
      <c r="K175" s="89"/>
      <c r="L175" s="89"/>
      <c r="M175" s="89"/>
      <c r="N175" s="89"/>
      <c r="O175" s="89"/>
      <c r="P175" s="89"/>
      <c r="Q175" s="89"/>
      <c r="R175" s="89"/>
      <c r="S175" s="89"/>
      <c r="T175" s="89"/>
      <c r="U175" s="89"/>
      <c r="V175" s="89"/>
      <c r="W175" s="89"/>
      <c r="X175" s="89"/>
      <c r="Y175" s="248"/>
      <c r="Z175" s="248"/>
      <c r="AA175" s="248"/>
      <c r="AB175" s="248"/>
      <c r="AV175" s="402"/>
      <c r="AW175" s="402"/>
      <c r="AX175" s="402"/>
      <c r="AY175" s="402"/>
      <c r="AZ175" s="402"/>
      <c r="BA175" s="402"/>
      <c r="BB175" s="402"/>
      <c r="BC175" s="402"/>
      <c r="BD175" s="402"/>
      <c r="BE175" s="402"/>
      <c r="BF175" s="402"/>
      <c r="BG175" s="402"/>
      <c r="BH175" s="402"/>
      <c r="BI175" s="402"/>
      <c r="BJ175" s="402"/>
      <c r="BK175" s="402"/>
      <c r="BL175" s="402"/>
      <c r="BM175" s="402"/>
      <c r="BN175" s="402"/>
      <c r="BO175" s="402"/>
      <c r="BP175" s="402"/>
      <c r="BQ175" s="402"/>
      <c r="BR175" s="402"/>
      <c r="BS175" s="402"/>
      <c r="BT175" s="402"/>
      <c r="BU175" s="402"/>
      <c r="BV175" s="402"/>
      <c r="BW175" s="402"/>
      <c r="BX175" s="402"/>
      <c r="BY175" s="402"/>
      <c r="BZ175" s="402"/>
      <c r="CA175" s="402"/>
      <c r="CB175" s="402"/>
      <c r="CC175" s="402"/>
      <c r="CD175" s="402"/>
      <c r="CE175" s="402"/>
      <c r="CF175" s="402"/>
      <c r="CG175" s="402"/>
      <c r="CH175" s="402"/>
      <c r="CI175" s="402"/>
      <c r="CJ175" s="402"/>
      <c r="CK175" s="402"/>
      <c r="CL175" s="402"/>
      <c r="CM175" s="402"/>
      <c r="CN175" s="402"/>
      <c r="CO175" s="402"/>
      <c r="CP175" s="402"/>
      <c r="CQ175" s="402"/>
      <c r="CR175" s="402"/>
      <c r="CS175" s="402"/>
      <c r="CT175" s="402"/>
    </row>
    <row r="176" spans="7:98" s="125" customFormat="1" x14ac:dyDescent="0.2">
      <c r="G176" s="248"/>
      <c r="H176" s="89"/>
      <c r="I176" s="89"/>
      <c r="J176" s="89"/>
      <c r="K176" s="89"/>
      <c r="L176" s="89"/>
      <c r="M176" s="89"/>
      <c r="N176" s="89"/>
      <c r="O176" s="89"/>
      <c r="P176" s="89"/>
      <c r="Q176" s="89"/>
      <c r="R176" s="89"/>
      <c r="S176" s="89"/>
      <c r="T176" s="89"/>
      <c r="U176" s="89"/>
      <c r="V176" s="89"/>
      <c r="W176" s="89"/>
      <c r="X176" s="89"/>
      <c r="Y176" s="248"/>
      <c r="Z176" s="248"/>
      <c r="AA176" s="248"/>
      <c r="AB176" s="248"/>
      <c r="AV176" s="402"/>
      <c r="AW176" s="402"/>
      <c r="AX176" s="402"/>
      <c r="AY176" s="402"/>
      <c r="AZ176" s="402"/>
      <c r="BA176" s="402"/>
      <c r="BB176" s="402"/>
      <c r="BC176" s="402"/>
      <c r="BD176" s="402"/>
      <c r="BE176" s="402"/>
      <c r="BF176" s="402"/>
      <c r="BG176" s="402"/>
      <c r="BH176" s="402"/>
      <c r="BI176" s="402"/>
      <c r="BJ176" s="402"/>
      <c r="BK176" s="402"/>
      <c r="BL176" s="402"/>
      <c r="BM176" s="402"/>
      <c r="BN176" s="402"/>
      <c r="BO176" s="402"/>
      <c r="BP176" s="402"/>
      <c r="BQ176" s="402"/>
      <c r="BR176" s="402"/>
      <c r="BS176" s="402"/>
      <c r="BT176" s="402"/>
      <c r="BU176" s="402"/>
      <c r="BV176" s="402"/>
      <c r="BW176" s="402"/>
      <c r="BX176" s="402"/>
      <c r="BY176" s="402"/>
      <c r="BZ176" s="402"/>
      <c r="CA176" s="402"/>
      <c r="CB176" s="402"/>
      <c r="CC176" s="402"/>
      <c r="CD176" s="402"/>
      <c r="CE176" s="402"/>
      <c r="CF176" s="402"/>
      <c r="CG176" s="402"/>
      <c r="CH176" s="402"/>
      <c r="CI176" s="402"/>
      <c r="CJ176" s="402"/>
      <c r="CK176" s="402"/>
      <c r="CL176" s="402"/>
      <c r="CM176" s="402"/>
      <c r="CN176" s="402"/>
      <c r="CO176" s="402"/>
      <c r="CP176" s="402"/>
      <c r="CQ176" s="402"/>
      <c r="CR176" s="402"/>
      <c r="CS176" s="402"/>
      <c r="CT176" s="402"/>
    </row>
    <row r="177" spans="7:98" s="125" customFormat="1" x14ac:dyDescent="0.2">
      <c r="G177" s="248"/>
      <c r="H177" s="89"/>
      <c r="I177" s="89"/>
      <c r="J177" s="89"/>
      <c r="K177" s="89"/>
      <c r="L177" s="89"/>
      <c r="M177" s="89"/>
      <c r="N177" s="89"/>
      <c r="O177" s="89"/>
      <c r="P177" s="89"/>
      <c r="Q177" s="89"/>
      <c r="R177" s="89"/>
      <c r="S177" s="89"/>
      <c r="T177" s="89"/>
      <c r="U177" s="89"/>
      <c r="V177" s="89"/>
      <c r="W177" s="89"/>
      <c r="X177" s="89"/>
      <c r="Y177" s="248"/>
      <c r="Z177" s="248"/>
      <c r="AA177" s="248"/>
      <c r="AB177" s="248"/>
      <c r="AV177" s="402"/>
      <c r="AW177" s="402"/>
      <c r="AX177" s="402"/>
      <c r="AY177" s="402"/>
      <c r="AZ177" s="402"/>
      <c r="BA177" s="402"/>
      <c r="BB177" s="402"/>
      <c r="BC177" s="402"/>
      <c r="BD177" s="402"/>
      <c r="BE177" s="402"/>
      <c r="BF177" s="402"/>
      <c r="BG177" s="402"/>
      <c r="BH177" s="402"/>
      <c r="BI177" s="402"/>
      <c r="BJ177" s="402"/>
      <c r="BK177" s="402"/>
      <c r="BL177" s="402"/>
      <c r="BM177" s="402"/>
      <c r="BN177" s="402"/>
      <c r="BO177" s="402"/>
      <c r="BP177" s="402"/>
      <c r="BQ177" s="402"/>
      <c r="BR177" s="402"/>
      <c r="BS177" s="402"/>
      <c r="BT177" s="402"/>
      <c r="BU177" s="402"/>
      <c r="BV177" s="402"/>
      <c r="BW177" s="402"/>
      <c r="BX177" s="402"/>
      <c r="BY177" s="402"/>
      <c r="BZ177" s="402"/>
      <c r="CA177" s="402"/>
      <c r="CB177" s="402"/>
      <c r="CC177" s="402"/>
      <c r="CD177" s="402"/>
      <c r="CE177" s="402"/>
      <c r="CF177" s="402"/>
      <c r="CG177" s="402"/>
      <c r="CH177" s="402"/>
      <c r="CI177" s="402"/>
      <c r="CJ177" s="402"/>
      <c r="CK177" s="402"/>
      <c r="CL177" s="402"/>
      <c r="CM177" s="402"/>
      <c r="CN177" s="402"/>
      <c r="CO177" s="402"/>
      <c r="CP177" s="402"/>
      <c r="CQ177" s="402"/>
      <c r="CR177" s="402"/>
      <c r="CS177" s="402"/>
      <c r="CT177" s="402"/>
    </row>
    <row r="178" spans="7:98" s="125" customFormat="1" x14ac:dyDescent="0.2">
      <c r="G178" s="248"/>
      <c r="H178" s="89"/>
      <c r="I178" s="89"/>
      <c r="J178" s="89"/>
      <c r="K178" s="89"/>
      <c r="L178" s="89"/>
      <c r="M178" s="89"/>
      <c r="N178" s="89"/>
      <c r="O178" s="89"/>
      <c r="P178" s="89"/>
      <c r="Q178" s="89"/>
      <c r="R178" s="89"/>
      <c r="S178" s="89"/>
      <c r="T178" s="89"/>
      <c r="U178" s="89"/>
      <c r="V178" s="89"/>
      <c r="W178" s="89"/>
      <c r="X178" s="89"/>
      <c r="Y178" s="248"/>
      <c r="Z178" s="248"/>
      <c r="AA178" s="248"/>
      <c r="AB178" s="248"/>
      <c r="AV178" s="402"/>
      <c r="AW178" s="402"/>
      <c r="AX178" s="402"/>
      <c r="AY178" s="402"/>
      <c r="AZ178" s="402"/>
      <c r="BA178" s="402"/>
      <c r="BB178" s="402"/>
      <c r="BC178" s="402"/>
      <c r="BD178" s="402"/>
      <c r="BE178" s="402"/>
      <c r="BF178" s="402"/>
      <c r="BG178" s="402"/>
      <c r="BH178" s="402"/>
      <c r="BI178" s="402"/>
      <c r="BJ178" s="402"/>
      <c r="BK178" s="402"/>
      <c r="BL178" s="402"/>
      <c r="BM178" s="402"/>
      <c r="BN178" s="402"/>
      <c r="BO178" s="402"/>
      <c r="BP178" s="402"/>
      <c r="BQ178" s="402"/>
      <c r="BR178" s="402"/>
      <c r="BS178" s="402"/>
      <c r="BT178" s="402"/>
      <c r="BU178" s="402"/>
      <c r="BV178" s="402"/>
      <c r="BW178" s="402"/>
      <c r="BX178" s="402"/>
      <c r="BY178" s="402"/>
      <c r="BZ178" s="402"/>
      <c r="CA178" s="402"/>
      <c r="CB178" s="402"/>
      <c r="CC178" s="402"/>
      <c r="CD178" s="402"/>
      <c r="CE178" s="402"/>
      <c r="CF178" s="402"/>
      <c r="CG178" s="402"/>
      <c r="CH178" s="402"/>
      <c r="CI178" s="402"/>
      <c r="CJ178" s="402"/>
      <c r="CK178" s="402"/>
      <c r="CL178" s="402"/>
      <c r="CM178" s="402"/>
      <c r="CN178" s="402"/>
      <c r="CO178" s="402"/>
      <c r="CP178" s="402"/>
      <c r="CQ178" s="402"/>
      <c r="CR178" s="402"/>
      <c r="CS178" s="402"/>
      <c r="CT178" s="402"/>
    </row>
    <row r="179" spans="7:98" s="125" customFormat="1" x14ac:dyDescent="0.2">
      <c r="G179" s="248"/>
      <c r="H179" s="89"/>
      <c r="I179" s="89"/>
      <c r="J179" s="89"/>
      <c r="K179" s="89"/>
      <c r="L179" s="89"/>
      <c r="M179" s="89"/>
      <c r="N179" s="89"/>
      <c r="O179" s="89"/>
      <c r="P179" s="89"/>
      <c r="Q179" s="89"/>
      <c r="R179" s="89"/>
      <c r="S179" s="89"/>
      <c r="T179" s="89"/>
      <c r="U179" s="89"/>
      <c r="V179" s="89"/>
      <c r="W179" s="89"/>
      <c r="X179" s="89"/>
      <c r="Y179" s="248"/>
      <c r="Z179" s="248"/>
      <c r="AA179" s="248"/>
      <c r="AB179" s="248"/>
      <c r="AV179" s="402"/>
      <c r="AW179" s="402"/>
      <c r="AX179" s="402"/>
      <c r="AY179" s="402"/>
      <c r="AZ179" s="402"/>
      <c r="BA179" s="402"/>
      <c r="BB179" s="402"/>
      <c r="BC179" s="402"/>
      <c r="BD179" s="402"/>
      <c r="BE179" s="402"/>
      <c r="BF179" s="402"/>
      <c r="BG179" s="402"/>
      <c r="BH179" s="402"/>
      <c r="BI179" s="402"/>
      <c r="BJ179" s="402"/>
      <c r="BK179" s="402"/>
      <c r="BL179" s="402"/>
      <c r="BM179" s="402"/>
      <c r="BN179" s="402"/>
      <c r="BO179" s="402"/>
      <c r="BP179" s="402"/>
      <c r="BQ179" s="402"/>
      <c r="BR179" s="402"/>
      <c r="BS179" s="402"/>
      <c r="BT179" s="402"/>
      <c r="BU179" s="402"/>
      <c r="BV179" s="402"/>
      <c r="BW179" s="402"/>
      <c r="BX179" s="402"/>
      <c r="BY179" s="402"/>
      <c r="BZ179" s="402"/>
      <c r="CA179" s="402"/>
      <c r="CB179" s="402"/>
      <c r="CC179" s="402"/>
      <c r="CD179" s="402"/>
      <c r="CE179" s="402"/>
      <c r="CF179" s="402"/>
      <c r="CG179" s="402"/>
      <c r="CH179" s="402"/>
      <c r="CI179" s="402"/>
      <c r="CJ179" s="402"/>
      <c r="CK179" s="402"/>
      <c r="CL179" s="402"/>
      <c r="CM179" s="402"/>
      <c r="CN179" s="402"/>
      <c r="CO179" s="402"/>
      <c r="CP179" s="402"/>
      <c r="CQ179" s="402"/>
      <c r="CR179" s="402"/>
      <c r="CS179" s="402"/>
      <c r="CT179" s="402"/>
    </row>
    <row r="180" spans="7:98" s="125" customFormat="1" x14ac:dyDescent="0.2">
      <c r="G180" s="248"/>
      <c r="H180" s="89"/>
      <c r="I180" s="89"/>
      <c r="J180" s="89"/>
      <c r="K180" s="89"/>
      <c r="L180" s="89"/>
      <c r="M180" s="89"/>
      <c r="N180" s="89"/>
      <c r="O180" s="89"/>
      <c r="P180" s="89"/>
      <c r="Q180" s="89"/>
      <c r="R180" s="89"/>
      <c r="S180" s="89"/>
      <c r="T180" s="89"/>
      <c r="U180" s="89"/>
      <c r="V180" s="89"/>
      <c r="W180" s="89"/>
      <c r="X180" s="89"/>
      <c r="Y180" s="248"/>
      <c r="Z180" s="248"/>
      <c r="AA180" s="248"/>
      <c r="AB180" s="248"/>
      <c r="AV180" s="402"/>
      <c r="AW180" s="402"/>
      <c r="AX180" s="402"/>
      <c r="AY180" s="402"/>
      <c r="AZ180" s="402"/>
      <c r="BA180" s="402"/>
      <c r="BB180" s="402"/>
      <c r="BC180" s="402"/>
      <c r="BD180" s="402"/>
      <c r="BE180" s="402"/>
      <c r="BF180" s="402"/>
      <c r="BG180" s="402"/>
      <c r="BH180" s="402"/>
      <c r="BI180" s="402"/>
      <c r="BJ180" s="402"/>
      <c r="BK180" s="402"/>
      <c r="BL180" s="402"/>
      <c r="BM180" s="402"/>
      <c r="BN180" s="402"/>
      <c r="BO180" s="402"/>
      <c r="BP180" s="402"/>
      <c r="BQ180" s="402"/>
      <c r="BR180" s="402"/>
      <c r="BS180" s="402"/>
      <c r="BT180" s="402"/>
      <c r="BU180" s="402"/>
      <c r="BV180" s="402"/>
      <c r="BW180" s="402"/>
      <c r="BX180" s="402"/>
      <c r="BY180" s="402"/>
      <c r="BZ180" s="402"/>
      <c r="CA180" s="402"/>
      <c r="CB180" s="402"/>
      <c r="CC180" s="402"/>
      <c r="CD180" s="402"/>
      <c r="CE180" s="402"/>
      <c r="CF180" s="402"/>
      <c r="CG180" s="402"/>
      <c r="CH180" s="402"/>
      <c r="CI180" s="402"/>
      <c r="CJ180" s="402"/>
      <c r="CK180" s="402"/>
      <c r="CL180" s="402"/>
      <c r="CM180" s="402"/>
      <c r="CN180" s="402"/>
      <c r="CO180" s="402"/>
      <c r="CP180" s="402"/>
      <c r="CQ180" s="402"/>
      <c r="CR180" s="402"/>
      <c r="CS180" s="402"/>
      <c r="CT180" s="402"/>
    </row>
    <row r="181" spans="7:98" s="125" customFormat="1" x14ac:dyDescent="0.2">
      <c r="G181" s="248"/>
      <c r="H181" s="89"/>
      <c r="I181" s="89"/>
      <c r="J181" s="89"/>
      <c r="K181" s="89"/>
      <c r="L181" s="89"/>
      <c r="M181" s="89"/>
      <c r="N181" s="89"/>
      <c r="O181" s="89"/>
      <c r="P181" s="89"/>
      <c r="Q181" s="89"/>
      <c r="R181" s="89"/>
      <c r="S181" s="89"/>
      <c r="T181" s="89"/>
      <c r="U181" s="89"/>
      <c r="V181" s="89"/>
      <c r="W181" s="89"/>
      <c r="X181" s="89"/>
      <c r="Y181" s="248"/>
      <c r="Z181" s="248"/>
      <c r="AA181" s="248"/>
      <c r="AB181" s="248"/>
      <c r="AV181" s="402"/>
      <c r="AW181" s="402"/>
      <c r="AX181" s="402"/>
      <c r="AY181" s="402"/>
      <c r="AZ181" s="402"/>
      <c r="BA181" s="402"/>
      <c r="BB181" s="402"/>
      <c r="BC181" s="402"/>
      <c r="BD181" s="402"/>
      <c r="BE181" s="402"/>
      <c r="BF181" s="402"/>
      <c r="BG181" s="402"/>
      <c r="BH181" s="402"/>
      <c r="BI181" s="402"/>
      <c r="BJ181" s="402"/>
      <c r="BK181" s="402"/>
      <c r="BL181" s="402"/>
      <c r="BM181" s="402"/>
      <c r="BN181" s="402"/>
      <c r="BO181" s="402"/>
      <c r="BP181" s="402"/>
      <c r="BQ181" s="402"/>
      <c r="BR181" s="402"/>
      <c r="BS181" s="402"/>
      <c r="BT181" s="402"/>
      <c r="BU181" s="402"/>
      <c r="BV181" s="402"/>
      <c r="BW181" s="402"/>
      <c r="BX181" s="402"/>
      <c r="BY181" s="402"/>
      <c r="BZ181" s="402"/>
      <c r="CA181" s="402"/>
      <c r="CB181" s="402"/>
      <c r="CC181" s="402"/>
      <c r="CD181" s="402"/>
      <c r="CE181" s="402"/>
      <c r="CF181" s="402"/>
      <c r="CG181" s="402"/>
      <c r="CH181" s="402"/>
      <c r="CI181" s="402"/>
      <c r="CJ181" s="402"/>
      <c r="CK181" s="402"/>
      <c r="CL181" s="402"/>
      <c r="CM181" s="402"/>
      <c r="CN181" s="402"/>
      <c r="CO181" s="402"/>
      <c r="CP181" s="402"/>
      <c r="CQ181" s="402"/>
      <c r="CR181" s="402"/>
      <c r="CS181" s="402"/>
      <c r="CT181" s="402"/>
    </row>
    <row r="182" spans="7:98" s="125" customFormat="1" x14ac:dyDescent="0.2">
      <c r="G182" s="248"/>
      <c r="H182" s="89"/>
      <c r="I182" s="89"/>
      <c r="J182" s="89"/>
      <c r="K182" s="89"/>
      <c r="L182" s="89"/>
      <c r="M182" s="89"/>
      <c r="N182" s="89"/>
      <c r="O182" s="89"/>
      <c r="P182" s="89"/>
      <c r="Q182" s="89"/>
      <c r="R182" s="89"/>
      <c r="S182" s="89"/>
      <c r="T182" s="89"/>
      <c r="U182" s="89"/>
      <c r="V182" s="89"/>
      <c r="W182" s="89"/>
      <c r="X182" s="89"/>
      <c r="Y182" s="248"/>
      <c r="Z182" s="248"/>
      <c r="AA182" s="248"/>
      <c r="AB182" s="248"/>
      <c r="AV182" s="402"/>
      <c r="AW182" s="402"/>
      <c r="AX182" s="402"/>
      <c r="AY182" s="402"/>
      <c r="AZ182" s="402"/>
      <c r="BA182" s="402"/>
      <c r="BB182" s="402"/>
      <c r="BC182" s="402"/>
      <c r="BD182" s="402"/>
      <c r="BE182" s="402"/>
      <c r="BF182" s="402"/>
      <c r="BG182" s="402"/>
      <c r="BH182" s="402"/>
      <c r="BI182" s="402"/>
      <c r="BJ182" s="402"/>
      <c r="BK182" s="402"/>
      <c r="BL182" s="402"/>
      <c r="BM182" s="402"/>
      <c r="BN182" s="402"/>
      <c r="BO182" s="402"/>
      <c r="BP182" s="402"/>
      <c r="BQ182" s="402"/>
      <c r="BR182" s="402"/>
      <c r="BS182" s="402"/>
      <c r="BT182" s="402"/>
      <c r="BU182" s="402"/>
      <c r="BV182" s="402"/>
      <c r="BW182" s="402"/>
      <c r="BX182" s="402"/>
      <c r="BY182" s="402"/>
      <c r="BZ182" s="402"/>
      <c r="CA182" s="402"/>
      <c r="CB182" s="402"/>
      <c r="CC182" s="402"/>
      <c r="CD182" s="402"/>
      <c r="CE182" s="402"/>
      <c r="CF182" s="402"/>
      <c r="CG182" s="402"/>
      <c r="CH182" s="402"/>
      <c r="CI182" s="402"/>
      <c r="CJ182" s="402"/>
      <c r="CK182" s="402"/>
      <c r="CL182" s="402"/>
      <c r="CM182" s="402"/>
      <c r="CN182" s="402"/>
      <c r="CO182" s="402"/>
      <c r="CP182" s="402"/>
      <c r="CQ182" s="402"/>
      <c r="CR182" s="402"/>
      <c r="CS182" s="402"/>
      <c r="CT182" s="402"/>
    </row>
    <row r="183" spans="7:98" s="125" customFormat="1" x14ac:dyDescent="0.2">
      <c r="G183" s="248"/>
      <c r="H183" s="89"/>
      <c r="I183" s="89"/>
      <c r="J183" s="89"/>
      <c r="K183" s="89"/>
      <c r="L183" s="89"/>
      <c r="M183" s="89"/>
      <c r="N183" s="89"/>
      <c r="O183" s="89"/>
      <c r="P183" s="89"/>
      <c r="Q183" s="89"/>
      <c r="R183" s="89"/>
      <c r="S183" s="89"/>
      <c r="T183" s="89"/>
      <c r="U183" s="89"/>
      <c r="V183" s="89"/>
      <c r="W183" s="89"/>
      <c r="X183" s="89"/>
      <c r="Y183" s="248"/>
      <c r="Z183" s="248"/>
      <c r="AA183" s="248"/>
      <c r="AB183" s="248"/>
      <c r="AV183" s="402"/>
      <c r="AW183" s="402"/>
      <c r="AX183" s="402"/>
      <c r="AY183" s="402"/>
      <c r="AZ183" s="402"/>
      <c r="BA183" s="402"/>
      <c r="BB183" s="402"/>
      <c r="BC183" s="402"/>
      <c r="BD183" s="402"/>
      <c r="BE183" s="402"/>
      <c r="BF183" s="402"/>
      <c r="BG183" s="402"/>
      <c r="BH183" s="402"/>
      <c r="BI183" s="402"/>
      <c r="BJ183" s="402"/>
      <c r="BK183" s="402"/>
      <c r="BL183" s="402"/>
      <c r="BM183" s="402"/>
      <c r="BN183" s="402"/>
      <c r="BO183" s="402"/>
      <c r="BP183" s="402"/>
      <c r="BQ183" s="402"/>
      <c r="BR183" s="402"/>
      <c r="BS183" s="402"/>
      <c r="BT183" s="402"/>
      <c r="BU183" s="402"/>
      <c r="BV183" s="402"/>
      <c r="BW183" s="402"/>
      <c r="BX183" s="402"/>
      <c r="BY183" s="402"/>
      <c r="BZ183" s="402"/>
      <c r="CA183" s="402"/>
      <c r="CB183" s="402"/>
      <c r="CC183" s="402"/>
      <c r="CD183" s="402"/>
      <c r="CE183" s="402"/>
      <c r="CF183" s="402"/>
      <c r="CG183" s="402"/>
      <c r="CH183" s="402"/>
      <c r="CI183" s="402"/>
      <c r="CJ183" s="402"/>
      <c r="CK183" s="402"/>
      <c r="CL183" s="402"/>
      <c r="CM183" s="402"/>
      <c r="CN183" s="402"/>
      <c r="CO183" s="402"/>
      <c r="CP183" s="402"/>
      <c r="CQ183" s="402"/>
      <c r="CR183" s="402"/>
      <c r="CS183" s="402"/>
      <c r="CT183" s="402"/>
    </row>
    <row r="184" spans="7:98" s="125" customFormat="1" x14ac:dyDescent="0.2">
      <c r="G184" s="248"/>
      <c r="H184" s="89"/>
      <c r="I184" s="89"/>
      <c r="J184" s="89"/>
      <c r="K184" s="89"/>
      <c r="L184" s="89"/>
      <c r="M184" s="89"/>
      <c r="N184" s="89"/>
      <c r="O184" s="89"/>
      <c r="P184" s="89"/>
      <c r="Q184" s="89"/>
      <c r="R184" s="89"/>
      <c r="S184" s="89"/>
      <c r="T184" s="89"/>
      <c r="U184" s="89"/>
      <c r="V184" s="89"/>
      <c r="W184" s="89"/>
      <c r="X184" s="89"/>
      <c r="Y184" s="248"/>
      <c r="Z184" s="248"/>
      <c r="AA184" s="248"/>
      <c r="AB184" s="248"/>
      <c r="AV184" s="402"/>
      <c r="AW184" s="402"/>
      <c r="AX184" s="402"/>
      <c r="AY184" s="402"/>
      <c r="AZ184" s="402"/>
      <c r="BA184" s="402"/>
      <c r="BB184" s="402"/>
      <c r="BC184" s="402"/>
      <c r="BD184" s="402"/>
      <c r="BE184" s="402"/>
      <c r="BF184" s="402"/>
      <c r="BG184" s="402"/>
      <c r="BH184" s="402"/>
      <c r="BI184" s="402"/>
      <c r="BJ184" s="402"/>
      <c r="BK184" s="402"/>
      <c r="BL184" s="402"/>
      <c r="BM184" s="402"/>
      <c r="BN184" s="402"/>
      <c r="BO184" s="402"/>
      <c r="BP184" s="402"/>
      <c r="BQ184" s="402"/>
      <c r="BR184" s="402"/>
      <c r="BS184" s="402"/>
      <c r="BT184" s="402"/>
      <c r="BU184" s="402"/>
      <c r="BV184" s="402"/>
      <c r="BW184" s="402"/>
      <c r="BX184" s="402"/>
      <c r="BY184" s="402"/>
      <c r="BZ184" s="402"/>
      <c r="CA184" s="402"/>
      <c r="CB184" s="402"/>
      <c r="CC184" s="402"/>
      <c r="CD184" s="402"/>
      <c r="CE184" s="402"/>
      <c r="CF184" s="402"/>
      <c r="CG184" s="402"/>
      <c r="CH184" s="402"/>
      <c r="CI184" s="402"/>
      <c r="CJ184" s="402"/>
      <c r="CK184" s="402"/>
      <c r="CL184" s="402"/>
      <c r="CM184" s="402"/>
      <c r="CN184" s="402"/>
      <c r="CO184" s="402"/>
      <c r="CP184" s="402"/>
      <c r="CQ184" s="402"/>
      <c r="CR184" s="402"/>
      <c r="CS184" s="402"/>
      <c r="CT184" s="402"/>
    </row>
    <row r="185" spans="7:98" s="125" customFormat="1" x14ac:dyDescent="0.2">
      <c r="G185" s="248"/>
      <c r="H185" s="89"/>
      <c r="I185" s="89"/>
      <c r="J185" s="89"/>
      <c r="K185" s="89"/>
      <c r="L185" s="89"/>
      <c r="M185" s="89"/>
      <c r="N185" s="89"/>
      <c r="O185" s="89"/>
      <c r="P185" s="89"/>
      <c r="Q185" s="89"/>
      <c r="R185" s="89"/>
      <c r="S185" s="89"/>
      <c r="T185" s="89"/>
      <c r="U185" s="89"/>
      <c r="V185" s="89"/>
      <c r="W185" s="89"/>
      <c r="X185" s="89"/>
      <c r="Y185" s="248"/>
      <c r="Z185" s="248"/>
      <c r="AA185" s="248"/>
      <c r="AB185" s="248"/>
      <c r="AV185" s="402"/>
      <c r="AW185" s="402"/>
      <c r="AX185" s="402"/>
      <c r="AY185" s="402"/>
      <c r="AZ185" s="402"/>
      <c r="BA185" s="402"/>
      <c r="BB185" s="402"/>
      <c r="BC185" s="402"/>
      <c r="BD185" s="402"/>
      <c r="BE185" s="402"/>
      <c r="BF185" s="402"/>
      <c r="BG185" s="402"/>
      <c r="BH185" s="402"/>
      <c r="BI185" s="402"/>
      <c r="BJ185" s="402"/>
      <c r="BK185" s="402"/>
      <c r="BL185" s="402"/>
      <c r="BM185" s="402"/>
      <c r="BN185" s="402"/>
      <c r="BO185" s="402"/>
      <c r="BP185" s="402"/>
      <c r="BQ185" s="402"/>
      <c r="BR185" s="402"/>
      <c r="BS185" s="402"/>
      <c r="BT185" s="402"/>
      <c r="BU185" s="402"/>
      <c r="BV185" s="402"/>
      <c r="BW185" s="402"/>
      <c r="BX185" s="402"/>
      <c r="BY185" s="402"/>
      <c r="BZ185" s="402"/>
      <c r="CA185" s="402"/>
      <c r="CB185" s="402"/>
      <c r="CC185" s="402"/>
      <c r="CD185" s="402"/>
      <c r="CE185" s="402"/>
      <c r="CF185" s="402"/>
      <c r="CG185" s="402"/>
      <c r="CH185" s="402"/>
      <c r="CI185" s="402"/>
      <c r="CJ185" s="402"/>
      <c r="CK185" s="402"/>
      <c r="CL185" s="402"/>
      <c r="CM185" s="402"/>
      <c r="CN185" s="402"/>
      <c r="CO185" s="402"/>
      <c r="CP185" s="402"/>
      <c r="CQ185" s="402"/>
      <c r="CR185" s="402"/>
      <c r="CS185" s="402"/>
      <c r="CT185" s="402"/>
    </row>
    <row r="186" spans="7:98" s="125" customFormat="1" x14ac:dyDescent="0.2">
      <c r="G186" s="248"/>
      <c r="H186" s="89"/>
      <c r="I186" s="89"/>
      <c r="J186" s="89"/>
      <c r="K186" s="89"/>
      <c r="L186" s="89"/>
      <c r="M186" s="89"/>
      <c r="N186" s="89"/>
      <c r="O186" s="89"/>
      <c r="P186" s="89"/>
      <c r="Q186" s="89"/>
      <c r="R186" s="89"/>
      <c r="S186" s="89"/>
      <c r="T186" s="89"/>
      <c r="U186" s="89"/>
      <c r="V186" s="89"/>
      <c r="W186" s="89"/>
      <c r="X186" s="89"/>
      <c r="Y186" s="248"/>
      <c r="Z186" s="248"/>
      <c r="AA186" s="248"/>
      <c r="AB186" s="248"/>
      <c r="AV186" s="402"/>
      <c r="AW186" s="402"/>
      <c r="AX186" s="402"/>
      <c r="AY186" s="402"/>
      <c r="AZ186" s="402"/>
      <c r="BA186" s="402"/>
      <c r="BB186" s="402"/>
      <c r="BC186" s="402"/>
      <c r="BD186" s="402"/>
      <c r="BE186" s="402"/>
      <c r="BF186" s="402"/>
      <c r="BG186" s="402"/>
      <c r="BH186" s="402"/>
      <c r="BI186" s="402"/>
      <c r="BJ186" s="402"/>
      <c r="BK186" s="402"/>
      <c r="BL186" s="402"/>
      <c r="BM186" s="402"/>
      <c r="BN186" s="402"/>
      <c r="BO186" s="402"/>
      <c r="BP186" s="402"/>
      <c r="BQ186" s="402"/>
      <c r="BR186" s="402"/>
      <c r="BS186" s="402"/>
      <c r="BT186" s="402"/>
      <c r="BU186" s="402"/>
      <c r="BV186" s="402"/>
      <c r="BW186" s="402"/>
      <c r="BX186" s="402"/>
      <c r="BY186" s="402"/>
      <c r="BZ186" s="402"/>
      <c r="CA186" s="402"/>
      <c r="CB186" s="402"/>
      <c r="CC186" s="402"/>
      <c r="CD186" s="402"/>
      <c r="CE186" s="402"/>
      <c r="CF186" s="402"/>
      <c r="CG186" s="402"/>
      <c r="CH186" s="402"/>
      <c r="CI186" s="402"/>
      <c r="CJ186" s="402"/>
      <c r="CK186" s="402"/>
      <c r="CL186" s="402"/>
      <c r="CM186" s="402"/>
      <c r="CN186" s="402"/>
      <c r="CO186" s="402"/>
      <c r="CP186" s="402"/>
      <c r="CQ186" s="402"/>
      <c r="CR186" s="402"/>
      <c r="CS186" s="402"/>
      <c r="CT186" s="402"/>
    </row>
    <row r="187" spans="7:98" s="125" customFormat="1" x14ac:dyDescent="0.2">
      <c r="G187" s="248"/>
      <c r="H187" s="89"/>
      <c r="I187" s="89"/>
      <c r="J187" s="89"/>
      <c r="K187" s="89"/>
      <c r="L187" s="89"/>
      <c r="M187" s="89"/>
      <c r="N187" s="89"/>
      <c r="O187" s="89"/>
      <c r="P187" s="89"/>
      <c r="Q187" s="89"/>
      <c r="R187" s="89"/>
      <c r="S187" s="89"/>
      <c r="T187" s="89"/>
      <c r="U187" s="89"/>
      <c r="V187" s="89"/>
      <c r="W187" s="89"/>
      <c r="X187" s="89"/>
      <c r="Y187" s="248"/>
      <c r="Z187" s="248"/>
      <c r="AA187" s="248"/>
      <c r="AB187" s="248"/>
      <c r="AV187" s="402"/>
      <c r="AW187" s="402"/>
      <c r="AX187" s="402"/>
      <c r="AY187" s="402"/>
      <c r="AZ187" s="402"/>
      <c r="BA187" s="402"/>
      <c r="BB187" s="402"/>
      <c r="BC187" s="402"/>
      <c r="BD187" s="402"/>
      <c r="BE187" s="402"/>
      <c r="BF187" s="402"/>
      <c r="BG187" s="402"/>
      <c r="BH187" s="402"/>
      <c r="BI187" s="402"/>
      <c r="BJ187" s="402"/>
      <c r="BK187" s="402"/>
      <c r="BL187" s="402"/>
      <c r="BM187" s="402"/>
      <c r="BN187" s="402"/>
      <c r="BO187" s="402"/>
      <c r="BP187" s="402"/>
      <c r="BQ187" s="402"/>
      <c r="BR187" s="402"/>
      <c r="BS187" s="402"/>
      <c r="BT187" s="402"/>
      <c r="BU187" s="402"/>
      <c r="BV187" s="402"/>
      <c r="BW187" s="402"/>
      <c r="BX187" s="402"/>
      <c r="BY187" s="402"/>
      <c r="BZ187" s="402"/>
      <c r="CA187" s="402"/>
      <c r="CB187" s="402"/>
      <c r="CC187" s="402"/>
      <c r="CD187" s="402"/>
      <c r="CE187" s="402"/>
      <c r="CF187" s="402"/>
      <c r="CG187" s="402"/>
      <c r="CH187" s="402"/>
      <c r="CI187" s="402"/>
      <c r="CJ187" s="402"/>
      <c r="CK187" s="402"/>
      <c r="CL187" s="402"/>
      <c r="CM187" s="402"/>
      <c r="CN187" s="402"/>
      <c r="CO187" s="402"/>
      <c r="CP187" s="402"/>
      <c r="CQ187" s="402"/>
      <c r="CR187" s="402"/>
      <c r="CS187" s="402"/>
      <c r="CT187" s="402"/>
    </row>
    <row r="188" spans="7:98" s="125" customFormat="1" x14ac:dyDescent="0.2">
      <c r="G188" s="248"/>
      <c r="H188" s="89"/>
      <c r="I188" s="89"/>
      <c r="J188" s="89"/>
      <c r="K188" s="89"/>
      <c r="L188" s="89"/>
      <c r="M188" s="89"/>
      <c r="N188" s="89"/>
      <c r="O188" s="89"/>
      <c r="P188" s="89"/>
      <c r="Q188" s="89"/>
      <c r="R188" s="89"/>
      <c r="S188" s="89"/>
      <c r="T188" s="89"/>
      <c r="U188" s="89"/>
      <c r="V188" s="89"/>
      <c r="W188" s="89"/>
      <c r="X188" s="89"/>
      <c r="Y188" s="248"/>
      <c r="Z188" s="248"/>
      <c r="AA188" s="248"/>
      <c r="AB188" s="248"/>
      <c r="AV188" s="402"/>
      <c r="AW188" s="402"/>
      <c r="AX188" s="402"/>
      <c r="AY188" s="402"/>
      <c r="AZ188" s="402"/>
      <c r="BA188" s="402"/>
      <c r="BB188" s="402"/>
      <c r="BC188" s="402"/>
      <c r="BD188" s="402"/>
      <c r="BE188" s="402"/>
      <c r="BF188" s="402"/>
      <c r="BG188" s="402"/>
      <c r="BH188" s="402"/>
      <c r="BI188" s="402"/>
      <c r="BJ188" s="402"/>
      <c r="BK188" s="402"/>
      <c r="BL188" s="402"/>
      <c r="BM188" s="402"/>
      <c r="BN188" s="402"/>
      <c r="BO188" s="402"/>
      <c r="BP188" s="402"/>
      <c r="BQ188" s="402"/>
      <c r="BR188" s="402"/>
      <c r="BS188" s="402"/>
      <c r="BT188" s="402"/>
      <c r="BU188" s="402"/>
      <c r="BV188" s="402"/>
      <c r="BW188" s="402"/>
      <c r="BX188" s="402"/>
      <c r="BY188" s="402"/>
      <c r="BZ188" s="402"/>
      <c r="CA188" s="402"/>
      <c r="CB188" s="402"/>
      <c r="CC188" s="402"/>
      <c r="CD188" s="402"/>
      <c r="CE188" s="402"/>
      <c r="CF188" s="402"/>
      <c r="CG188" s="402"/>
      <c r="CH188" s="402"/>
      <c r="CI188" s="402"/>
      <c r="CJ188" s="402"/>
      <c r="CK188" s="402"/>
      <c r="CL188" s="402"/>
      <c r="CM188" s="402"/>
      <c r="CN188" s="402"/>
      <c r="CO188" s="402"/>
      <c r="CP188" s="402"/>
      <c r="CQ188" s="402"/>
      <c r="CR188" s="402"/>
      <c r="CS188" s="402"/>
      <c r="CT188" s="402"/>
    </row>
    <row r="189" spans="7:98" s="125" customFormat="1" x14ac:dyDescent="0.2">
      <c r="G189" s="248"/>
      <c r="H189" s="89"/>
      <c r="I189" s="89"/>
      <c r="J189" s="89"/>
      <c r="K189" s="89"/>
      <c r="L189" s="89"/>
      <c r="M189" s="89"/>
      <c r="N189" s="89"/>
      <c r="O189" s="89"/>
      <c r="P189" s="89"/>
      <c r="Q189" s="89"/>
      <c r="R189" s="89"/>
      <c r="S189" s="89"/>
      <c r="T189" s="89"/>
      <c r="U189" s="89"/>
      <c r="V189" s="89"/>
      <c r="W189" s="89"/>
      <c r="X189" s="89"/>
      <c r="Y189" s="248"/>
      <c r="Z189" s="248"/>
      <c r="AA189" s="248"/>
      <c r="AB189" s="248"/>
      <c r="AV189" s="402"/>
      <c r="AW189" s="402"/>
      <c r="AX189" s="402"/>
      <c r="AY189" s="402"/>
      <c r="AZ189" s="402"/>
      <c r="BA189" s="402"/>
      <c r="BB189" s="402"/>
      <c r="BC189" s="402"/>
      <c r="BD189" s="402"/>
      <c r="BE189" s="402"/>
      <c r="BF189" s="402"/>
      <c r="BG189" s="402"/>
      <c r="BH189" s="402"/>
      <c r="BI189" s="402"/>
      <c r="BJ189" s="402"/>
      <c r="BK189" s="402"/>
      <c r="BL189" s="402"/>
      <c r="BM189" s="402"/>
      <c r="BN189" s="402"/>
      <c r="BO189" s="402"/>
      <c r="BP189" s="402"/>
      <c r="BQ189" s="402"/>
      <c r="BR189" s="402"/>
      <c r="BS189" s="402"/>
      <c r="BT189" s="402"/>
      <c r="BU189" s="402"/>
      <c r="BV189" s="402"/>
      <c r="BW189" s="402"/>
      <c r="BX189" s="402"/>
      <c r="BY189" s="402"/>
      <c r="BZ189" s="402"/>
      <c r="CA189" s="402"/>
      <c r="CB189" s="402"/>
      <c r="CC189" s="402"/>
      <c r="CD189" s="402"/>
      <c r="CE189" s="402"/>
      <c r="CF189" s="402"/>
      <c r="CG189" s="402"/>
      <c r="CH189" s="402"/>
      <c r="CI189" s="402"/>
      <c r="CJ189" s="402"/>
      <c r="CK189" s="402"/>
      <c r="CL189" s="402"/>
      <c r="CM189" s="402"/>
      <c r="CN189" s="402"/>
      <c r="CO189" s="402"/>
      <c r="CP189" s="402"/>
      <c r="CQ189" s="402"/>
      <c r="CR189" s="402"/>
      <c r="CS189" s="402"/>
      <c r="CT189" s="402"/>
    </row>
    <row r="190" spans="7:98" s="125" customFormat="1" x14ac:dyDescent="0.2">
      <c r="G190" s="248"/>
      <c r="H190" s="89"/>
      <c r="I190" s="89"/>
      <c r="J190" s="89"/>
      <c r="K190" s="89"/>
      <c r="L190" s="89"/>
      <c r="M190" s="89"/>
      <c r="N190" s="89"/>
      <c r="O190" s="89"/>
      <c r="P190" s="89"/>
      <c r="Q190" s="89"/>
      <c r="R190" s="89"/>
      <c r="S190" s="89"/>
      <c r="T190" s="89"/>
      <c r="U190" s="89"/>
      <c r="V190" s="89"/>
      <c r="W190" s="89"/>
      <c r="X190" s="89"/>
      <c r="Y190" s="248"/>
      <c r="Z190" s="248"/>
      <c r="AA190" s="248"/>
      <c r="AB190" s="248"/>
      <c r="AV190" s="402"/>
      <c r="AW190" s="402"/>
      <c r="AX190" s="402"/>
      <c r="AY190" s="402"/>
      <c r="AZ190" s="402"/>
      <c r="BA190" s="402"/>
      <c r="BB190" s="402"/>
      <c r="BC190" s="402"/>
      <c r="BD190" s="402"/>
      <c r="BE190" s="402"/>
      <c r="BF190" s="402"/>
      <c r="BG190" s="402"/>
      <c r="BH190" s="402"/>
      <c r="BI190" s="402"/>
      <c r="BJ190" s="402"/>
      <c r="BK190" s="402"/>
      <c r="BL190" s="402"/>
      <c r="BM190" s="402"/>
      <c r="BN190" s="402"/>
      <c r="BO190" s="402"/>
      <c r="BP190" s="402"/>
      <c r="BQ190" s="402"/>
      <c r="BR190" s="402"/>
      <c r="BS190" s="402"/>
      <c r="BT190" s="402"/>
      <c r="BU190" s="402"/>
      <c r="BV190" s="402"/>
      <c r="BW190" s="402"/>
      <c r="BX190" s="402"/>
      <c r="BY190" s="402"/>
      <c r="BZ190" s="402"/>
      <c r="CA190" s="402"/>
      <c r="CB190" s="402"/>
      <c r="CC190" s="402"/>
      <c r="CD190" s="402"/>
      <c r="CE190" s="402"/>
      <c r="CF190" s="402"/>
      <c r="CG190" s="402"/>
      <c r="CH190" s="402"/>
      <c r="CI190" s="402"/>
      <c r="CJ190" s="402"/>
      <c r="CK190" s="402"/>
      <c r="CL190" s="402"/>
      <c r="CM190" s="402"/>
      <c r="CN190" s="402"/>
      <c r="CO190" s="402"/>
      <c r="CP190" s="402"/>
      <c r="CQ190" s="402"/>
      <c r="CR190" s="402"/>
      <c r="CS190" s="402"/>
      <c r="CT190" s="402"/>
    </row>
    <row r="191" spans="7:98" s="125" customFormat="1" x14ac:dyDescent="0.2">
      <c r="G191" s="248"/>
      <c r="H191" s="89"/>
      <c r="I191" s="89"/>
      <c r="J191" s="89"/>
      <c r="K191" s="89"/>
      <c r="L191" s="89"/>
      <c r="M191" s="89"/>
      <c r="N191" s="89"/>
      <c r="O191" s="89"/>
      <c r="P191" s="89"/>
      <c r="Q191" s="89"/>
      <c r="R191" s="89"/>
      <c r="S191" s="89"/>
      <c r="T191" s="89"/>
      <c r="U191" s="89"/>
      <c r="V191" s="89"/>
      <c r="W191" s="89"/>
      <c r="X191" s="89"/>
      <c r="Y191" s="248"/>
      <c r="Z191" s="248"/>
      <c r="AA191" s="248"/>
      <c r="AB191" s="248"/>
      <c r="AV191" s="402"/>
      <c r="AW191" s="402"/>
      <c r="AX191" s="402"/>
      <c r="AY191" s="402"/>
      <c r="AZ191" s="402"/>
      <c r="BA191" s="402"/>
      <c r="BB191" s="402"/>
      <c r="BC191" s="402"/>
      <c r="BD191" s="402"/>
      <c r="BE191" s="402"/>
      <c r="BF191" s="402"/>
      <c r="BG191" s="402"/>
      <c r="BH191" s="402"/>
      <c r="BI191" s="402"/>
      <c r="BJ191" s="402"/>
      <c r="BK191" s="402"/>
      <c r="BL191" s="402"/>
      <c r="BM191" s="402"/>
      <c r="BN191" s="402"/>
      <c r="BO191" s="402"/>
      <c r="BP191" s="402"/>
      <c r="BQ191" s="402"/>
      <c r="BR191" s="402"/>
      <c r="BS191" s="402"/>
      <c r="BT191" s="402"/>
      <c r="BU191" s="402"/>
      <c r="BV191" s="402"/>
      <c r="BW191" s="402"/>
      <c r="BX191" s="402"/>
      <c r="BY191" s="402"/>
      <c r="BZ191" s="402"/>
      <c r="CA191" s="402"/>
      <c r="CB191" s="402"/>
      <c r="CC191" s="402"/>
      <c r="CD191" s="402"/>
      <c r="CE191" s="402"/>
      <c r="CF191" s="402"/>
      <c r="CG191" s="402"/>
      <c r="CH191" s="402"/>
      <c r="CI191" s="402"/>
      <c r="CJ191" s="402"/>
      <c r="CK191" s="402"/>
      <c r="CL191" s="402"/>
      <c r="CM191" s="402"/>
      <c r="CN191" s="402"/>
      <c r="CO191" s="402"/>
      <c r="CP191" s="402"/>
      <c r="CQ191" s="402"/>
      <c r="CR191" s="402"/>
      <c r="CS191" s="402"/>
      <c r="CT191" s="402"/>
    </row>
    <row r="192" spans="7:98" s="125" customFormat="1" x14ac:dyDescent="0.2">
      <c r="G192" s="248"/>
      <c r="H192" s="89"/>
      <c r="I192" s="89"/>
      <c r="J192" s="89"/>
      <c r="K192" s="89"/>
      <c r="L192" s="89"/>
      <c r="M192" s="89"/>
      <c r="N192" s="89"/>
      <c r="O192" s="89"/>
      <c r="P192" s="89"/>
      <c r="Q192" s="89"/>
      <c r="R192" s="89"/>
      <c r="S192" s="89"/>
      <c r="T192" s="89"/>
      <c r="U192" s="89"/>
      <c r="V192" s="89"/>
      <c r="W192" s="89"/>
      <c r="X192" s="89"/>
      <c r="Y192" s="248"/>
      <c r="Z192" s="248"/>
      <c r="AA192" s="248"/>
      <c r="AB192" s="248"/>
      <c r="AV192" s="402"/>
      <c r="AW192" s="402"/>
      <c r="AX192" s="402"/>
      <c r="AY192" s="402"/>
      <c r="AZ192" s="402"/>
      <c r="BA192" s="402"/>
      <c r="BB192" s="402"/>
      <c r="BC192" s="402"/>
      <c r="BD192" s="402"/>
      <c r="BE192" s="402"/>
      <c r="BF192" s="402"/>
      <c r="BG192" s="402"/>
      <c r="BH192" s="402"/>
      <c r="BI192" s="402"/>
      <c r="BJ192" s="402"/>
      <c r="BK192" s="402"/>
      <c r="BL192" s="402"/>
      <c r="BM192" s="402"/>
      <c r="BN192" s="402"/>
      <c r="BO192" s="402"/>
      <c r="BP192" s="402"/>
      <c r="BQ192" s="402"/>
      <c r="BR192" s="402"/>
      <c r="BS192" s="402"/>
      <c r="BT192" s="402"/>
      <c r="BU192" s="402"/>
      <c r="BV192" s="402"/>
      <c r="BW192" s="402"/>
      <c r="BX192" s="402"/>
      <c r="BY192" s="402"/>
      <c r="BZ192" s="402"/>
      <c r="CA192" s="402"/>
      <c r="CB192" s="402"/>
      <c r="CC192" s="402"/>
      <c r="CD192" s="402"/>
      <c r="CE192" s="402"/>
      <c r="CF192" s="402"/>
      <c r="CG192" s="402"/>
      <c r="CH192" s="402"/>
      <c r="CI192" s="402"/>
      <c r="CJ192" s="402"/>
      <c r="CK192" s="402"/>
      <c r="CL192" s="402"/>
      <c r="CM192" s="402"/>
      <c r="CN192" s="402"/>
      <c r="CO192" s="402"/>
      <c r="CP192" s="402"/>
      <c r="CQ192" s="402"/>
      <c r="CR192" s="402"/>
      <c r="CS192" s="402"/>
      <c r="CT192" s="402"/>
    </row>
    <row r="193" spans="7:98" s="125" customFormat="1" x14ac:dyDescent="0.2">
      <c r="G193" s="248"/>
      <c r="H193" s="89"/>
      <c r="I193" s="89"/>
      <c r="J193" s="89"/>
      <c r="K193" s="89"/>
      <c r="L193" s="89"/>
      <c r="M193" s="89"/>
      <c r="N193" s="89"/>
      <c r="O193" s="89"/>
      <c r="P193" s="89"/>
      <c r="Q193" s="89"/>
      <c r="R193" s="89"/>
      <c r="S193" s="89"/>
      <c r="T193" s="89"/>
      <c r="U193" s="89"/>
      <c r="V193" s="89"/>
      <c r="W193" s="89"/>
      <c r="X193" s="89"/>
      <c r="Y193" s="248"/>
      <c r="Z193" s="248"/>
      <c r="AA193" s="248"/>
      <c r="AB193" s="248"/>
      <c r="AV193" s="402"/>
      <c r="AW193" s="402"/>
      <c r="AX193" s="402"/>
      <c r="AY193" s="402"/>
      <c r="AZ193" s="402"/>
      <c r="BA193" s="402"/>
      <c r="BB193" s="402"/>
      <c r="BC193" s="402"/>
      <c r="BD193" s="402"/>
      <c r="BE193" s="402"/>
      <c r="BF193" s="402"/>
      <c r="BG193" s="402"/>
      <c r="BH193" s="402"/>
      <c r="BI193" s="402"/>
      <c r="BJ193" s="402"/>
      <c r="BK193" s="402"/>
      <c r="BL193" s="402"/>
      <c r="BM193" s="402"/>
      <c r="BN193" s="402"/>
      <c r="BO193" s="402"/>
      <c r="BP193" s="402"/>
      <c r="BQ193" s="402"/>
      <c r="BR193" s="402"/>
      <c r="BS193" s="402"/>
      <c r="BT193" s="402"/>
      <c r="BU193" s="402"/>
      <c r="BV193" s="402"/>
      <c r="BW193" s="402"/>
      <c r="BX193" s="402"/>
      <c r="BY193" s="402"/>
      <c r="BZ193" s="402"/>
      <c r="CA193" s="402"/>
      <c r="CB193" s="402"/>
      <c r="CC193" s="402"/>
      <c r="CD193" s="402"/>
      <c r="CE193" s="402"/>
      <c r="CF193" s="402"/>
      <c r="CG193" s="402"/>
      <c r="CH193" s="402"/>
      <c r="CI193" s="402"/>
      <c r="CJ193" s="402"/>
      <c r="CK193" s="402"/>
      <c r="CL193" s="402"/>
      <c r="CM193" s="402"/>
      <c r="CN193" s="402"/>
      <c r="CO193" s="402"/>
      <c r="CP193" s="402"/>
      <c r="CQ193" s="402"/>
      <c r="CR193" s="402"/>
      <c r="CS193" s="402"/>
      <c r="CT193" s="402"/>
    </row>
    <row r="194" spans="7:98" s="125" customFormat="1" x14ac:dyDescent="0.2">
      <c r="G194" s="248"/>
      <c r="H194" s="89"/>
      <c r="I194" s="89"/>
      <c r="J194" s="89"/>
      <c r="K194" s="89"/>
      <c r="L194" s="89"/>
      <c r="M194" s="89"/>
      <c r="N194" s="89"/>
      <c r="O194" s="89"/>
      <c r="P194" s="89"/>
      <c r="Q194" s="89"/>
      <c r="R194" s="89"/>
      <c r="S194" s="89"/>
      <c r="T194" s="89"/>
      <c r="U194" s="89"/>
      <c r="V194" s="89"/>
      <c r="W194" s="89"/>
      <c r="X194" s="89"/>
      <c r="Y194" s="248"/>
      <c r="Z194" s="248"/>
      <c r="AA194" s="248"/>
      <c r="AB194" s="248"/>
      <c r="AV194" s="402"/>
      <c r="AW194" s="402"/>
      <c r="AX194" s="402"/>
      <c r="AY194" s="402"/>
      <c r="AZ194" s="402"/>
      <c r="BA194" s="402"/>
      <c r="BB194" s="402"/>
      <c r="BC194" s="402"/>
      <c r="BD194" s="402"/>
      <c r="BE194" s="402"/>
      <c r="BF194" s="402"/>
      <c r="BG194" s="402"/>
      <c r="BH194" s="402"/>
      <c r="BI194" s="402"/>
      <c r="BJ194" s="402"/>
      <c r="BK194" s="402"/>
      <c r="BL194" s="402"/>
      <c r="BM194" s="402"/>
      <c r="BN194" s="402"/>
      <c r="BO194" s="402"/>
      <c r="BP194" s="402"/>
      <c r="BQ194" s="402"/>
      <c r="BR194" s="402"/>
      <c r="BS194" s="402"/>
      <c r="BT194" s="402"/>
      <c r="BU194" s="402"/>
      <c r="BV194" s="402"/>
      <c r="BW194" s="402"/>
      <c r="BX194" s="402"/>
      <c r="BY194" s="402"/>
      <c r="BZ194" s="402"/>
      <c r="CA194" s="402"/>
      <c r="CB194" s="402"/>
      <c r="CC194" s="402"/>
      <c r="CD194" s="402"/>
      <c r="CE194" s="402"/>
      <c r="CF194" s="402"/>
      <c r="CG194" s="402"/>
      <c r="CH194" s="402"/>
      <c r="CI194" s="402"/>
      <c r="CJ194" s="402"/>
      <c r="CK194" s="402"/>
      <c r="CL194" s="402"/>
      <c r="CM194" s="402"/>
      <c r="CN194" s="402"/>
      <c r="CO194" s="402"/>
      <c r="CP194" s="402"/>
      <c r="CQ194" s="402"/>
      <c r="CR194" s="402"/>
      <c r="CS194" s="402"/>
      <c r="CT194" s="402"/>
    </row>
    <row r="195" spans="7:98" s="125" customFormat="1" x14ac:dyDescent="0.2">
      <c r="G195" s="248"/>
      <c r="H195" s="89"/>
      <c r="I195" s="89"/>
      <c r="J195" s="89"/>
      <c r="K195" s="89"/>
      <c r="L195" s="89"/>
      <c r="M195" s="89"/>
      <c r="N195" s="89"/>
      <c r="O195" s="89"/>
      <c r="P195" s="89"/>
      <c r="Q195" s="89"/>
      <c r="R195" s="89"/>
      <c r="S195" s="89"/>
      <c r="T195" s="89"/>
      <c r="U195" s="89"/>
      <c r="V195" s="89"/>
      <c r="W195" s="89"/>
      <c r="X195" s="89"/>
      <c r="Y195" s="248"/>
      <c r="Z195" s="248"/>
      <c r="AA195" s="248"/>
      <c r="AB195" s="248"/>
      <c r="AV195" s="402"/>
      <c r="AW195" s="402"/>
      <c r="AX195" s="402"/>
      <c r="AY195" s="402"/>
      <c r="AZ195" s="402"/>
      <c r="BA195" s="402"/>
      <c r="BB195" s="402"/>
      <c r="BC195" s="402"/>
      <c r="BD195" s="402"/>
      <c r="BE195" s="402"/>
      <c r="BF195" s="402"/>
      <c r="BG195" s="402"/>
      <c r="BH195" s="402"/>
      <c r="BI195" s="402"/>
      <c r="BJ195" s="402"/>
      <c r="BK195" s="402"/>
      <c r="BL195" s="402"/>
      <c r="BM195" s="402"/>
      <c r="BN195" s="402"/>
      <c r="BO195" s="402"/>
      <c r="BP195" s="402"/>
      <c r="BQ195" s="402"/>
      <c r="BR195" s="402"/>
      <c r="BS195" s="402"/>
      <c r="BT195" s="402"/>
      <c r="BU195" s="402"/>
      <c r="BV195" s="402"/>
      <c r="BW195" s="402"/>
      <c r="BX195" s="402"/>
      <c r="BY195" s="402"/>
      <c r="BZ195" s="402"/>
      <c r="CA195" s="402"/>
      <c r="CB195" s="402"/>
      <c r="CC195" s="402"/>
      <c r="CD195" s="402"/>
      <c r="CE195" s="402"/>
      <c r="CF195" s="402"/>
      <c r="CG195" s="402"/>
      <c r="CH195" s="402"/>
      <c r="CI195" s="402"/>
      <c r="CJ195" s="402"/>
      <c r="CK195" s="402"/>
      <c r="CL195" s="402"/>
      <c r="CM195" s="402"/>
      <c r="CN195" s="402"/>
      <c r="CO195" s="402"/>
      <c r="CP195" s="402"/>
      <c r="CQ195" s="402"/>
      <c r="CR195" s="402"/>
      <c r="CS195" s="402"/>
      <c r="CT195" s="402"/>
    </row>
    <row r="196" spans="7:98" s="125" customFormat="1" x14ac:dyDescent="0.2">
      <c r="G196" s="248"/>
      <c r="H196" s="89"/>
      <c r="I196" s="89"/>
      <c r="J196" s="89"/>
      <c r="K196" s="89"/>
      <c r="L196" s="89"/>
      <c r="M196" s="89"/>
      <c r="N196" s="89"/>
      <c r="O196" s="89"/>
      <c r="P196" s="89"/>
      <c r="Q196" s="89"/>
      <c r="R196" s="89"/>
      <c r="S196" s="89"/>
      <c r="T196" s="89"/>
      <c r="U196" s="89"/>
      <c r="V196" s="89"/>
      <c r="W196" s="89"/>
      <c r="X196" s="89"/>
      <c r="Y196" s="248"/>
      <c r="Z196" s="248"/>
      <c r="AA196" s="248"/>
      <c r="AB196" s="248"/>
      <c r="AV196" s="402"/>
      <c r="AW196" s="402"/>
      <c r="AX196" s="402"/>
      <c r="AY196" s="402"/>
      <c r="AZ196" s="402"/>
      <c r="BA196" s="402"/>
      <c r="BB196" s="402"/>
      <c r="BC196" s="402"/>
      <c r="BD196" s="402"/>
      <c r="BE196" s="402"/>
      <c r="BF196" s="402"/>
      <c r="BG196" s="402"/>
      <c r="BH196" s="402"/>
      <c r="BI196" s="402"/>
      <c r="BJ196" s="402"/>
      <c r="BK196" s="402"/>
      <c r="BL196" s="402"/>
      <c r="BM196" s="402"/>
      <c r="BN196" s="402"/>
      <c r="BO196" s="402"/>
      <c r="BP196" s="402"/>
      <c r="BQ196" s="402"/>
      <c r="BR196" s="402"/>
      <c r="BS196" s="402"/>
      <c r="BT196" s="402"/>
      <c r="BU196" s="402"/>
      <c r="BV196" s="402"/>
      <c r="BW196" s="402"/>
      <c r="BX196" s="402"/>
      <c r="BY196" s="402"/>
      <c r="BZ196" s="402"/>
      <c r="CA196" s="402"/>
      <c r="CB196" s="402"/>
      <c r="CC196" s="402"/>
      <c r="CD196" s="402"/>
      <c r="CE196" s="402"/>
      <c r="CF196" s="402"/>
      <c r="CG196" s="402"/>
      <c r="CH196" s="402"/>
      <c r="CI196" s="402"/>
      <c r="CJ196" s="402"/>
      <c r="CK196" s="402"/>
      <c r="CL196" s="402"/>
      <c r="CM196" s="402"/>
      <c r="CN196" s="402"/>
      <c r="CO196" s="402"/>
      <c r="CP196" s="402"/>
      <c r="CQ196" s="402"/>
      <c r="CR196" s="402"/>
      <c r="CS196" s="402"/>
      <c r="CT196" s="402"/>
    </row>
    <row r="197" spans="7:98" s="125" customFormat="1" x14ac:dyDescent="0.2">
      <c r="G197" s="248"/>
      <c r="H197" s="89"/>
      <c r="I197" s="89"/>
      <c r="J197" s="89"/>
      <c r="K197" s="89"/>
      <c r="L197" s="89"/>
      <c r="M197" s="89"/>
      <c r="N197" s="89"/>
      <c r="O197" s="89"/>
      <c r="P197" s="89"/>
      <c r="Q197" s="89"/>
      <c r="R197" s="89"/>
      <c r="S197" s="89"/>
      <c r="T197" s="89"/>
      <c r="U197" s="89"/>
      <c r="V197" s="89"/>
      <c r="W197" s="89"/>
      <c r="X197" s="89"/>
      <c r="Y197" s="248"/>
      <c r="Z197" s="248"/>
      <c r="AA197" s="248"/>
      <c r="AB197" s="248"/>
      <c r="AV197" s="402"/>
      <c r="AW197" s="402"/>
      <c r="AX197" s="402"/>
      <c r="AY197" s="402"/>
      <c r="AZ197" s="402"/>
      <c r="BA197" s="402"/>
      <c r="BB197" s="402"/>
      <c r="BC197" s="402"/>
      <c r="BD197" s="402"/>
      <c r="BE197" s="402"/>
      <c r="BF197" s="402"/>
      <c r="BG197" s="402"/>
      <c r="BH197" s="402"/>
      <c r="BI197" s="402"/>
      <c r="BJ197" s="402"/>
      <c r="BK197" s="402"/>
      <c r="BL197" s="402"/>
      <c r="BM197" s="402"/>
      <c r="BN197" s="402"/>
      <c r="BO197" s="402"/>
      <c r="BP197" s="402"/>
      <c r="BQ197" s="402"/>
      <c r="BR197" s="402"/>
      <c r="BS197" s="402"/>
      <c r="BT197" s="402"/>
      <c r="BU197" s="402"/>
      <c r="BV197" s="402"/>
      <c r="BW197" s="402"/>
      <c r="BX197" s="402"/>
      <c r="BY197" s="402"/>
      <c r="BZ197" s="402"/>
      <c r="CA197" s="402"/>
      <c r="CB197" s="402"/>
      <c r="CC197" s="402"/>
      <c r="CD197" s="402"/>
      <c r="CE197" s="402"/>
      <c r="CF197" s="402"/>
      <c r="CG197" s="402"/>
      <c r="CH197" s="402"/>
      <c r="CI197" s="402"/>
      <c r="CJ197" s="402"/>
      <c r="CK197" s="402"/>
      <c r="CL197" s="402"/>
      <c r="CM197" s="402"/>
      <c r="CN197" s="402"/>
      <c r="CO197" s="402"/>
      <c r="CP197" s="402"/>
      <c r="CQ197" s="402"/>
      <c r="CR197" s="402"/>
      <c r="CS197" s="402"/>
      <c r="CT197" s="402"/>
    </row>
    <row r="198" spans="7:98" s="125" customFormat="1" x14ac:dyDescent="0.2">
      <c r="G198" s="248"/>
      <c r="H198" s="89"/>
      <c r="I198" s="89"/>
      <c r="J198" s="89"/>
      <c r="K198" s="89"/>
      <c r="L198" s="89"/>
      <c r="M198" s="89"/>
      <c r="N198" s="89"/>
      <c r="O198" s="89"/>
      <c r="P198" s="89"/>
      <c r="Q198" s="89"/>
      <c r="R198" s="89"/>
      <c r="S198" s="89"/>
      <c r="T198" s="89"/>
      <c r="U198" s="89"/>
      <c r="V198" s="89"/>
      <c r="W198" s="89"/>
      <c r="X198" s="89"/>
      <c r="Y198" s="248"/>
      <c r="Z198" s="248"/>
      <c r="AA198" s="248"/>
      <c r="AB198" s="248"/>
      <c r="AV198" s="402"/>
      <c r="AW198" s="402"/>
      <c r="AX198" s="402"/>
      <c r="AY198" s="402"/>
      <c r="AZ198" s="402"/>
      <c r="BA198" s="402"/>
      <c r="BB198" s="402"/>
      <c r="BC198" s="402"/>
      <c r="BD198" s="402"/>
      <c r="BE198" s="402"/>
      <c r="BF198" s="402"/>
      <c r="BG198" s="402"/>
      <c r="BH198" s="402"/>
      <c r="BI198" s="402"/>
      <c r="BJ198" s="402"/>
      <c r="BK198" s="402"/>
      <c r="BL198" s="402"/>
      <c r="BM198" s="402"/>
      <c r="BN198" s="402"/>
      <c r="BO198" s="402"/>
      <c r="BP198" s="402"/>
      <c r="BQ198" s="402"/>
      <c r="BR198" s="402"/>
      <c r="BS198" s="402"/>
      <c r="BT198" s="402"/>
      <c r="BU198" s="402"/>
      <c r="BV198" s="402"/>
      <c r="BW198" s="402"/>
      <c r="BX198" s="402"/>
      <c r="BY198" s="402"/>
      <c r="BZ198" s="402"/>
      <c r="CA198" s="402"/>
      <c r="CB198" s="402"/>
      <c r="CC198" s="402"/>
      <c r="CD198" s="402"/>
      <c r="CE198" s="402"/>
      <c r="CF198" s="402"/>
      <c r="CG198" s="402"/>
      <c r="CH198" s="402"/>
      <c r="CI198" s="402"/>
      <c r="CJ198" s="402"/>
      <c r="CK198" s="402"/>
      <c r="CL198" s="402"/>
      <c r="CM198" s="402"/>
      <c r="CN198" s="402"/>
      <c r="CO198" s="402"/>
      <c r="CP198" s="402"/>
      <c r="CQ198" s="402"/>
      <c r="CR198" s="402"/>
      <c r="CS198" s="402"/>
      <c r="CT198" s="402"/>
    </row>
    <row r="199" spans="7:98" s="125" customFormat="1" x14ac:dyDescent="0.2">
      <c r="G199" s="248"/>
      <c r="H199" s="89"/>
      <c r="I199" s="89"/>
      <c r="J199" s="89"/>
      <c r="K199" s="89"/>
      <c r="L199" s="89"/>
      <c r="M199" s="89"/>
      <c r="N199" s="89"/>
      <c r="O199" s="89"/>
      <c r="P199" s="89"/>
      <c r="Q199" s="89"/>
      <c r="R199" s="89"/>
      <c r="S199" s="89"/>
      <c r="T199" s="89"/>
      <c r="U199" s="89"/>
      <c r="V199" s="89"/>
      <c r="W199" s="89"/>
      <c r="X199" s="89"/>
      <c r="Y199" s="248"/>
      <c r="Z199" s="248"/>
      <c r="AA199" s="248"/>
      <c r="AB199" s="248"/>
      <c r="AV199" s="402"/>
      <c r="AW199" s="402"/>
      <c r="AX199" s="402"/>
      <c r="AY199" s="402"/>
      <c r="AZ199" s="402"/>
      <c r="BA199" s="402"/>
      <c r="BB199" s="402"/>
      <c r="BC199" s="402"/>
      <c r="BD199" s="402"/>
      <c r="BE199" s="402"/>
      <c r="BF199" s="402"/>
      <c r="BG199" s="402"/>
      <c r="BH199" s="402"/>
      <c r="BI199" s="402"/>
      <c r="BJ199" s="402"/>
      <c r="BK199" s="402"/>
      <c r="BL199" s="402"/>
      <c r="BM199" s="402"/>
      <c r="BN199" s="402"/>
      <c r="BO199" s="402"/>
      <c r="BP199" s="402"/>
      <c r="BQ199" s="402"/>
      <c r="BR199" s="402"/>
      <c r="BS199" s="402"/>
      <c r="BT199" s="402"/>
      <c r="BU199" s="402"/>
      <c r="BV199" s="402"/>
      <c r="BW199" s="402"/>
      <c r="BX199" s="402"/>
      <c r="BY199" s="402"/>
      <c r="BZ199" s="402"/>
      <c r="CA199" s="402"/>
      <c r="CB199" s="402"/>
      <c r="CC199" s="402"/>
      <c r="CD199" s="402"/>
      <c r="CE199" s="402"/>
      <c r="CF199" s="402"/>
      <c r="CG199" s="402"/>
      <c r="CH199" s="402"/>
      <c r="CI199" s="402"/>
      <c r="CJ199" s="402"/>
      <c r="CK199" s="402"/>
      <c r="CL199" s="402"/>
      <c r="CM199" s="402"/>
      <c r="CN199" s="402"/>
      <c r="CO199" s="402"/>
      <c r="CP199" s="402"/>
      <c r="CQ199" s="402"/>
      <c r="CR199" s="402"/>
      <c r="CS199" s="402"/>
      <c r="CT199" s="402"/>
    </row>
    <row r="200" spans="7:98" s="125" customFormat="1" x14ac:dyDescent="0.2">
      <c r="G200" s="248"/>
      <c r="H200" s="89"/>
      <c r="I200" s="89"/>
      <c r="J200" s="89"/>
      <c r="K200" s="89"/>
      <c r="L200" s="89"/>
      <c r="M200" s="89"/>
      <c r="N200" s="89"/>
      <c r="O200" s="89"/>
      <c r="P200" s="89"/>
      <c r="Q200" s="89"/>
      <c r="R200" s="89"/>
      <c r="S200" s="89"/>
      <c r="T200" s="89"/>
      <c r="U200" s="89"/>
      <c r="V200" s="89"/>
      <c r="W200" s="89"/>
      <c r="X200" s="89"/>
      <c r="Y200" s="248"/>
      <c r="Z200" s="248"/>
      <c r="AA200" s="248"/>
      <c r="AB200" s="248"/>
      <c r="AV200" s="402"/>
      <c r="AW200" s="402"/>
      <c r="AX200" s="402"/>
      <c r="AY200" s="402"/>
      <c r="AZ200" s="402"/>
      <c r="BA200" s="402"/>
      <c r="BB200" s="402"/>
      <c r="BC200" s="402"/>
      <c r="BD200" s="402"/>
      <c r="BE200" s="402"/>
      <c r="BF200" s="402"/>
      <c r="BG200" s="402"/>
      <c r="BH200" s="402"/>
      <c r="BI200" s="402"/>
      <c r="BJ200" s="402"/>
      <c r="BK200" s="402"/>
      <c r="BL200" s="402"/>
      <c r="BM200" s="402"/>
      <c r="BN200" s="402"/>
      <c r="BO200" s="402"/>
      <c r="BP200" s="402"/>
      <c r="BQ200" s="402"/>
      <c r="BR200" s="402"/>
      <c r="BS200" s="402"/>
      <c r="BT200" s="402"/>
      <c r="BU200" s="402"/>
      <c r="BV200" s="402"/>
      <c r="BW200" s="402"/>
      <c r="BX200" s="402"/>
      <c r="BY200" s="402"/>
      <c r="BZ200" s="402"/>
      <c r="CA200" s="402"/>
      <c r="CB200" s="402"/>
      <c r="CC200" s="402"/>
      <c r="CD200" s="402"/>
      <c r="CE200" s="402"/>
      <c r="CF200" s="402"/>
      <c r="CG200" s="402"/>
      <c r="CH200" s="402"/>
      <c r="CI200" s="402"/>
      <c r="CJ200" s="402"/>
      <c r="CK200" s="402"/>
      <c r="CL200" s="402"/>
      <c r="CM200" s="402"/>
      <c r="CN200" s="402"/>
      <c r="CO200" s="402"/>
      <c r="CP200" s="402"/>
      <c r="CQ200" s="402"/>
      <c r="CR200" s="402"/>
      <c r="CS200" s="402"/>
      <c r="CT200" s="402"/>
    </row>
    <row r="201" spans="7:98" s="125" customFormat="1" x14ac:dyDescent="0.2">
      <c r="G201" s="248"/>
      <c r="H201" s="89"/>
      <c r="I201" s="89"/>
      <c r="J201" s="89"/>
      <c r="K201" s="89"/>
      <c r="L201" s="89"/>
      <c r="M201" s="89"/>
      <c r="N201" s="89"/>
      <c r="O201" s="89"/>
      <c r="P201" s="89"/>
      <c r="Q201" s="89"/>
      <c r="R201" s="89"/>
      <c r="S201" s="89"/>
      <c r="T201" s="89"/>
      <c r="U201" s="89"/>
      <c r="V201" s="89"/>
      <c r="W201" s="89"/>
      <c r="X201" s="89"/>
      <c r="Y201" s="248"/>
      <c r="Z201" s="248"/>
      <c r="AA201" s="248"/>
      <c r="AB201" s="248"/>
      <c r="AV201" s="402"/>
      <c r="AW201" s="402"/>
      <c r="AX201" s="402"/>
      <c r="AY201" s="402"/>
      <c r="AZ201" s="402"/>
      <c r="BA201" s="402"/>
      <c r="BB201" s="402"/>
      <c r="BC201" s="402"/>
      <c r="BD201" s="402"/>
      <c r="BE201" s="402"/>
      <c r="BF201" s="402"/>
      <c r="BG201" s="402"/>
      <c r="BH201" s="402"/>
      <c r="BI201" s="402"/>
      <c r="BJ201" s="402"/>
      <c r="BK201" s="402"/>
      <c r="BL201" s="402"/>
      <c r="BM201" s="402"/>
      <c r="BN201" s="402"/>
      <c r="BO201" s="402"/>
      <c r="BP201" s="402"/>
      <c r="BQ201" s="402"/>
      <c r="BR201" s="402"/>
      <c r="BS201" s="402"/>
      <c r="BT201" s="402"/>
      <c r="BU201" s="402"/>
      <c r="BV201" s="402"/>
      <c r="BW201" s="402"/>
      <c r="BX201" s="402"/>
      <c r="BY201" s="402"/>
      <c r="BZ201" s="402"/>
      <c r="CA201" s="402"/>
      <c r="CB201" s="402"/>
      <c r="CC201" s="402"/>
      <c r="CD201" s="402"/>
      <c r="CE201" s="402"/>
      <c r="CF201" s="402"/>
      <c r="CG201" s="402"/>
      <c r="CH201" s="402"/>
      <c r="CI201" s="402"/>
      <c r="CJ201" s="402"/>
      <c r="CK201" s="402"/>
      <c r="CL201" s="402"/>
      <c r="CM201" s="402"/>
      <c r="CN201" s="402"/>
      <c r="CO201" s="402"/>
      <c r="CP201" s="402"/>
      <c r="CQ201" s="402"/>
      <c r="CR201" s="402"/>
      <c r="CS201" s="402"/>
      <c r="CT201" s="402"/>
    </row>
    <row r="202" spans="7:98" s="125" customFormat="1" x14ac:dyDescent="0.2">
      <c r="G202" s="248"/>
      <c r="H202" s="89"/>
      <c r="I202" s="89"/>
      <c r="J202" s="89"/>
      <c r="K202" s="89"/>
      <c r="L202" s="89"/>
      <c r="M202" s="89"/>
      <c r="N202" s="89"/>
      <c r="O202" s="89"/>
      <c r="P202" s="89"/>
      <c r="Q202" s="89"/>
      <c r="R202" s="89"/>
      <c r="S202" s="89"/>
      <c r="T202" s="89"/>
      <c r="U202" s="89"/>
      <c r="V202" s="89"/>
      <c r="W202" s="89"/>
      <c r="X202" s="89"/>
      <c r="Y202" s="248"/>
      <c r="Z202" s="248"/>
      <c r="AA202" s="248"/>
      <c r="AB202" s="248"/>
      <c r="AV202" s="402"/>
      <c r="AW202" s="402"/>
      <c r="AX202" s="402"/>
      <c r="AY202" s="402"/>
      <c r="AZ202" s="402"/>
      <c r="BA202" s="402"/>
      <c r="BB202" s="402"/>
      <c r="BC202" s="402"/>
      <c r="BD202" s="402"/>
      <c r="BE202" s="402"/>
      <c r="BF202" s="402"/>
      <c r="BG202" s="402"/>
      <c r="BH202" s="402"/>
      <c r="BI202" s="402"/>
      <c r="BJ202" s="402"/>
      <c r="BK202" s="402"/>
      <c r="BL202" s="402"/>
      <c r="BM202" s="402"/>
      <c r="BN202" s="402"/>
      <c r="BO202" s="402"/>
      <c r="BP202" s="402"/>
      <c r="BQ202" s="402"/>
      <c r="BR202" s="402"/>
      <c r="BS202" s="402"/>
      <c r="BT202" s="402"/>
      <c r="BU202" s="402"/>
      <c r="BV202" s="402"/>
      <c r="BW202" s="402"/>
      <c r="BX202" s="402"/>
      <c r="BY202" s="402"/>
      <c r="BZ202" s="402"/>
      <c r="CA202" s="402"/>
      <c r="CB202" s="402"/>
      <c r="CC202" s="402"/>
      <c r="CD202" s="402"/>
      <c r="CE202" s="402"/>
      <c r="CF202" s="402"/>
      <c r="CG202" s="402"/>
      <c r="CH202" s="402"/>
      <c r="CI202" s="402"/>
      <c r="CJ202" s="402"/>
      <c r="CK202" s="402"/>
      <c r="CL202" s="402"/>
      <c r="CM202" s="402"/>
      <c r="CN202" s="402"/>
      <c r="CO202" s="402"/>
      <c r="CP202" s="402"/>
      <c r="CQ202" s="402"/>
      <c r="CR202" s="402"/>
      <c r="CS202" s="402"/>
      <c r="CT202" s="402"/>
    </row>
    <row r="203" spans="7:98" s="125" customFormat="1" x14ac:dyDescent="0.2">
      <c r="G203" s="248"/>
      <c r="H203" s="89"/>
      <c r="I203" s="89"/>
      <c r="J203" s="89"/>
      <c r="K203" s="89"/>
      <c r="L203" s="89"/>
      <c r="M203" s="89"/>
      <c r="N203" s="89"/>
      <c r="O203" s="89"/>
      <c r="P203" s="89"/>
      <c r="Q203" s="89"/>
      <c r="R203" s="89"/>
      <c r="S203" s="89"/>
      <c r="T203" s="89"/>
      <c r="U203" s="89"/>
      <c r="V203" s="89"/>
      <c r="W203" s="89"/>
      <c r="X203" s="89"/>
      <c r="Y203" s="248"/>
      <c r="Z203" s="248"/>
      <c r="AA203" s="248"/>
      <c r="AB203" s="248"/>
      <c r="AV203" s="402"/>
      <c r="AW203" s="402"/>
      <c r="AX203" s="402"/>
      <c r="AY203" s="402"/>
      <c r="AZ203" s="402"/>
      <c r="BA203" s="402"/>
      <c r="BB203" s="402"/>
      <c r="BC203" s="402"/>
      <c r="BD203" s="402"/>
      <c r="BE203" s="402"/>
      <c r="BF203" s="402"/>
      <c r="BG203" s="402"/>
      <c r="BH203" s="402"/>
      <c r="BI203" s="402"/>
      <c r="BJ203" s="402"/>
      <c r="BK203" s="402"/>
      <c r="BL203" s="402"/>
      <c r="BM203" s="402"/>
      <c r="BN203" s="402"/>
      <c r="BO203" s="402"/>
      <c r="BP203" s="402"/>
      <c r="BQ203" s="402"/>
      <c r="BR203" s="402"/>
      <c r="BS203" s="402"/>
      <c r="BT203" s="402"/>
      <c r="BU203" s="402"/>
      <c r="BV203" s="402"/>
      <c r="BW203" s="402"/>
      <c r="BX203" s="402"/>
      <c r="BY203" s="402"/>
      <c r="BZ203" s="402"/>
      <c r="CA203" s="402"/>
      <c r="CB203" s="402"/>
      <c r="CC203" s="402"/>
      <c r="CD203" s="402"/>
      <c r="CE203" s="402"/>
      <c r="CF203" s="402"/>
      <c r="CG203" s="402"/>
      <c r="CH203" s="402"/>
      <c r="CI203" s="402"/>
      <c r="CJ203" s="402"/>
      <c r="CK203" s="402"/>
      <c r="CL203" s="402"/>
      <c r="CM203" s="402"/>
      <c r="CN203" s="402"/>
      <c r="CO203" s="402"/>
      <c r="CP203" s="402"/>
      <c r="CQ203" s="402"/>
      <c r="CR203" s="402"/>
      <c r="CS203" s="402"/>
      <c r="CT203" s="402"/>
    </row>
    <row r="204" spans="7:98" s="125" customFormat="1" x14ac:dyDescent="0.2">
      <c r="G204" s="248"/>
      <c r="H204" s="89"/>
      <c r="I204" s="89"/>
      <c r="J204" s="89"/>
      <c r="K204" s="89"/>
      <c r="L204" s="89"/>
      <c r="M204" s="89"/>
      <c r="N204" s="89"/>
      <c r="O204" s="89"/>
      <c r="P204" s="89"/>
      <c r="Q204" s="89"/>
      <c r="R204" s="89"/>
      <c r="S204" s="89"/>
      <c r="T204" s="89"/>
      <c r="U204" s="89"/>
      <c r="V204" s="89"/>
      <c r="W204" s="89"/>
      <c r="X204" s="89"/>
      <c r="Y204" s="248"/>
      <c r="Z204" s="248"/>
      <c r="AA204" s="248"/>
      <c r="AB204" s="248"/>
      <c r="AV204" s="402"/>
      <c r="AW204" s="402"/>
      <c r="AX204" s="402"/>
      <c r="AY204" s="402"/>
      <c r="AZ204" s="402"/>
      <c r="BA204" s="402"/>
      <c r="BB204" s="402"/>
      <c r="BC204" s="402"/>
      <c r="BD204" s="402"/>
      <c r="BE204" s="402"/>
      <c r="BF204" s="402"/>
      <c r="BG204" s="402"/>
      <c r="BH204" s="402"/>
      <c r="BI204" s="402"/>
      <c r="BJ204" s="402"/>
      <c r="BK204" s="402"/>
      <c r="BL204" s="402"/>
      <c r="BM204" s="402"/>
      <c r="BN204" s="402"/>
      <c r="BO204" s="402"/>
      <c r="BP204" s="402"/>
      <c r="BQ204" s="402"/>
      <c r="BR204" s="402"/>
      <c r="BS204" s="402"/>
      <c r="BT204" s="402"/>
      <c r="BU204" s="402"/>
      <c r="BV204" s="402"/>
      <c r="BW204" s="402"/>
      <c r="BX204" s="402"/>
      <c r="BY204" s="402"/>
      <c r="BZ204" s="402"/>
      <c r="CA204" s="402"/>
      <c r="CB204" s="402"/>
      <c r="CC204" s="402"/>
      <c r="CD204" s="402"/>
      <c r="CE204" s="402"/>
      <c r="CF204" s="402"/>
      <c r="CG204" s="402"/>
      <c r="CH204" s="402"/>
      <c r="CI204" s="402"/>
      <c r="CJ204" s="402"/>
      <c r="CK204" s="402"/>
      <c r="CL204" s="402"/>
      <c r="CM204" s="402"/>
      <c r="CN204" s="402"/>
      <c r="CO204" s="402"/>
      <c r="CP204" s="402"/>
      <c r="CQ204" s="402"/>
      <c r="CR204" s="402"/>
      <c r="CS204" s="402"/>
      <c r="CT204" s="402"/>
    </row>
    <row r="205" spans="7:98" s="125" customFormat="1" x14ac:dyDescent="0.2">
      <c r="G205" s="248"/>
      <c r="H205" s="89"/>
      <c r="I205" s="89"/>
      <c r="J205" s="89"/>
      <c r="K205" s="89"/>
      <c r="L205" s="89"/>
      <c r="M205" s="89"/>
      <c r="N205" s="89"/>
      <c r="O205" s="89"/>
      <c r="P205" s="89"/>
      <c r="Q205" s="89"/>
      <c r="R205" s="89"/>
      <c r="S205" s="89"/>
      <c r="T205" s="89"/>
      <c r="U205" s="89"/>
      <c r="V205" s="89"/>
      <c r="W205" s="89"/>
      <c r="X205" s="89"/>
      <c r="Y205" s="248"/>
      <c r="Z205" s="248"/>
      <c r="AA205" s="248"/>
      <c r="AB205" s="248"/>
      <c r="AV205" s="402"/>
      <c r="AW205" s="402"/>
      <c r="AX205" s="402"/>
      <c r="AY205" s="402"/>
      <c r="AZ205" s="402"/>
      <c r="BA205" s="402"/>
      <c r="BB205" s="402"/>
      <c r="BC205" s="402"/>
      <c r="BD205" s="402"/>
      <c r="BE205" s="402"/>
      <c r="BF205" s="402"/>
      <c r="BG205" s="402"/>
      <c r="BH205" s="402"/>
      <c r="BI205" s="402"/>
      <c r="BJ205" s="402"/>
      <c r="BK205" s="402"/>
      <c r="BL205" s="402"/>
      <c r="BM205" s="402"/>
      <c r="BN205" s="402"/>
      <c r="BO205" s="402"/>
      <c r="BP205" s="402"/>
      <c r="BQ205" s="402"/>
      <c r="BR205" s="402"/>
      <c r="BS205" s="402"/>
      <c r="BT205" s="402"/>
      <c r="BU205" s="402"/>
      <c r="BV205" s="402"/>
      <c r="BW205" s="402"/>
      <c r="BX205" s="402"/>
      <c r="BY205" s="402"/>
      <c r="BZ205" s="402"/>
      <c r="CA205" s="402"/>
      <c r="CB205" s="402"/>
      <c r="CC205" s="402"/>
      <c r="CD205" s="402"/>
      <c r="CE205" s="402"/>
      <c r="CF205" s="402"/>
      <c r="CG205" s="402"/>
      <c r="CH205" s="402"/>
      <c r="CI205" s="402"/>
      <c r="CJ205" s="402"/>
      <c r="CK205" s="402"/>
      <c r="CL205" s="402"/>
      <c r="CM205" s="402"/>
      <c r="CN205" s="402"/>
      <c r="CO205" s="402"/>
      <c r="CP205" s="402"/>
      <c r="CQ205" s="402"/>
      <c r="CR205" s="402"/>
      <c r="CS205" s="402"/>
      <c r="CT205" s="402"/>
    </row>
    <row r="206" spans="7:98" s="125" customFormat="1" x14ac:dyDescent="0.2">
      <c r="G206" s="248"/>
      <c r="H206" s="89"/>
      <c r="I206" s="89"/>
      <c r="J206" s="89"/>
      <c r="K206" s="89"/>
      <c r="L206" s="89"/>
      <c r="M206" s="89"/>
      <c r="N206" s="89"/>
      <c r="O206" s="89"/>
      <c r="P206" s="89"/>
      <c r="Q206" s="89"/>
      <c r="R206" s="89"/>
      <c r="S206" s="89"/>
      <c r="T206" s="89"/>
      <c r="U206" s="89"/>
      <c r="V206" s="89"/>
      <c r="W206" s="89"/>
      <c r="X206" s="89"/>
      <c r="Y206" s="248"/>
      <c r="Z206" s="248"/>
      <c r="AA206" s="248"/>
      <c r="AB206" s="248"/>
      <c r="AV206" s="402"/>
      <c r="AW206" s="402"/>
      <c r="AX206" s="402"/>
      <c r="AY206" s="402"/>
      <c r="AZ206" s="402"/>
      <c r="BA206" s="402"/>
      <c r="BB206" s="402"/>
      <c r="BC206" s="402"/>
      <c r="BD206" s="402"/>
      <c r="BE206" s="402"/>
      <c r="BF206" s="402"/>
      <c r="BG206" s="402"/>
      <c r="BH206" s="402"/>
      <c r="BI206" s="402"/>
      <c r="BJ206" s="402"/>
      <c r="BK206" s="402"/>
      <c r="BL206" s="402"/>
      <c r="BM206" s="402"/>
      <c r="BN206" s="402"/>
      <c r="BO206" s="402"/>
      <c r="BP206" s="402"/>
      <c r="BQ206" s="402"/>
      <c r="BR206" s="402"/>
      <c r="BS206" s="402"/>
      <c r="BT206" s="402"/>
      <c r="BU206" s="402"/>
      <c r="BV206" s="402"/>
      <c r="BW206" s="402"/>
      <c r="BX206" s="402"/>
      <c r="BY206" s="402"/>
      <c r="BZ206" s="402"/>
      <c r="CA206" s="402"/>
      <c r="CB206" s="402"/>
      <c r="CC206" s="402"/>
      <c r="CD206" s="402"/>
      <c r="CE206" s="402"/>
      <c r="CF206" s="402"/>
      <c r="CG206" s="402"/>
      <c r="CH206" s="402"/>
      <c r="CI206" s="402"/>
      <c r="CJ206" s="402"/>
      <c r="CK206" s="402"/>
      <c r="CL206" s="402"/>
      <c r="CM206" s="402"/>
      <c r="CN206" s="402"/>
      <c r="CO206" s="402"/>
      <c r="CP206" s="402"/>
      <c r="CQ206" s="402"/>
      <c r="CR206" s="402"/>
      <c r="CS206" s="402"/>
      <c r="CT206" s="402"/>
    </row>
    <row r="207" spans="7:98" s="125" customFormat="1" x14ac:dyDescent="0.2">
      <c r="G207" s="248"/>
      <c r="H207" s="89"/>
      <c r="I207" s="89"/>
      <c r="J207" s="89"/>
      <c r="K207" s="89"/>
      <c r="L207" s="89"/>
      <c r="M207" s="89"/>
      <c r="N207" s="89"/>
      <c r="O207" s="89"/>
      <c r="P207" s="89"/>
      <c r="Q207" s="89"/>
      <c r="R207" s="89"/>
      <c r="S207" s="89"/>
      <c r="T207" s="89"/>
      <c r="U207" s="89"/>
      <c r="V207" s="89"/>
      <c r="W207" s="89"/>
      <c r="X207" s="89"/>
      <c r="Y207" s="248"/>
      <c r="Z207" s="248"/>
      <c r="AA207" s="248"/>
      <c r="AB207" s="248"/>
      <c r="AV207" s="402"/>
      <c r="AW207" s="402"/>
      <c r="AX207" s="402"/>
      <c r="AY207" s="402"/>
      <c r="AZ207" s="402"/>
      <c r="BA207" s="402"/>
      <c r="BB207" s="402"/>
      <c r="BC207" s="402"/>
      <c r="BD207" s="402"/>
      <c r="BE207" s="402"/>
      <c r="BF207" s="402"/>
      <c r="BG207" s="402"/>
      <c r="BH207" s="402"/>
      <c r="BI207" s="402"/>
      <c r="BJ207" s="402"/>
      <c r="BK207" s="402"/>
      <c r="BL207" s="402"/>
      <c r="BM207" s="402"/>
      <c r="BN207" s="402"/>
      <c r="BO207" s="402"/>
      <c r="BP207" s="402"/>
      <c r="BQ207" s="402"/>
      <c r="BR207" s="402"/>
      <c r="BS207" s="402"/>
      <c r="BT207" s="402"/>
      <c r="BU207" s="402"/>
      <c r="BV207" s="402"/>
      <c r="BW207" s="402"/>
      <c r="BX207" s="402"/>
      <c r="BY207" s="402"/>
      <c r="BZ207" s="402"/>
      <c r="CA207" s="402"/>
      <c r="CB207" s="402"/>
      <c r="CC207" s="402"/>
      <c r="CD207" s="402"/>
      <c r="CE207" s="402"/>
      <c r="CF207" s="402"/>
      <c r="CG207" s="402"/>
      <c r="CH207" s="402"/>
      <c r="CI207" s="402"/>
      <c r="CJ207" s="402"/>
      <c r="CK207" s="402"/>
      <c r="CL207" s="402"/>
      <c r="CM207" s="402"/>
      <c r="CN207" s="402"/>
      <c r="CO207" s="402"/>
      <c r="CP207" s="402"/>
      <c r="CQ207" s="402"/>
      <c r="CR207" s="402"/>
      <c r="CS207" s="402"/>
      <c r="CT207" s="402"/>
    </row>
    <row r="208" spans="7:98" s="125" customFormat="1" x14ac:dyDescent="0.2">
      <c r="G208" s="248"/>
      <c r="H208" s="89"/>
      <c r="I208" s="89"/>
      <c r="J208" s="89"/>
      <c r="K208" s="89"/>
      <c r="L208" s="89"/>
      <c r="M208" s="89"/>
      <c r="N208" s="89"/>
      <c r="O208" s="89"/>
      <c r="P208" s="89"/>
      <c r="Q208" s="89"/>
      <c r="R208" s="89"/>
      <c r="S208" s="89"/>
      <c r="T208" s="89"/>
      <c r="U208" s="89"/>
      <c r="V208" s="89"/>
      <c r="W208" s="89"/>
      <c r="X208" s="89"/>
      <c r="Y208" s="248"/>
      <c r="Z208" s="248"/>
      <c r="AA208" s="248"/>
      <c r="AB208" s="248"/>
      <c r="AV208" s="402"/>
      <c r="AW208" s="402"/>
      <c r="AX208" s="402"/>
      <c r="AY208" s="402"/>
      <c r="AZ208" s="402"/>
      <c r="BA208" s="402"/>
      <c r="BB208" s="402"/>
      <c r="BC208" s="402"/>
      <c r="BD208" s="402"/>
      <c r="BE208" s="402"/>
      <c r="BF208" s="402"/>
      <c r="BG208" s="402"/>
      <c r="BH208" s="402"/>
      <c r="BI208" s="402"/>
      <c r="BJ208" s="402"/>
      <c r="BK208" s="402"/>
      <c r="BL208" s="402"/>
      <c r="BM208" s="402"/>
      <c r="BN208" s="402"/>
      <c r="BO208" s="402"/>
      <c r="BP208" s="402"/>
      <c r="BQ208" s="402"/>
      <c r="BR208" s="402"/>
      <c r="BS208" s="402"/>
      <c r="BT208" s="402"/>
      <c r="BU208" s="402"/>
      <c r="BV208" s="402"/>
      <c r="BW208" s="402"/>
      <c r="BX208" s="402"/>
      <c r="BY208" s="402"/>
      <c r="BZ208" s="402"/>
      <c r="CA208" s="402"/>
      <c r="CB208" s="402"/>
      <c r="CC208" s="402"/>
      <c r="CD208" s="402"/>
      <c r="CE208" s="402"/>
      <c r="CF208" s="402"/>
      <c r="CG208" s="402"/>
      <c r="CH208" s="402"/>
      <c r="CI208" s="402"/>
      <c r="CJ208" s="402"/>
      <c r="CK208" s="402"/>
      <c r="CL208" s="402"/>
      <c r="CM208" s="402"/>
      <c r="CN208" s="402"/>
      <c r="CO208" s="402"/>
      <c r="CP208" s="402"/>
      <c r="CQ208" s="402"/>
      <c r="CR208" s="402"/>
      <c r="CS208" s="402"/>
      <c r="CT208" s="402"/>
    </row>
    <row r="209" spans="1:98" s="125" customFormat="1" x14ac:dyDescent="0.2">
      <c r="G209" s="248"/>
      <c r="H209" s="89"/>
      <c r="I209" s="89"/>
      <c r="J209" s="89"/>
      <c r="K209" s="89"/>
      <c r="L209" s="89"/>
      <c r="M209" s="89"/>
      <c r="N209" s="89"/>
      <c r="O209" s="89"/>
      <c r="P209" s="89"/>
      <c r="Q209" s="89"/>
      <c r="R209" s="89"/>
      <c r="S209" s="89"/>
      <c r="T209" s="89"/>
      <c r="U209" s="89"/>
      <c r="V209" s="89"/>
      <c r="W209" s="89"/>
      <c r="X209" s="89"/>
      <c r="Y209" s="248"/>
      <c r="Z209" s="248"/>
      <c r="AA209" s="248"/>
      <c r="AB209" s="248"/>
      <c r="AV209" s="402"/>
      <c r="AW209" s="402"/>
      <c r="AX209" s="402"/>
      <c r="AY209" s="402"/>
      <c r="AZ209" s="402"/>
      <c r="BA209" s="402"/>
      <c r="BB209" s="402"/>
      <c r="BC209" s="402"/>
      <c r="BD209" s="402"/>
      <c r="BE209" s="402"/>
      <c r="BF209" s="402"/>
      <c r="BG209" s="402"/>
      <c r="BH209" s="402"/>
      <c r="BI209" s="402"/>
      <c r="BJ209" s="402"/>
      <c r="BK209" s="402"/>
      <c r="BL209" s="402"/>
      <c r="BM209" s="402"/>
      <c r="BN209" s="402"/>
      <c r="BO209" s="402"/>
      <c r="BP209" s="402"/>
      <c r="BQ209" s="402"/>
      <c r="BR209" s="402"/>
      <c r="BS209" s="402"/>
      <c r="BT209" s="402"/>
      <c r="BU209" s="402"/>
      <c r="BV209" s="402"/>
      <c r="BW209" s="402"/>
      <c r="BX209" s="402"/>
      <c r="BY209" s="402"/>
      <c r="BZ209" s="402"/>
      <c r="CA209" s="402"/>
      <c r="CB209" s="402"/>
      <c r="CC209" s="402"/>
      <c r="CD209" s="402"/>
      <c r="CE209" s="402"/>
      <c r="CF209" s="402"/>
      <c r="CG209" s="402"/>
      <c r="CH209" s="402"/>
      <c r="CI209" s="402"/>
      <c r="CJ209" s="402"/>
      <c r="CK209" s="402"/>
      <c r="CL209" s="402"/>
      <c r="CM209" s="402"/>
      <c r="CN209" s="402"/>
      <c r="CO209" s="402"/>
      <c r="CP209" s="402"/>
      <c r="CQ209" s="402"/>
      <c r="CR209" s="402"/>
      <c r="CS209" s="402"/>
      <c r="CT209" s="402"/>
    </row>
    <row r="210" spans="1:98" s="125" customFormat="1" x14ac:dyDescent="0.2">
      <c r="G210" s="248"/>
      <c r="H210" s="89"/>
      <c r="I210" s="89"/>
      <c r="J210" s="89"/>
      <c r="K210" s="89"/>
      <c r="L210" s="89"/>
      <c r="M210" s="89"/>
      <c r="N210" s="89"/>
      <c r="O210" s="89"/>
      <c r="P210" s="89"/>
      <c r="Q210" s="89"/>
      <c r="R210" s="89"/>
      <c r="S210" s="89"/>
      <c r="T210" s="89"/>
      <c r="U210" s="89"/>
      <c r="V210" s="89"/>
      <c r="W210" s="89"/>
      <c r="X210" s="89"/>
      <c r="Y210" s="248"/>
      <c r="Z210" s="248"/>
      <c r="AA210" s="248"/>
      <c r="AB210" s="248"/>
      <c r="AV210" s="402"/>
      <c r="AW210" s="402"/>
      <c r="AX210" s="402"/>
      <c r="AY210" s="402"/>
      <c r="AZ210" s="402"/>
      <c r="BA210" s="402"/>
      <c r="BB210" s="402"/>
      <c r="BC210" s="402"/>
      <c r="BD210" s="402"/>
      <c r="BE210" s="402"/>
      <c r="BF210" s="402"/>
      <c r="BG210" s="402"/>
      <c r="BH210" s="402"/>
      <c r="BI210" s="402"/>
      <c r="BJ210" s="402"/>
      <c r="BK210" s="402"/>
      <c r="BL210" s="402"/>
      <c r="BM210" s="402"/>
      <c r="BN210" s="402"/>
      <c r="BO210" s="402"/>
      <c r="BP210" s="402"/>
      <c r="BQ210" s="402"/>
      <c r="BR210" s="402"/>
      <c r="BS210" s="402"/>
      <c r="BT210" s="402"/>
      <c r="BU210" s="402"/>
      <c r="BV210" s="402"/>
      <c r="BW210" s="402"/>
      <c r="BX210" s="402"/>
      <c r="BY210" s="402"/>
      <c r="BZ210" s="402"/>
      <c r="CA210" s="402"/>
      <c r="CB210" s="402"/>
      <c r="CC210" s="402"/>
      <c r="CD210" s="402"/>
      <c r="CE210" s="402"/>
      <c r="CF210" s="402"/>
      <c r="CG210" s="402"/>
      <c r="CH210" s="402"/>
      <c r="CI210" s="402"/>
      <c r="CJ210" s="402"/>
      <c r="CK210" s="402"/>
      <c r="CL210" s="402"/>
      <c r="CM210" s="402"/>
      <c r="CN210" s="402"/>
      <c r="CO210" s="402"/>
      <c r="CP210" s="402"/>
      <c r="CQ210" s="402"/>
      <c r="CR210" s="402"/>
      <c r="CS210" s="402"/>
      <c r="CT210" s="402"/>
    </row>
    <row r="211" spans="1:98" s="125" customFormat="1" x14ac:dyDescent="0.2">
      <c r="G211" s="248"/>
      <c r="H211" s="89"/>
      <c r="I211" s="89"/>
      <c r="J211" s="89"/>
      <c r="K211" s="89"/>
      <c r="L211" s="89"/>
      <c r="M211" s="89"/>
      <c r="N211" s="89"/>
      <c r="O211" s="89"/>
      <c r="P211" s="89"/>
      <c r="Q211" s="89"/>
      <c r="R211" s="89"/>
      <c r="S211" s="89"/>
      <c r="T211" s="89"/>
      <c r="U211" s="89"/>
      <c r="V211" s="89"/>
      <c r="W211" s="89"/>
      <c r="X211" s="89"/>
      <c r="Y211" s="248"/>
      <c r="Z211" s="248"/>
      <c r="AA211" s="248"/>
      <c r="AB211" s="248"/>
      <c r="AL211" s="31"/>
      <c r="AV211" s="402"/>
      <c r="AW211" s="402"/>
      <c r="AX211" s="402"/>
      <c r="AY211" s="402"/>
      <c r="AZ211" s="402"/>
      <c r="BA211" s="402"/>
      <c r="BB211" s="402"/>
      <c r="BC211" s="402"/>
      <c r="BD211" s="402"/>
      <c r="BE211" s="402"/>
      <c r="BF211" s="402"/>
      <c r="BG211" s="402"/>
      <c r="BH211" s="402"/>
      <c r="BI211" s="402"/>
      <c r="BJ211" s="402"/>
      <c r="BK211" s="402"/>
      <c r="BL211" s="402"/>
      <c r="BM211" s="402"/>
      <c r="BN211" s="402"/>
      <c r="BO211" s="402"/>
      <c r="BP211" s="402"/>
      <c r="BQ211" s="402"/>
      <c r="BR211" s="402"/>
      <c r="BS211" s="402"/>
      <c r="BT211" s="402"/>
      <c r="BU211" s="402"/>
      <c r="BV211" s="402"/>
      <c r="BW211" s="402"/>
      <c r="BX211" s="402"/>
      <c r="BY211" s="402"/>
      <c r="BZ211" s="402"/>
      <c r="CA211" s="402"/>
      <c r="CB211" s="402"/>
      <c r="CC211" s="402"/>
      <c r="CD211" s="402"/>
      <c r="CE211" s="402"/>
      <c r="CF211" s="402"/>
      <c r="CG211" s="402"/>
      <c r="CH211" s="402"/>
      <c r="CI211" s="402"/>
      <c r="CJ211" s="402"/>
      <c r="CK211" s="402"/>
      <c r="CL211" s="402"/>
      <c r="CM211" s="402"/>
      <c r="CN211" s="402"/>
      <c r="CO211" s="402"/>
      <c r="CP211" s="402"/>
      <c r="CQ211" s="402"/>
      <c r="CR211" s="402"/>
      <c r="CS211" s="402"/>
      <c r="CT211" s="402"/>
    </row>
    <row r="212" spans="1:98" s="125" customFormat="1" x14ac:dyDescent="0.2">
      <c r="C212" s="31"/>
      <c r="D212" s="31"/>
      <c r="E212" s="31"/>
      <c r="F212" s="31"/>
      <c r="G212" s="32"/>
      <c r="H212" s="33"/>
      <c r="I212" s="33"/>
      <c r="J212" s="33"/>
      <c r="K212" s="33"/>
      <c r="L212" s="33"/>
      <c r="M212" s="33"/>
      <c r="N212" s="33"/>
      <c r="O212" s="33"/>
      <c r="P212" s="33"/>
      <c r="Q212" s="33"/>
      <c r="R212" s="33"/>
      <c r="S212" s="33"/>
      <c r="T212" s="33"/>
      <c r="U212" s="33"/>
      <c r="V212" s="33"/>
      <c r="W212" s="33"/>
      <c r="X212" s="33"/>
      <c r="Y212" s="32"/>
      <c r="Z212" s="32"/>
      <c r="AA212" s="248"/>
      <c r="AB212" s="248"/>
      <c r="AL212" s="31"/>
      <c r="AM212" s="31"/>
      <c r="AV212" s="402"/>
      <c r="AW212" s="402"/>
      <c r="AX212" s="402"/>
      <c r="AY212" s="402"/>
      <c r="AZ212" s="402"/>
      <c r="BA212" s="402"/>
      <c r="BB212" s="402"/>
      <c r="BC212" s="402"/>
      <c r="BD212" s="402"/>
      <c r="BE212" s="402"/>
      <c r="BF212" s="402"/>
      <c r="BG212" s="402"/>
      <c r="BH212" s="402"/>
      <c r="BI212" s="402"/>
      <c r="BJ212" s="402"/>
      <c r="BK212" s="402"/>
      <c r="BL212" s="402"/>
      <c r="BM212" s="402"/>
      <c r="BN212" s="402"/>
      <c r="BO212" s="402"/>
      <c r="BP212" s="402"/>
      <c r="BQ212" s="402"/>
      <c r="BR212" s="402"/>
      <c r="BS212" s="402"/>
      <c r="BT212" s="402"/>
      <c r="BU212" s="402"/>
      <c r="BV212" s="402"/>
      <c r="BW212" s="402"/>
      <c r="BX212" s="402"/>
      <c r="BY212" s="402"/>
      <c r="BZ212" s="402"/>
      <c r="CA212" s="402"/>
      <c r="CB212" s="402"/>
      <c r="CC212" s="402"/>
      <c r="CD212" s="402"/>
      <c r="CE212" s="402"/>
      <c r="CF212" s="402"/>
      <c r="CG212" s="402"/>
      <c r="CH212" s="402"/>
      <c r="CI212" s="402"/>
      <c r="CJ212" s="402"/>
      <c r="CK212" s="402"/>
      <c r="CL212" s="402"/>
      <c r="CM212" s="402"/>
      <c r="CN212" s="402"/>
      <c r="CO212" s="402"/>
      <c r="CP212" s="402"/>
      <c r="CQ212" s="402"/>
      <c r="CR212" s="402"/>
      <c r="CS212" s="402"/>
      <c r="CT212" s="402"/>
    </row>
    <row r="213" spans="1:98" x14ac:dyDescent="0.2">
      <c r="A213" s="125"/>
      <c r="B213" s="125"/>
      <c r="AA213" s="248"/>
      <c r="AB213" s="248"/>
      <c r="AC213" s="125"/>
      <c r="AD213" s="125"/>
      <c r="AE213" s="125"/>
      <c r="AF213" s="125"/>
      <c r="AG213" s="125"/>
      <c r="AH213" s="125"/>
      <c r="AI213" s="125"/>
      <c r="AN213" s="125"/>
      <c r="AO213" s="125"/>
      <c r="AP213" s="125"/>
    </row>
  </sheetData>
  <sheetProtection algorithmName="SHA-512" hashValue="eUYR035h0xtNp77M+JXAFhqaND3znEPoGVz754rUf7tZwMqAgBgTsa7IpY6Xv3Fqzmy8MHNa5tFHnS+uu/aI8A==" saltValue="SeteACr0AonNMkiDK2uivw==" spinCount="100000" sheet="1" objects="1" scenarios="1" selectLockedCells="1"/>
  <dataConsolidate/>
  <mergeCells count="561">
    <mergeCell ref="AA48:AB48"/>
    <mergeCell ref="AC48:AD48"/>
    <mergeCell ref="AL33:AL36"/>
    <mergeCell ref="AC46:AD46"/>
    <mergeCell ref="Y47:Z47"/>
    <mergeCell ref="S46:T46"/>
    <mergeCell ref="AC47:AD47"/>
    <mergeCell ref="AA47:AB47"/>
    <mergeCell ref="AA50:AB50"/>
    <mergeCell ref="AC50:AD50"/>
    <mergeCell ref="AC49:AD49"/>
    <mergeCell ref="AA49:AB49"/>
    <mergeCell ref="S47:T47"/>
    <mergeCell ref="AM33:AM36"/>
    <mergeCell ref="AJ33:AJ36"/>
    <mergeCell ref="AK41:AK44"/>
    <mergeCell ref="AL41:AL44"/>
    <mergeCell ref="AM41:AM44"/>
    <mergeCell ref="AJ37:AJ40"/>
    <mergeCell ref="Y45:Z45"/>
    <mergeCell ref="W41:X44"/>
    <mergeCell ref="S42:T42"/>
    <mergeCell ref="S43:T43"/>
    <mergeCell ref="AC45:AD45"/>
    <mergeCell ref="U41:U44"/>
    <mergeCell ref="V41:V44"/>
    <mergeCell ref="S45:T45"/>
    <mergeCell ref="AJ41:AJ44"/>
    <mergeCell ref="Y37:Z40"/>
    <mergeCell ref="AK37:AK40"/>
    <mergeCell ref="AL37:AL40"/>
    <mergeCell ref="AE45:AF46"/>
    <mergeCell ref="AL15:AL18"/>
    <mergeCell ref="AM15:AM18"/>
    <mergeCell ref="S16:T16"/>
    <mergeCell ref="S17:T17"/>
    <mergeCell ref="S18:T18"/>
    <mergeCell ref="U15:U18"/>
    <mergeCell ref="V15:V18"/>
    <mergeCell ref="W15:X18"/>
    <mergeCell ref="Y15:Z18"/>
    <mergeCell ref="AA15:AB18"/>
    <mergeCell ref="AC15:AD18"/>
    <mergeCell ref="AI15:AI18"/>
    <mergeCell ref="AJ15:AJ18"/>
    <mergeCell ref="AK15:AK18"/>
    <mergeCell ref="AL19:AL22"/>
    <mergeCell ref="AM19:AM22"/>
    <mergeCell ref="AK19:AK22"/>
    <mergeCell ref="AA29:AB30"/>
    <mergeCell ref="AK29:AK30"/>
    <mergeCell ref="AP8:AQ9"/>
    <mergeCell ref="I67:T67"/>
    <mergeCell ref="I65:T65"/>
    <mergeCell ref="AM29:AM30"/>
    <mergeCell ref="U51:V51"/>
    <mergeCell ref="U55:V55"/>
    <mergeCell ref="AC55:AD55"/>
    <mergeCell ref="AE55:AF55"/>
    <mergeCell ref="AC54:AD54"/>
    <mergeCell ref="Y54:Z54"/>
    <mergeCell ref="U23:U24"/>
    <mergeCell ref="I59:T59"/>
    <mergeCell ref="AM37:AM40"/>
    <mergeCell ref="I15:I18"/>
    <mergeCell ref="J15:J18"/>
    <mergeCell ref="S50:T50"/>
    <mergeCell ref="AJ7:AM9"/>
    <mergeCell ref="AI7:AI10"/>
    <mergeCell ref="AH7:AH10"/>
    <mergeCell ref="AJ19:AJ22"/>
    <mergeCell ref="Q37:R40"/>
    <mergeCell ref="G54:H54"/>
    <mergeCell ref="D66:G66"/>
    <mergeCell ref="I55:J55"/>
    <mergeCell ref="H110:J110"/>
    <mergeCell ref="A52:B54"/>
    <mergeCell ref="S52:T52"/>
    <mergeCell ref="C51:H51"/>
    <mergeCell ref="O95:Q95"/>
    <mergeCell ref="O96:Q96"/>
    <mergeCell ref="K97:N97"/>
    <mergeCell ref="K103:N103"/>
    <mergeCell ref="Q55:R55"/>
    <mergeCell ref="R101:T101"/>
    <mergeCell ref="U83:X83"/>
    <mergeCell ref="U102:W102"/>
    <mergeCell ref="U100:W100"/>
    <mergeCell ref="R100:T100"/>
    <mergeCell ref="W54:X54"/>
    <mergeCell ref="U56:V56"/>
    <mergeCell ref="W51:X51"/>
    <mergeCell ref="K102:N102"/>
    <mergeCell ref="AE47:AF50"/>
    <mergeCell ref="AM11:AM14"/>
    <mergeCell ref="AK27:AK28"/>
    <mergeCell ref="AA33:AB36"/>
    <mergeCell ref="AJ11:AJ14"/>
    <mergeCell ref="AK11:AK14"/>
    <mergeCell ref="AL11:AL14"/>
    <mergeCell ref="Y19:Z22"/>
    <mergeCell ref="AL27:AL28"/>
    <mergeCell ref="AM27:AM28"/>
    <mergeCell ref="AJ23:AJ24"/>
    <mergeCell ref="AK23:AK24"/>
    <mergeCell ref="AL23:AL24"/>
    <mergeCell ref="AM23:AM24"/>
    <mergeCell ref="AJ25:AJ26"/>
    <mergeCell ref="AK25:AK26"/>
    <mergeCell ref="AL25:AL26"/>
    <mergeCell ref="AM25:AM26"/>
    <mergeCell ref="AM31:AM32"/>
    <mergeCell ref="AL29:AL30"/>
    <mergeCell ref="AK31:AK32"/>
    <mergeCell ref="AK33:AK36"/>
    <mergeCell ref="AJ29:AJ30"/>
    <mergeCell ref="AI29:AI30"/>
    <mergeCell ref="AC33:AD36"/>
    <mergeCell ref="I51:J51"/>
    <mergeCell ref="K51:L51"/>
    <mergeCell ref="U95:W95"/>
    <mergeCell ref="I54:J54"/>
    <mergeCell ref="K54:L54"/>
    <mergeCell ref="U89:AF89"/>
    <mergeCell ref="G52:H52"/>
    <mergeCell ref="AA51:AB51"/>
    <mergeCell ref="AC51:AD51"/>
    <mergeCell ref="AA52:AB52"/>
    <mergeCell ref="W52:X52"/>
    <mergeCell ref="AC52:AD52"/>
    <mergeCell ref="AE51:AF51"/>
    <mergeCell ref="AE56:AF56"/>
    <mergeCell ref="U91:AF91"/>
    <mergeCell ref="U80:AF80"/>
    <mergeCell ref="R82:T82"/>
    <mergeCell ref="AA54:AB54"/>
    <mergeCell ref="U85:AF87"/>
    <mergeCell ref="U88:AF88"/>
    <mergeCell ref="AE52:AF54"/>
    <mergeCell ref="H129:J129"/>
    <mergeCell ref="H124:J124"/>
    <mergeCell ref="O99:Q99"/>
    <mergeCell ref="O101:Q101"/>
    <mergeCell ref="O102:Q102"/>
    <mergeCell ref="K107:M107"/>
    <mergeCell ref="H116:J116"/>
    <mergeCell ref="R102:T102"/>
    <mergeCell ref="K108:M108"/>
    <mergeCell ref="H108:J108"/>
    <mergeCell ref="T121:V121"/>
    <mergeCell ref="N128:P128"/>
    <mergeCell ref="Q128:S128"/>
    <mergeCell ref="T128:V128"/>
    <mergeCell ref="R103:T103"/>
    <mergeCell ref="T123:V123"/>
    <mergeCell ref="U103:W103"/>
    <mergeCell ref="T122:V122"/>
    <mergeCell ref="K110:M110"/>
    <mergeCell ref="K112:M112"/>
    <mergeCell ref="K109:M109"/>
    <mergeCell ref="H109:J109"/>
    <mergeCell ref="A105:M105"/>
    <mergeCell ref="E108:G108"/>
    <mergeCell ref="E116:G116"/>
    <mergeCell ref="H117:J117"/>
    <mergeCell ref="N127:P127"/>
    <mergeCell ref="Q127:S127"/>
    <mergeCell ref="H122:J122"/>
    <mergeCell ref="N121:P121"/>
    <mergeCell ref="N125:P125"/>
    <mergeCell ref="K114:M114"/>
    <mergeCell ref="H113:J113"/>
    <mergeCell ref="Q123:S123"/>
    <mergeCell ref="K125:M125"/>
    <mergeCell ref="H121:J121"/>
    <mergeCell ref="K121:M121"/>
    <mergeCell ref="Q121:S121"/>
    <mergeCell ref="K122:M122"/>
    <mergeCell ref="H123:J123"/>
    <mergeCell ref="K118:M118"/>
    <mergeCell ref="K116:M116"/>
    <mergeCell ref="K117:M117"/>
    <mergeCell ref="Q125:S125"/>
    <mergeCell ref="N122:P122"/>
    <mergeCell ref="Q122:S122"/>
    <mergeCell ref="N123:P123"/>
    <mergeCell ref="H115:J115"/>
    <mergeCell ref="H131:J131"/>
    <mergeCell ref="H106:J106"/>
    <mergeCell ref="E118:G118"/>
    <mergeCell ref="E110:G110"/>
    <mergeCell ref="E111:G111"/>
    <mergeCell ref="E112:G112"/>
    <mergeCell ref="H125:J125"/>
    <mergeCell ref="H118:J118"/>
    <mergeCell ref="A120:Y120"/>
    <mergeCell ref="A126:G126"/>
    <mergeCell ref="H128:J128"/>
    <mergeCell ref="K128:M128"/>
    <mergeCell ref="N129:P129"/>
    <mergeCell ref="Q129:S129"/>
    <mergeCell ref="T129:V129"/>
    <mergeCell ref="H130:J130"/>
    <mergeCell ref="K130:M130"/>
    <mergeCell ref="N130:P130"/>
    <mergeCell ref="Q130:S130"/>
    <mergeCell ref="E106:G106"/>
    <mergeCell ref="E117:G117"/>
    <mergeCell ref="K115:M115"/>
    <mergeCell ref="A121:G121"/>
    <mergeCell ref="E107:G107"/>
    <mergeCell ref="A1:B1"/>
    <mergeCell ref="C19:E22"/>
    <mergeCell ref="K10:L10"/>
    <mergeCell ref="Q10:R10"/>
    <mergeCell ref="C11:E14"/>
    <mergeCell ref="Q11:R14"/>
    <mergeCell ref="I10:J10"/>
    <mergeCell ref="M10:N10"/>
    <mergeCell ref="O10:P10"/>
    <mergeCell ref="A7:H7"/>
    <mergeCell ref="I8:J9"/>
    <mergeCell ref="K8:L9"/>
    <mergeCell ref="M8:N9"/>
    <mergeCell ref="I11:I14"/>
    <mergeCell ref="J11:J14"/>
    <mergeCell ref="I19:I22"/>
    <mergeCell ref="J19:J22"/>
    <mergeCell ref="C15:E18"/>
    <mergeCell ref="Q8:R9"/>
    <mergeCell ref="Q19:R22"/>
    <mergeCell ref="O8:P9"/>
    <mergeCell ref="Q15:R18"/>
    <mergeCell ref="I7:V7"/>
    <mergeCell ref="T131:V131"/>
    <mergeCell ref="W131:Y131"/>
    <mergeCell ref="H127:J127"/>
    <mergeCell ref="K127:M127"/>
    <mergeCell ref="T127:V127"/>
    <mergeCell ref="N124:P124"/>
    <mergeCell ref="Q124:S124"/>
    <mergeCell ref="W128:Y128"/>
    <mergeCell ref="W126:Y126"/>
    <mergeCell ref="W127:Y127"/>
    <mergeCell ref="W129:Y129"/>
    <mergeCell ref="W130:Y130"/>
    <mergeCell ref="W124:Y124"/>
    <mergeCell ref="W125:Y125"/>
    <mergeCell ref="T124:V124"/>
    <mergeCell ref="T125:V125"/>
    <mergeCell ref="T130:V130"/>
    <mergeCell ref="K129:M129"/>
    <mergeCell ref="H126:J126"/>
    <mergeCell ref="K126:M126"/>
    <mergeCell ref="K124:M124"/>
    <mergeCell ref="T126:V126"/>
    <mergeCell ref="N126:P126"/>
    <mergeCell ref="Q126:S126"/>
    <mergeCell ref="E115:G115"/>
    <mergeCell ref="AO100:AP100"/>
    <mergeCell ref="S55:T55"/>
    <mergeCell ref="A55:B56"/>
    <mergeCell ref="Q73:T73"/>
    <mergeCell ref="I60:M60"/>
    <mergeCell ref="I69:M69"/>
    <mergeCell ref="K55:L55"/>
    <mergeCell ref="W55:X55"/>
    <mergeCell ref="R95:T95"/>
    <mergeCell ref="S84:T84"/>
    <mergeCell ref="U68:AF68"/>
    <mergeCell ref="Y55:Z55"/>
    <mergeCell ref="C56:H56"/>
    <mergeCell ref="I56:J56"/>
    <mergeCell ref="W56:X56"/>
    <mergeCell ref="Y56:Z56"/>
    <mergeCell ref="AA56:AB56"/>
    <mergeCell ref="K95:N96"/>
    <mergeCell ref="AC56:AD56"/>
    <mergeCell ref="Q56:R56"/>
    <mergeCell ref="S56:T56"/>
    <mergeCell ref="U101:W101"/>
    <mergeCell ref="I80:T80"/>
    <mergeCell ref="AR96:AS96"/>
    <mergeCell ref="AR97:AS97"/>
    <mergeCell ref="AR98:AS98"/>
    <mergeCell ref="AR99:AS99"/>
    <mergeCell ref="S53:T53"/>
    <mergeCell ref="W53:X53"/>
    <mergeCell ref="Y53:Z53"/>
    <mergeCell ref="AA53:AB53"/>
    <mergeCell ref="AC53:AD53"/>
    <mergeCell ref="AO99:AP99"/>
    <mergeCell ref="U99:W99"/>
    <mergeCell ref="AO97:AP97"/>
    <mergeCell ref="AO98:AP98"/>
    <mergeCell ref="R99:T99"/>
    <mergeCell ref="S54:T54"/>
    <mergeCell ref="U97:W97"/>
    <mergeCell ref="Q53:R53"/>
    <mergeCell ref="AA94:AF95"/>
    <mergeCell ref="U69:AF69"/>
    <mergeCell ref="I66:T66"/>
    <mergeCell ref="U66:AF66"/>
    <mergeCell ref="R83:T83"/>
    <mergeCell ref="I68:T68"/>
    <mergeCell ref="Y83:AF83"/>
    <mergeCell ref="O98:Q98"/>
    <mergeCell ref="U98:W98"/>
    <mergeCell ref="U96:W96"/>
    <mergeCell ref="U90:AF90"/>
    <mergeCell ref="Q41:R44"/>
    <mergeCell ref="Q46:R46"/>
    <mergeCell ref="S41:T41"/>
    <mergeCell ref="I81:O81"/>
    <mergeCell ref="P81:T81"/>
    <mergeCell ref="K98:N98"/>
    <mergeCell ref="AA46:AB46"/>
    <mergeCell ref="Q45:R45"/>
    <mergeCell ref="S49:T49"/>
    <mergeCell ref="Q49:R49"/>
    <mergeCell ref="Q50:R50"/>
    <mergeCell ref="W45:X45"/>
    <mergeCell ref="Y49:Z49"/>
    <mergeCell ref="Y50:Z50"/>
    <mergeCell ref="Y52:Z52"/>
    <mergeCell ref="AA55:AB55"/>
    <mergeCell ref="AA45:AB45"/>
    <mergeCell ref="Y84:AF84"/>
    <mergeCell ref="K56:L56"/>
    <mergeCell ref="I90:T90"/>
    <mergeCell ref="Q52:R52"/>
    <mergeCell ref="S51:T51"/>
    <mergeCell ref="W46:X46"/>
    <mergeCell ref="Y46:Z46"/>
    <mergeCell ref="W49:X49"/>
    <mergeCell ref="W50:X50"/>
    <mergeCell ref="W47:X47"/>
    <mergeCell ref="Y51:Z51"/>
    <mergeCell ref="S44:T44"/>
    <mergeCell ref="S48:T48"/>
    <mergeCell ref="W48:X48"/>
    <mergeCell ref="Y48:Z48"/>
    <mergeCell ref="S37:T37"/>
    <mergeCell ref="AJ27:AJ28"/>
    <mergeCell ref="AC27:AD28"/>
    <mergeCell ref="AL31:AL32"/>
    <mergeCell ref="AJ31:AJ32"/>
    <mergeCell ref="AA27:AB28"/>
    <mergeCell ref="O33:P33"/>
    <mergeCell ref="Q29:R30"/>
    <mergeCell ref="V27:V28"/>
    <mergeCell ref="U29:U30"/>
    <mergeCell ref="S35:T35"/>
    <mergeCell ref="Q27:R28"/>
    <mergeCell ref="U37:U40"/>
    <mergeCell ref="Y27:Z28"/>
    <mergeCell ref="S30:T30"/>
    <mergeCell ref="Y33:Z36"/>
    <mergeCell ref="S38:T38"/>
    <mergeCell ref="K34:L34"/>
    <mergeCell ref="M34:N34"/>
    <mergeCell ref="O34:P34"/>
    <mergeCell ref="K35:L35"/>
    <mergeCell ref="O35:P35"/>
    <mergeCell ref="Q51:R51"/>
    <mergeCell ref="O41:P41"/>
    <mergeCell ref="M44:N44"/>
    <mergeCell ref="O44:P44"/>
    <mergeCell ref="O36:P36"/>
    <mergeCell ref="K37:L37"/>
    <mergeCell ref="M37:N37"/>
    <mergeCell ref="O39:P39"/>
    <mergeCell ref="K40:L40"/>
    <mergeCell ref="M40:N40"/>
    <mergeCell ref="Q48:R48"/>
    <mergeCell ref="K39:L39"/>
    <mergeCell ref="Q47:R47"/>
    <mergeCell ref="AI11:AI14"/>
    <mergeCell ref="AI19:AI22"/>
    <mergeCell ref="AI25:AI26"/>
    <mergeCell ref="AI27:AI28"/>
    <mergeCell ref="AI23:AI24"/>
    <mergeCell ref="AI33:AI36"/>
    <mergeCell ref="AI41:AI44"/>
    <mergeCell ref="Y41:Z44"/>
    <mergeCell ref="V29:V30"/>
    <mergeCell ref="AA37:AB40"/>
    <mergeCell ref="AC37:AD40"/>
    <mergeCell ref="AI37:AI40"/>
    <mergeCell ref="AE11:AF44"/>
    <mergeCell ref="AC41:AD44"/>
    <mergeCell ref="AA41:AB44"/>
    <mergeCell ref="V31:V32"/>
    <mergeCell ref="W33:X36"/>
    <mergeCell ref="W37:X40"/>
    <mergeCell ref="V37:V40"/>
    <mergeCell ref="AC11:AD14"/>
    <mergeCell ref="V19:V22"/>
    <mergeCell ref="AC29:AD30"/>
    <mergeCell ref="AA31:AB32"/>
    <mergeCell ref="S23:T23"/>
    <mergeCell ref="S24:T24"/>
    <mergeCell ref="S39:T39"/>
    <mergeCell ref="S40:T40"/>
    <mergeCell ref="Y25:Z26"/>
    <mergeCell ref="AC10:AD10"/>
    <mergeCell ref="AC19:AD22"/>
    <mergeCell ref="AC25:AD26"/>
    <mergeCell ref="AC23:AD24"/>
    <mergeCell ref="AA25:AB26"/>
    <mergeCell ref="AA23:AB24"/>
    <mergeCell ref="S26:T26"/>
    <mergeCell ref="S28:T28"/>
    <mergeCell ref="S29:T29"/>
    <mergeCell ref="U27:U28"/>
    <mergeCell ref="S27:T27"/>
    <mergeCell ref="U25:U26"/>
    <mergeCell ref="S32:T32"/>
    <mergeCell ref="S34:T34"/>
    <mergeCell ref="U33:U36"/>
    <mergeCell ref="U31:U32"/>
    <mergeCell ref="S25:T25"/>
    <mergeCell ref="S20:T20"/>
    <mergeCell ref="S21:T21"/>
    <mergeCell ref="W7:AF7"/>
    <mergeCell ref="AC31:AD32"/>
    <mergeCell ref="AA11:AB14"/>
    <mergeCell ref="W10:X10"/>
    <mergeCell ref="Y31:Z32"/>
    <mergeCell ref="AE10:AF10"/>
    <mergeCell ref="Y29:Z30"/>
    <mergeCell ref="AA8:AB9"/>
    <mergeCell ref="AC8:AD9"/>
    <mergeCell ref="W8:X9"/>
    <mergeCell ref="W19:X22"/>
    <mergeCell ref="Y10:Z10"/>
    <mergeCell ref="Y11:Z14"/>
    <mergeCell ref="AE8:AF9"/>
    <mergeCell ref="W27:X28"/>
    <mergeCell ref="W29:X30"/>
    <mergeCell ref="W11:X14"/>
    <mergeCell ref="W23:X24"/>
    <mergeCell ref="Y8:Z9"/>
    <mergeCell ref="W25:X26"/>
    <mergeCell ref="W31:X32"/>
    <mergeCell ref="Y23:Z24"/>
    <mergeCell ref="AA10:AB10"/>
    <mergeCell ref="AA19:AB22"/>
    <mergeCell ref="U8:V9"/>
    <mergeCell ref="S8:T9"/>
    <mergeCell ref="Q33:R36"/>
    <mergeCell ref="U10:V10"/>
    <mergeCell ref="U11:U14"/>
    <mergeCell ref="V11:V14"/>
    <mergeCell ref="U19:U22"/>
    <mergeCell ref="S10:T10"/>
    <mergeCell ref="S19:T19"/>
    <mergeCell ref="Q25:R26"/>
    <mergeCell ref="Q31:R32"/>
    <mergeCell ref="Q23:R24"/>
    <mergeCell ref="S31:T31"/>
    <mergeCell ref="S13:T13"/>
    <mergeCell ref="S11:T11"/>
    <mergeCell ref="S12:T12"/>
    <mergeCell ref="V25:V26"/>
    <mergeCell ref="S33:T33"/>
    <mergeCell ref="V33:V36"/>
    <mergeCell ref="S14:T14"/>
    <mergeCell ref="S15:T15"/>
    <mergeCell ref="S22:T22"/>
    <mergeCell ref="V23:V24"/>
    <mergeCell ref="S36:T36"/>
    <mergeCell ref="C23:E24"/>
    <mergeCell ref="C31:E32"/>
    <mergeCell ref="I33:J36"/>
    <mergeCell ref="I37:J40"/>
    <mergeCell ref="I23:I24"/>
    <mergeCell ref="J23:J24"/>
    <mergeCell ref="J29:J30"/>
    <mergeCell ref="I31:I32"/>
    <mergeCell ref="J31:J32"/>
    <mergeCell ref="C25:E26"/>
    <mergeCell ref="J27:J28"/>
    <mergeCell ref="I29:I30"/>
    <mergeCell ref="I27:I28"/>
    <mergeCell ref="C27:E28"/>
    <mergeCell ref="C29:E30"/>
    <mergeCell ref="C37:E40"/>
    <mergeCell ref="C33:E36"/>
    <mergeCell ref="C41:E44"/>
    <mergeCell ref="I25:I26"/>
    <mergeCell ref="J25:J26"/>
    <mergeCell ref="K42:L42"/>
    <mergeCell ref="M42:N42"/>
    <mergeCell ref="I41:J44"/>
    <mergeCell ref="O38:P38"/>
    <mergeCell ref="K38:L38"/>
    <mergeCell ref="O42:P42"/>
    <mergeCell ref="K41:L41"/>
    <mergeCell ref="M41:N41"/>
    <mergeCell ref="K43:L43"/>
    <mergeCell ref="M43:N43"/>
    <mergeCell ref="O43:P43"/>
    <mergeCell ref="K44:L44"/>
    <mergeCell ref="K36:L36"/>
    <mergeCell ref="M36:N36"/>
    <mergeCell ref="M35:N35"/>
    <mergeCell ref="O37:P37"/>
    <mergeCell ref="M38:N38"/>
    <mergeCell ref="M39:N39"/>
    <mergeCell ref="O40:P40"/>
    <mergeCell ref="K33:L33"/>
    <mergeCell ref="M33:N33"/>
    <mergeCell ref="E113:G113"/>
    <mergeCell ref="C54:F54"/>
    <mergeCell ref="G53:H53"/>
    <mergeCell ref="H111:J111"/>
    <mergeCell ref="H112:J112"/>
    <mergeCell ref="K113:M113"/>
    <mergeCell ref="E114:G114"/>
    <mergeCell ref="A85:C87"/>
    <mergeCell ref="I91:T91"/>
    <mergeCell ref="I88:T88"/>
    <mergeCell ref="H114:J114"/>
    <mergeCell ref="K99:N99"/>
    <mergeCell ref="K111:M111"/>
    <mergeCell ref="K106:M106"/>
    <mergeCell ref="K101:N101"/>
    <mergeCell ref="I79:T79"/>
    <mergeCell ref="I89:T89"/>
    <mergeCell ref="A90:C91"/>
    <mergeCell ref="C55:H55"/>
    <mergeCell ref="A88:C88"/>
    <mergeCell ref="E109:G109"/>
    <mergeCell ref="Q54:R54"/>
    <mergeCell ref="O100:Q100"/>
    <mergeCell ref="O97:Q97"/>
    <mergeCell ref="Y105:AF105"/>
    <mergeCell ref="Y106:AF106"/>
    <mergeCell ref="O103:Q103"/>
    <mergeCell ref="AA123:AF123"/>
    <mergeCell ref="I75:T75"/>
    <mergeCell ref="D65:G65"/>
    <mergeCell ref="U65:AF65"/>
    <mergeCell ref="W121:Y121"/>
    <mergeCell ref="W123:Y123"/>
    <mergeCell ref="K123:M123"/>
    <mergeCell ref="R97:T97"/>
    <mergeCell ref="R98:T98"/>
    <mergeCell ref="R96:T96"/>
    <mergeCell ref="H107:J107"/>
    <mergeCell ref="K100:N100"/>
    <mergeCell ref="I85:T87"/>
    <mergeCell ref="H72:H73"/>
    <mergeCell ref="U81:X81"/>
    <mergeCell ref="U82:W82"/>
    <mergeCell ref="AB82:AF82"/>
    <mergeCell ref="Y81:AF81"/>
    <mergeCell ref="Y82:AA82"/>
    <mergeCell ref="W122:Y122"/>
    <mergeCell ref="I74:T74"/>
  </mergeCells>
  <conditionalFormatting sqref="U5 U45:U47 K12:K14 M12:M14 O12:O14 I19:I22 K19:K47 M19:M47 O19:O47 I31:I33 O49:O53 M49:M53 K49:K50 U49:U50">
    <cfRule type="expression" dxfId="1663" priority="302">
      <formula>J5&lt;&gt;""</formula>
    </cfRule>
  </conditionalFormatting>
  <conditionalFormatting sqref="AE5">
    <cfRule type="expression" dxfId="1662" priority="301">
      <formula>AF5&lt;&gt;""</formula>
    </cfRule>
  </conditionalFormatting>
  <conditionalFormatting sqref="K11">
    <cfRule type="expression" dxfId="1661" priority="300">
      <formula>L11&lt;&gt;""</formula>
    </cfRule>
  </conditionalFormatting>
  <conditionalFormatting sqref="K52:K53">
    <cfRule type="expression" dxfId="1660" priority="299">
      <formula>L52&lt;&gt;""</formula>
    </cfRule>
  </conditionalFormatting>
  <conditionalFormatting sqref="U52:U53">
    <cfRule type="expression" dxfId="1659" priority="298">
      <formula>V52&lt;&gt;""</formula>
    </cfRule>
  </conditionalFormatting>
  <conditionalFormatting sqref="U11">
    <cfRule type="expression" dxfId="1658" priority="297">
      <formula>V11&lt;&gt;""</formula>
    </cfRule>
  </conditionalFormatting>
  <conditionalFormatting sqref="I47 I52:I53 I49">
    <cfRule type="expression" dxfId="1657" priority="235">
      <formula>J47&lt;&gt;""</formula>
    </cfRule>
  </conditionalFormatting>
  <conditionalFormatting sqref="S11:T11 S19:T19 S25:T25 S27:T27 S29:T29 S23:T23 S52:T52 S45:T46 S49:T50">
    <cfRule type="expression" dxfId="1656" priority="463">
      <formula>S11=Q11</formula>
    </cfRule>
  </conditionalFormatting>
  <conditionalFormatting sqref="S20:T20 S26:T26 S28:T28 S12:T14 S53:T53 S30:T30 S32:T32">
    <cfRule type="expression" dxfId="1655" priority="465">
      <formula>S12=Q11</formula>
    </cfRule>
  </conditionalFormatting>
  <conditionalFormatting sqref="S21:T21 S14:T14">
    <cfRule type="expression" dxfId="1654" priority="471">
      <formula>S14=Q12</formula>
    </cfRule>
  </conditionalFormatting>
  <conditionalFormatting sqref="S22:T22">
    <cfRule type="expression" dxfId="1653" priority="475">
      <formula>S22=Q19</formula>
    </cfRule>
  </conditionalFormatting>
  <conditionalFormatting sqref="M11 O11">
    <cfRule type="expression" dxfId="1652" priority="212">
      <formula>N11&lt;&gt;""</formula>
    </cfRule>
  </conditionalFormatting>
  <conditionalFormatting sqref="S31:T31">
    <cfRule type="expression" dxfId="1651" priority="200">
      <formula>S31=Q31</formula>
    </cfRule>
  </conditionalFormatting>
  <conditionalFormatting sqref="S51:T51">
    <cfRule type="expression" dxfId="1650" priority="193">
      <formula>S51=Q50</formula>
    </cfRule>
  </conditionalFormatting>
  <conditionalFormatting sqref="S11:T14 S19:T40">
    <cfRule type="expression" dxfId="1649" priority="191">
      <formula>SUM(L11,N11,P11)&lt;&gt;0</formula>
    </cfRule>
  </conditionalFormatting>
  <conditionalFormatting sqref="S45:T46 S49:T53">
    <cfRule type="expression" dxfId="1648" priority="194">
      <formula>SUM(J45,L45)&lt;&gt;0</formula>
    </cfRule>
  </conditionalFormatting>
  <conditionalFormatting sqref="K54">
    <cfRule type="expression" dxfId="1647" priority="180">
      <formula>L54&lt;&gt;""</formula>
    </cfRule>
  </conditionalFormatting>
  <conditionalFormatting sqref="I54">
    <cfRule type="expression" dxfId="1646" priority="178">
      <formula>J54&lt;&gt;""</formula>
    </cfRule>
  </conditionalFormatting>
  <conditionalFormatting sqref="S54:T54">
    <cfRule type="expression" dxfId="1645" priority="181">
      <formula>S54=Q53</formula>
    </cfRule>
  </conditionalFormatting>
  <conditionalFormatting sqref="O54 M54">
    <cfRule type="expression" dxfId="1644" priority="177">
      <formula>N54&lt;&gt;""</formula>
    </cfRule>
  </conditionalFormatting>
  <conditionalFormatting sqref="S54:T54">
    <cfRule type="expression" dxfId="1643" priority="176">
      <formula>SUM(J54,L54)&lt;&gt;0</formula>
    </cfRule>
  </conditionalFormatting>
  <conditionalFormatting sqref="K41:K44">
    <cfRule type="expression" dxfId="1642" priority="157">
      <formula>L41&lt;&gt;""</formula>
    </cfRule>
  </conditionalFormatting>
  <conditionalFormatting sqref="M41:M44 O41:O44">
    <cfRule type="expression" dxfId="1641" priority="155">
      <formula>N41&lt;&gt;""</formula>
    </cfRule>
  </conditionalFormatting>
  <conditionalFormatting sqref="S41:T41">
    <cfRule type="expression" dxfId="1640" priority="158">
      <formula>S41=Q41</formula>
    </cfRule>
  </conditionalFormatting>
  <conditionalFormatting sqref="S42:T42">
    <cfRule type="expression" dxfId="1639" priority="159">
      <formula>S42=Q41</formula>
    </cfRule>
  </conditionalFormatting>
  <conditionalFormatting sqref="S43:T43">
    <cfRule type="expression" dxfId="1638" priority="160">
      <formula>S43=Q41</formula>
    </cfRule>
  </conditionalFormatting>
  <conditionalFormatting sqref="S44:T44">
    <cfRule type="expression" dxfId="1637" priority="161">
      <formula>S44=Q41</formula>
    </cfRule>
  </conditionalFormatting>
  <conditionalFormatting sqref="S41:T44">
    <cfRule type="expression" dxfId="1636" priority="154">
      <formula>SUM(L41,N41,P41)&lt;&gt;0</formula>
    </cfRule>
  </conditionalFormatting>
  <conditionalFormatting sqref="U19">
    <cfRule type="expression" dxfId="1635" priority="152">
      <formula>V19&lt;&gt;""</formula>
    </cfRule>
  </conditionalFormatting>
  <conditionalFormatting sqref="U23">
    <cfRule type="expression" dxfId="1634" priority="150">
      <formula>V23&lt;&gt;""</formula>
    </cfRule>
  </conditionalFormatting>
  <conditionalFormatting sqref="U25">
    <cfRule type="expression" dxfId="1633" priority="149">
      <formula>V25&lt;&gt;""</formula>
    </cfRule>
  </conditionalFormatting>
  <conditionalFormatting sqref="U27">
    <cfRule type="expression" dxfId="1632" priority="148">
      <formula>V27&lt;&gt;""</formula>
    </cfRule>
  </conditionalFormatting>
  <conditionalFormatting sqref="U29">
    <cfRule type="expression" dxfId="1631" priority="147">
      <formula>V29&lt;&gt;""</formula>
    </cfRule>
  </conditionalFormatting>
  <conditionalFormatting sqref="U31">
    <cfRule type="expression" dxfId="1630" priority="146">
      <formula>V31&lt;&gt;""</formula>
    </cfRule>
  </conditionalFormatting>
  <conditionalFormatting sqref="U54">
    <cfRule type="expression" dxfId="1629" priority="103">
      <formula>V54&lt;&gt;""</formula>
    </cfRule>
  </conditionalFormatting>
  <conditionalFormatting sqref="U41">
    <cfRule type="expression" dxfId="1628" priority="101">
      <formula>V41&lt;&gt;""</formula>
    </cfRule>
  </conditionalFormatting>
  <conditionalFormatting sqref="U19 U23 U25 U27 U29 U31 U33 U37 U41">
    <cfRule type="expression" dxfId="1627" priority="100">
      <formula>V19&lt;&gt;""</formula>
    </cfRule>
  </conditionalFormatting>
  <conditionalFormatting sqref="U23">
    <cfRule type="expression" dxfId="1626" priority="98">
      <formula>V23&lt;&gt;""</formula>
    </cfRule>
  </conditionalFormatting>
  <conditionalFormatting sqref="U25">
    <cfRule type="expression" dxfId="1625" priority="97">
      <formula>V25&lt;&gt;""</formula>
    </cfRule>
  </conditionalFormatting>
  <conditionalFormatting sqref="U27">
    <cfRule type="expression" dxfId="1624" priority="96">
      <formula>V27&lt;&gt;""</formula>
    </cfRule>
  </conditionalFormatting>
  <conditionalFormatting sqref="U29">
    <cfRule type="expression" dxfId="1623" priority="95">
      <formula>V29&lt;&gt;""</formula>
    </cfRule>
  </conditionalFormatting>
  <conditionalFormatting sqref="U31">
    <cfRule type="expression" dxfId="1622" priority="94">
      <formula>V31&lt;&gt;""</formula>
    </cfRule>
  </conditionalFormatting>
  <conditionalFormatting sqref="U41">
    <cfRule type="expression" dxfId="1621" priority="93">
      <formula>V41&lt;&gt;""</formula>
    </cfRule>
  </conditionalFormatting>
  <conditionalFormatting sqref="U41">
    <cfRule type="expression" dxfId="1620" priority="92">
      <formula>V41&lt;&gt;""</formula>
    </cfRule>
  </conditionalFormatting>
  <conditionalFormatting sqref="S55:T55">
    <cfRule type="expression" dxfId="1619" priority="91">
      <formula>S55=Q55</formula>
    </cfRule>
  </conditionalFormatting>
  <conditionalFormatting sqref="O55 M55">
    <cfRule type="expression" dxfId="1618" priority="87">
      <formula>N55&lt;&gt;""</formula>
    </cfRule>
  </conditionalFormatting>
  <conditionalFormatting sqref="I11">
    <cfRule type="expression" dxfId="1617" priority="80">
      <formula>J11&lt;&gt;""</formula>
    </cfRule>
  </conditionalFormatting>
  <conditionalFormatting sqref="I23:I30">
    <cfRule type="expression" dxfId="1616" priority="79">
      <formula>J23&lt;&gt;""</formula>
    </cfRule>
  </conditionalFormatting>
  <conditionalFormatting sqref="I37 I41">
    <cfRule type="expression" dxfId="1615" priority="78">
      <formula>J37&lt;&gt;""</formula>
    </cfRule>
  </conditionalFormatting>
  <conditionalFormatting sqref="I41">
    <cfRule type="expression" dxfId="1614" priority="77">
      <formula>J41&lt;&gt;""</formula>
    </cfRule>
  </conditionalFormatting>
  <conditionalFormatting sqref="I19">
    <cfRule type="expression" dxfId="1613" priority="76">
      <formula>J19&lt;&gt;""</formula>
    </cfRule>
  </conditionalFormatting>
  <conditionalFormatting sqref="I37 I41">
    <cfRule type="expression" dxfId="1612" priority="74">
      <formula>J37&lt;&gt;""</formula>
    </cfRule>
  </conditionalFormatting>
  <conditionalFormatting sqref="K37:K40">
    <cfRule type="expression" dxfId="1611" priority="73">
      <formula>L37&lt;&gt;""</formula>
    </cfRule>
  </conditionalFormatting>
  <conditionalFormatting sqref="M37:M40 O37:O40">
    <cfRule type="expression" dxfId="1610" priority="72">
      <formula>N37&lt;&gt;""</formula>
    </cfRule>
  </conditionalFormatting>
  <conditionalFormatting sqref="S37:T37">
    <cfRule type="expression" dxfId="1609" priority="71">
      <formula>S37=Q37</formula>
    </cfRule>
  </conditionalFormatting>
  <conditionalFormatting sqref="S38:T38">
    <cfRule type="expression" dxfId="1608" priority="70">
      <formula>S38=Q37</formula>
    </cfRule>
  </conditionalFormatting>
  <conditionalFormatting sqref="S39:T39">
    <cfRule type="expression" dxfId="1607" priority="69">
      <formula>S39=Q37</formula>
    </cfRule>
  </conditionalFormatting>
  <conditionalFormatting sqref="S40:T40">
    <cfRule type="expression" dxfId="1606" priority="68">
      <formula>S40=Q37</formula>
    </cfRule>
  </conditionalFormatting>
  <conditionalFormatting sqref="S37:T40">
    <cfRule type="expression" dxfId="1605" priority="67">
      <formula>SUM(L37,N37,P37)&lt;&gt;0</formula>
    </cfRule>
  </conditionalFormatting>
  <conditionalFormatting sqref="U37">
    <cfRule type="expression" dxfId="1604" priority="66">
      <formula>V37&lt;&gt;""</formula>
    </cfRule>
  </conditionalFormatting>
  <conditionalFormatting sqref="U37">
    <cfRule type="expression" dxfId="1603" priority="65">
      <formula>V37&lt;&gt;""</formula>
    </cfRule>
  </conditionalFormatting>
  <conditionalFormatting sqref="U37">
    <cfRule type="expression" dxfId="1602" priority="64">
      <formula>V37&lt;&gt;""</formula>
    </cfRule>
  </conditionalFormatting>
  <conditionalFormatting sqref="I37">
    <cfRule type="expression" dxfId="1601" priority="63">
      <formula>J37&lt;&gt;""</formula>
    </cfRule>
  </conditionalFormatting>
  <conditionalFormatting sqref="S33:T36">
    <cfRule type="expression" dxfId="1600" priority="477">
      <formula>S33=Q32</formula>
    </cfRule>
  </conditionalFormatting>
  <conditionalFormatting sqref="K33:K44">
    <cfRule type="expression" dxfId="1599" priority="62">
      <formula>L33&lt;&gt;""</formula>
    </cfRule>
  </conditionalFormatting>
  <conditionalFormatting sqref="M33:M44 O33:O44">
    <cfRule type="expression" dxfId="1598" priority="61">
      <formula>N33&lt;&gt;""</formula>
    </cfRule>
  </conditionalFormatting>
  <conditionalFormatting sqref="S33:T33">
    <cfRule type="expression" dxfId="1597" priority="60">
      <formula>S33=Q33</formula>
    </cfRule>
  </conditionalFormatting>
  <conditionalFormatting sqref="S34:T34">
    <cfRule type="expression" dxfId="1596" priority="59">
      <formula>S34=Q33</formula>
    </cfRule>
  </conditionalFormatting>
  <conditionalFormatting sqref="S35:T35">
    <cfRule type="expression" dxfId="1595" priority="58">
      <formula>S35=Q33</formula>
    </cfRule>
  </conditionalFormatting>
  <conditionalFormatting sqref="S36:T36">
    <cfRule type="expression" dxfId="1594" priority="57">
      <formula>S36=Q33</formula>
    </cfRule>
  </conditionalFormatting>
  <conditionalFormatting sqref="S33:T36">
    <cfRule type="expression" dxfId="1593" priority="56">
      <formula>SUM(L33,N33,P33)&lt;&gt;0</formula>
    </cfRule>
  </conditionalFormatting>
  <conditionalFormatting sqref="U33">
    <cfRule type="expression" dxfId="1592" priority="55">
      <formula>V33&lt;&gt;""</formula>
    </cfRule>
  </conditionalFormatting>
  <conditionalFormatting sqref="U33">
    <cfRule type="expression" dxfId="1591" priority="54">
      <formula>V33&lt;&gt;""</formula>
    </cfRule>
  </conditionalFormatting>
  <conditionalFormatting sqref="U33">
    <cfRule type="expression" dxfId="1590" priority="53">
      <formula>V33&lt;&gt;""</formula>
    </cfRule>
  </conditionalFormatting>
  <conditionalFormatting sqref="I33 I37 I41">
    <cfRule type="expression" dxfId="1589" priority="52">
      <formula>J33&lt;&gt;""</formula>
    </cfRule>
  </conditionalFormatting>
  <conditionalFormatting sqref="S33:T40">
    <cfRule type="expression" dxfId="1588" priority="51">
      <formula>S33=Q28</formula>
    </cfRule>
  </conditionalFormatting>
  <conditionalFormatting sqref="K33 M33 O33">
    <cfRule type="expression" dxfId="1587" priority="50">
      <formula>L33&lt;&gt;""</formula>
    </cfRule>
  </conditionalFormatting>
  <conditionalFormatting sqref="K33 M33 O33">
    <cfRule type="expression" dxfId="1586" priority="49">
      <formula>L33&lt;&gt;""</formula>
    </cfRule>
  </conditionalFormatting>
  <conditionalFormatting sqref="K33 M33 O33">
    <cfRule type="expression" dxfId="1585" priority="48">
      <formula>L33&lt;&gt;""</formula>
    </cfRule>
  </conditionalFormatting>
  <conditionalFormatting sqref="K34:K44 M34:M44 O34:O44">
    <cfRule type="expression" dxfId="1584" priority="47">
      <formula>L34&lt;&gt;""</formula>
    </cfRule>
  </conditionalFormatting>
  <conditionalFormatting sqref="K34:K44 M34:M44 O34:O44">
    <cfRule type="expression" dxfId="1583" priority="46">
      <formula>L34&lt;&gt;""</formula>
    </cfRule>
  </conditionalFormatting>
  <conditionalFormatting sqref="K34:K44 M34:M44 O34:O44">
    <cfRule type="expression" dxfId="1582" priority="45">
      <formula>L34&lt;&gt;""</formula>
    </cfRule>
  </conditionalFormatting>
  <conditionalFormatting sqref="S55:T55">
    <cfRule type="expression" dxfId="1581" priority="479">
      <formula>SUM(I55,K55)&lt;&gt;0</formula>
    </cfRule>
  </conditionalFormatting>
  <conditionalFormatting sqref="I29:I30">
    <cfRule type="expression" dxfId="1580" priority="24">
      <formula>J29&lt;&gt;""</formula>
    </cfRule>
  </conditionalFormatting>
  <conditionalFormatting sqref="I29:I30">
    <cfRule type="expression" dxfId="1579" priority="23">
      <formula>J29&lt;&gt;""</formula>
    </cfRule>
  </conditionalFormatting>
  <conditionalFormatting sqref="C52:AE52 C11:AD14 C19:AD26">
    <cfRule type="expression" dxfId="1578" priority="1100">
      <formula>$AP$10=FALSE</formula>
    </cfRule>
  </conditionalFormatting>
  <conditionalFormatting sqref="S56:T56">
    <cfRule type="expression" dxfId="1577" priority="20">
      <formula>S56=Q56</formula>
    </cfRule>
  </conditionalFormatting>
  <conditionalFormatting sqref="O56 M56">
    <cfRule type="expression" dxfId="1576" priority="19">
      <formula>N56&lt;&gt;""</formula>
    </cfRule>
  </conditionalFormatting>
  <conditionalFormatting sqref="S56:T56">
    <cfRule type="expression" dxfId="1575" priority="21">
      <formula>SUM(I56,K56)&lt;&gt;0</formula>
    </cfRule>
  </conditionalFormatting>
  <conditionalFormatting sqref="K16:K18 M16:M18 O16:O18">
    <cfRule type="expression" dxfId="1574" priority="14">
      <formula>L16&lt;&gt;""</formula>
    </cfRule>
  </conditionalFormatting>
  <conditionalFormatting sqref="K15">
    <cfRule type="expression" dxfId="1573" priority="13">
      <formula>L15&lt;&gt;""</formula>
    </cfRule>
  </conditionalFormatting>
  <conditionalFormatting sqref="U15">
    <cfRule type="expression" dxfId="1572" priority="12">
      <formula>V15&lt;&gt;""</formula>
    </cfRule>
  </conditionalFormatting>
  <conditionalFormatting sqref="S15:T15">
    <cfRule type="expression" dxfId="1571" priority="15">
      <formula>S15=Q15</formula>
    </cfRule>
  </conditionalFormatting>
  <conditionalFormatting sqref="S16:T18">
    <cfRule type="expression" dxfId="1570" priority="16">
      <formula>S16=Q15</formula>
    </cfRule>
  </conditionalFormatting>
  <conditionalFormatting sqref="S18:T18">
    <cfRule type="expression" dxfId="1569" priority="17">
      <formula>S18=Q16</formula>
    </cfRule>
  </conditionalFormatting>
  <conditionalFormatting sqref="M15 O15">
    <cfRule type="expression" dxfId="1568" priority="11">
      <formula>N15&lt;&gt;""</formula>
    </cfRule>
  </conditionalFormatting>
  <conditionalFormatting sqref="S15:T18">
    <cfRule type="expression" dxfId="1567" priority="10">
      <formula>SUM(L15,N15,P15)&lt;&gt;0</formula>
    </cfRule>
  </conditionalFormatting>
  <conditionalFormatting sqref="I15">
    <cfRule type="expression" dxfId="1566" priority="9">
      <formula>J15&lt;&gt;""</formula>
    </cfRule>
  </conditionalFormatting>
  <conditionalFormatting sqref="C15:AD18">
    <cfRule type="expression" dxfId="1565" priority="18">
      <formula>$AP$10=FALSE</formula>
    </cfRule>
  </conditionalFormatting>
  <conditionalFormatting sqref="S23:T24">
    <cfRule type="expression" dxfId="1564" priority="1108">
      <formula>S23=#REF!</formula>
    </cfRule>
  </conditionalFormatting>
  <conditionalFormatting sqref="U48 K48 M48 O48">
    <cfRule type="expression" dxfId="1563" priority="7">
      <formula>L48&lt;&gt;""</formula>
    </cfRule>
  </conditionalFormatting>
  <conditionalFormatting sqref="I48">
    <cfRule type="expression" dxfId="1562" priority="6">
      <formula>J48&lt;&gt;""</formula>
    </cfRule>
  </conditionalFormatting>
  <conditionalFormatting sqref="S47:T48">
    <cfRule type="expression" dxfId="1561" priority="1">
      <formula>SUM(J47,L47)&lt;&gt;0</formula>
    </cfRule>
  </conditionalFormatting>
  <conditionalFormatting sqref="S47:T48">
    <cfRule type="expression" dxfId="1560" priority="2">
      <formula>S47=Q47</formula>
    </cfRule>
  </conditionalFormatting>
  <dataValidations count="3">
    <dataValidation type="decimal" allowBlank="1" showInputMessage="1" showErrorMessage="1" sqref="J50 J45:J46">
      <formula1>-1000</formula1>
      <formula2>1000</formula2>
    </dataValidation>
    <dataValidation type="list" allowBlank="1" showInputMessage="1" showErrorMessage="1" sqref="G53:H54">
      <formula1>$AK$53:$AK$54</formula1>
    </dataValidation>
    <dataValidation type="decimal" allowBlank="1" showInputMessage="1" showErrorMessage="1" error="Wert muss im Bereich 0 ... 10% liegen" sqref="V5 AF5">
      <formula1>0</formula1>
      <formula2>0.1</formula2>
    </dataValidation>
  </dataValidations>
  <hyperlinks>
    <hyperlink ref="I60" r:id="rId1" display="www.kbob.ch"/>
    <hyperlink ref="K2" location="Neu_in_Version" display="i"/>
    <hyperlink ref="U69" r:id="rId2" display="www.kbob.ch"/>
    <hyperlink ref="I67:T67" r:id="rId3" display="www.ewz.ch → services → dokumentencenter → Energie beziehen"/>
    <hyperlink ref="P81:T81" r:id="rId4" display="www.erz.ch/zuerichwaerme"/>
    <hyperlink ref="I74" r:id="rId5"/>
    <hyperlink ref="I74:T74" r:id="rId6" display="www.stadt-zuerich.ch/statistik → Themen → Wirtschaft → Konsumentenpreise → Durchschnittspreise"/>
    <hyperlink ref="I80" r:id="rId7" display="www.energie360.ch/produkte-preise/erdgas/preise"/>
    <hyperlink ref="U69:AF69" r:id="rId8" display="www.kbob.ch → Publikationen"/>
    <hyperlink ref="Y105" r:id="rId9"/>
    <hyperlink ref="Y106" r:id="rId10" display="www.minergie.ch/minergie"/>
    <hyperlink ref="Y106:AF106" r:id="rId11" display="www.minergie.ch/minergie-p"/>
    <hyperlink ref="AA123" r:id="rId12"/>
    <hyperlink ref="AA94:AF95" r:id="rId13" display="www.bauteilkatalog.ch &gt; "/>
    <hyperlink ref="Y84:AF84" r:id="rId14" display="http://treeze.ch/de/rechner/fernwaermerechner/"/>
    <hyperlink ref="I60:M60" r:id="rId15" display="www.kbob.ch → Publikationen"/>
    <hyperlink ref="I69" r:id="rId16" display="www.kbob.ch"/>
    <hyperlink ref="I69:M69" r:id="rId17" display="www.kbob.ch → Publikationen"/>
    <hyperlink ref="AB82:AF82" r:id="rId18" display="www.erz.ch/zuerichwaerme"/>
    <hyperlink ref="I80:T80" r:id="rId19" display="www.energie360.ch → Energie  → Erdgas/Biogas → Wärme"/>
  </hyperlinks>
  <pageMargins left="0.59055118110236227" right="0.59055118110236227" top="0.39370078740157483" bottom="0.78740157480314965" header="0.39370078740157483" footer="0.35433070866141736"/>
  <pageSetup paperSize="9" scale="75" fitToHeight="0" orientation="landscape" horizontalDpi="4294967295" verticalDpi="4294967295" r:id="rId20"/>
  <headerFooter scaleWithDoc="0">
    <oddFooter>&amp;L&amp;8Das Amt für Hochbauten ist eine Dienstabteilung des
Hochbaudepartements der Stadt Zürich&amp;CSeite &amp;P/&amp;N&amp;6
                                                          &amp;D/&amp;F&amp;R&amp;G</oddFooter>
  </headerFooter>
  <rowBreaks count="2" manualBreakCount="2">
    <brk id="56" max="31" man="1"/>
    <brk id="91" max="31" man="1"/>
  </rowBreaks>
  <ignoredErrors>
    <ignoredError sqref="S23:T32" formula="1"/>
  </ignoredErrors>
  <drawing r:id="rId21"/>
  <legacyDrawing r:id="rId22"/>
  <legacyDrawingHF r:id="rId2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5" tint="0.39997558519241921"/>
  </sheetPr>
  <dimension ref="A1:AJ92"/>
  <sheetViews>
    <sheetView showGridLines="0" showZeros="0" zoomScaleNormal="100" zoomScaleSheetLayoutView="100" workbookViewId="0">
      <pane ySplit="6" topLeftCell="A7" activePane="bottomLeft" state="frozen"/>
      <selection activeCell="E6" sqref="E6:G6"/>
      <selection pane="bottomLeft" activeCell="E6" sqref="E6:G6"/>
    </sheetView>
  </sheetViews>
  <sheetFormatPr baseColWidth="10" defaultColWidth="9.25" defaultRowHeight="12.9" outlineLevelCol="1" x14ac:dyDescent="0.2"/>
  <cols>
    <col min="1" max="1" width="4" style="902" customWidth="1"/>
    <col min="2" max="2" width="9.125" style="902" customWidth="1"/>
    <col min="3" max="3" width="2.625" style="902" customWidth="1"/>
    <col min="4" max="4" width="4.875" style="902" customWidth="1"/>
    <col min="5" max="5" width="9.75" style="901" customWidth="1"/>
    <col min="6" max="6" width="7.75" style="901" customWidth="1"/>
    <col min="7" max="7" width="10.125" style="901" customWidth="1"/>
    <col min="8" max="9" width="6.375" style="901" customWidth="1"/>
    <col min="10" max="10" width="7" style="901" customWidth="1"/>
    <col min="11" max="12" width="2.625" style="901" customWidth="1"/>
    <col min="13" max="13" width="9.75" style="901" customWidth="1"/>
    <col min="14" max="14" width="7.75" style="901" customWidth="1"/>
    <col min="15" max="15" width="2.625" style="901" customWidth="1"/>
    <col min="16" max="16" width="3.75" style="901" customWidth="1"/>
    <col min="17" max="17" width="2.625" style="901" customWidth="1"/>
    <col min="18" max="18" width="7.75" style="901" customWidth="1"/>
    <col min="19" max="19" width="6.75" style="901" customWidth="1"/>
    <col min="20" max="20" width="2.625" style="901" customWidth="1"/>
    <col min="21" max="21" width="6.75" style="901" customWidth="1"/>
    <col min="22" max="22" width="7.75" style="901" customWidth="1"/>
    <col min="23" max="26" width="9.25" style="901" customWidth="1"/>
    <col min="27" max="28" width="9.25" style="901"/>
    <col min="29" max="35" width="9.25" style="901" hidden="1" customWidth="1" outlineLevel="1"/>
    <col min="36" max="36" width="9.25" style="901" collapsed="1"/>
    <col min="37" max="16384" width="9.25" style="901"/>
  </cols>
  <sheetData>
    <row r="1" spans="1:32" ht="56.25" customHeight="1" x14ac:dyDescent="0.2">
      <c r="A1" s="901"/>
      <c r="B1" s="901"/>
      <c r="C1" s="901"/>
      <c r="E1" s="903"/>
      <c r="F1" s="903"/>
      <c r="G1" s="903"/>
      <c r="H1" s="903"/>
      <c r="I1" s="903"/>
      <c r="J1" s="903"/>
      <c r="K1" s="903"/>
      <c r="L1" s="903"/>
      <c r="M1" s="903"/>
      <c r="N1" s="903"/>
      <c r="O1" s="904"/>
      <c r="P1" s="904"/>
      <c r="Q1" s="904"/>
      <c r="R1" s="904"/>
      <c r="S1" s="904"/>
      <c r="T1" s="904"/>
      <c r="U1" s="904"/>
      <c r="V1" s="904"/>
    </row>
    <row r="2" spans="1:32" ht="13.6" customHeight="1" x14ac:dyDescent="0.25">
      <c r="A2" s="1103" t="str">
        <f>CONCATENATE("Variantenvergleich Energiesysteme - Version ",Versionsinfo!$B$4)</f>
        <v>Variantenvergleich Energiesysteme - Version 2.2</v>
      </c>
      <c r="B2" s="901"/>
      <c r="C2" s="901"/>
      <c r="D2" s="903"/>
      <c r="E2" s="903"/>
      <c r="F2" s="903"/>
      <c r="G2" s="903"/>
      <c r="H2" s="1535"/>
      <c r="I2" s="1536" t="s">
        <v>684</v>
      </c>
      <c r="J2" s="904"/>
      <c r="K2" s="904"/>
      <c r="L2" s="904"/>
      <c r="M2" s="905"/>
      <c r="N2" s="906"/>
      <c r="O2" s="904"/>
      <c r="P2" s="904"/>
      <c r="Q2" s="904"/>
      <c r="R2" s="904"/>
      <c r="S2" s="904"/>
      <c r="T2" s="904"/>
      <c r="U2" s="904"/>
      <c r="V2" s="904"/>
    </row>
    <row r="3" spans="1:32" ht="12.75" customHeight="1" x14ac:dyDescent="0.2">
      <c r="A3" s="907" t="s">
        <v>178</v>
      </c>
      <c r="B3" s="901"/>
      <c r="C3" s="901"/>
      <c r="D3" s="901"/>
    </row>
    <row r="4" spans="1:32" ht="18" customHeight="1" x14ac:dyDescent="0.2">
      <c r="A4" s="908"/>
      <c r="B4" s="901"/>
      <c r="C4" s="901"/>
      <c r="D4" s="901"/>
    </row>
    <row r="5" spans="1:32" s="911" customFormat="1" ht="19.55" customHeight="1" x14ac:dyDescent="0.2">
      <c r="A5" s="909" t="s">
        <v>44</v>
      </c>
      <c r="B5" s="910"/>
      <c r="C5" s="910"/>
      <c r="D5" s="910"/>
      <c r="H5" s="912">
        <f>Projektdaten!$C$8</f>
        <v>0</v>
      </c>
      <c r="I5" s="912"/>
      <c r="J5" s="1306"/>
      <c r="K5" s="1306"/>
      <c r="L5" s="1306"/>
      <c r="M5" s="1306"/>
      <c r="N5" s="1306"/>
      <c r="O5" s="1306"/>
      <c r="P5" s="1306"/>
      <c r="Q5" s="1306"/>
      <c r="R5" s="1306"/>
      <c r="S5" s="1306"/>
      <c r="T5" s="1306"/>
      <c r="U5" s="1307">
        <f>Projektdaten!$I$8</f>
        <v>0</v>
      </c>
      <c r="W5" s="2401" t="s">
        <v>192</v>
      </c>
      <c r="X5" s="2401"/>
      <c r="Y5" s="2401"/>
      <c r="Z5" s="2401"/>
      <c r="AA5" s="2401"/>
      <c r="AB5" s="2401"/>
    </row>
    <row r="6" spans="1:32" ht="16.5" customHeight="1" x14ac:dyDescent="0.2">
      <c r="A6" s="913" t="s">
        <v>18</v>
      </c>
      <c r="B6" s="914"/>
      <c r="C6" s="914"/>
      <c r="D6" s="914"/>
      <c r="E6" s="2402"/>
      <c r="F6" s="2402"/>
      <c r="G6" s="2402"/>
      <c r="H6" s="915"/>
      <c r="I6" s="915"/>
      <c r="J6" s="2403"/>
      <c r="K6" s="2404"/>
      <c r="L6" s="2404"/>
      <c r="M6" s="2404"/>
      <c r="N6" s="2404"/>
      <c r="O6" s="2404"/>
      <c r="P6" s="2404"/>
      <c r="Q6" s="2404"/>
      <c r="R6" s="2404"/>
      <c r="S6" s="2404"/>
      <c r="T6" s="2404"/>
      <c r="U6" s="916"/>
    </row>
    <row r="7" spans="1:32" s="918" customFormat="1" ht="18" customHeight="1" x14ac:dyDescent="0.2">
      <c r="A7" s="917"/>
      <c r="B7" s="917"/>
      <c r="C7" s="917"/>
      <c r="D7" s="917"/>
    </row>
    <row r="8" spans="1:32" s="918" customFormat="1" ht="12.75" customHeight="1" x14ac:dyDescent="0.2">
      <c r="A8" s="917"/>
      <c r="B8" s="917"/>
      <c r="C8" s="917"/>
      <c r="D8" s="917"/>
      <c r="E8" s="920" t="s">
        <v>147</v>
      </c>
      <c r="G8" s="2405" t="s">
        <v>236</v>
      </c>
      <c r="H8" s="2405"/>
      <c r="I8" s="2405"/>
      <c r="J8" s="2405"/>
      <c r="M8" s="920" t="s">
        <v>148</v>
      </c>
    </row>
    <row r="9" spans="1:32" s="918" customFormat="1" ht="5.95" customHeight="1" x14ac:dyDescent="0.2">
      <c r="A9" s="921"/>
      <c r="B9" s="917"/>
      <c r="C9" s="917"/>
      <c r="D9" s="917"/>
      <c r="E9" s="922"/>
      <c r="G9" s="922"/>
      <c r="H9" s="922"/>
      <c r="I9" s="922"/>
      <c r="J9" s="922"/>
      <c r="M9" s="922"/>
      <c r="N9" s="923"/>
      <c r="O9" s="931"/>
      <c r="Q9" s="917"/>
      <c r="R9" s="917"/>
    </row>
    <row r="10" spans="1:32" s="918" customFormat="1" ht="12.75" customHeight="1" x14ac:dyDescent="0.2">
      <c r="A10" s="1098" t="s">
        <v>46</v>
      </c>
      <c r="B10" s="924"/>
      <c r="C10" s="924"/>
      <c r="D10" s="924"/>
      <c r="E10" s="925">
        <f>M10</f>
        <v>0</v>
      </c>
      <c r="F10" s="926" t="s">
        <v>5</v>
      </c>
      <c r="G10" s="927"/>
      <c r="H10" s="928" t="s">
        <v>294</v>
      </c>
      <c r="I10" s="588"/>
      <c r="J10" s="929" t="s">
        <v>62</v>
      </c>
      <c r="K10" s="930"/>
      <c r="L10" s="930"/>
      <c r="M10" s="591"/>
      <c r="N10" s="930" t="s">
        <v>5</v>
      </c>
      <c r="O10" s="933"/>
      <c r="P10" s="923"/>
      <c r="Q10" s="923"/>
      <c r="R10" s="923"/>
      <c r="S10" s="923"/>
      <c r="T10" s="923"/>
      <c r="U10" s="923"/>
    </row>
    <row r="11" spans="1:32" s="918" customFormat="1" ht="12.75" customHeight="1" x14ac:dyDescent="0.2">
      <c r="A11" s="932"/>
      <c r="B11" s="932"/>
      <c r="C11" s="932"/>
      <c r="D11" s="932"/>
      <c r="E11" s="922"/>
      <c r="F11" s="923"/>
      <c r="G11" s="922"/>
      <c r="H11" s="922"/>
      <c r="I11" s="922"/>
      <c r="J11" s="922"/>
      <c r="K11" s="923"/>
      <c r="L11" s="923"/>
      <c r="M11" s="922"/>
      <c r="N11" s="923"/>
      <c r="O11" s="933"/>
      <c r="P11" s="923"/>
      <c r="Q11" s="923"/>
      <c r="R11" s="923"/>
      <c r="S11" s="923"/>
      <c r="T11" s="923"/>
      <c r="U11" s="923"/>
      <c r="AC11" s="621" t="s">
        <v>515</v>
      </c>
      <c r="AD11" s="622"/>
      <c r="AE11" s="622"/>
      <c r="AF11" s="623"/>
    </row>
    <row r="12" spans="1:32" s="918" customFormat="1" ht="12.75" customHeight="1" x14ac:dyDescent="0.2">
      <c r="A12" s="1538" t="str">
        <f>Grunddaten!C55</f>
        <v>Wärmeverbund XY</v>
      </c>
      <c r="B12" s="924"/>
      <c r="C12" s="924"/>
      <c r="D12" s="924"/>
      <c r="E12" s="925">
        <f>M12</f>
        <v>0</v>
      </c>
      <c r="F12" s="926" t="s">
        <v>5</v>
      </c>
      <c r="G12" s="927"/>
      <c r="H12" s="928" t="s">
        <v>294</v>
      </c>
      <c r="I12" s="588"/>
      <c r="J12" s="929" t="s">
        <v>62</v>
      </c>
      <c r="K12" s="930"/>
      <c r="L12" s="930"/>
      <c r="M12" s="591"/>
      <c r="N12" s="930" t="s">
        <v>5</v>
      </c>
      <c r="O12" s="933"/>
      <c r="P12" s="923"/>
      <c r="Q12" s="923"/>
      <c r="R12" s="923"/>
      <c r="S12" s="923"/>
      <c r="T12" s="923"/>
      <c r="U12" s="923"/>
      <c r="AC12" s="625" t="s">
        <v>78</v>
      </c>
      <c r="AD12" s="626"/>
      <c r="AE12" s="626"/>
      <c r="AF12" s="627"/>
    </row>
    <row r="13" spans="1:32" s="918" customFormat="1" ht="12.75" customHeight="1" thickBot="1" x14ac:dyDescent="0.25">
      <c r="A13" s="932"/>
      <c r="B13" s="932"/>
      <c r="C13" s="932"/>
      <c r="D13" s="932"/>
      <c r="E13" s="922"/>
      <c r="F13" s="923"/>
      <c r="G13" s="922"/>
      <c r="H13" s="922"/>
      <c r="I13" s="922"/>
      <c r="J13" s="922"/>
      <c r="K13" s="923"/>
      <c r="L13" s="923"/>
      <c r="M13" s="922"/>
      <c r="N13" s="923"/>
      <c r="O13" s="933"/>
      <c r="P13" s="923"/>
      <c r="Q13" s="923"/>
      <c r="R13" s="923"/>
      <c r="S13" s="923"/>
      <c r="T13" s="923"/>
      <c r="U13" s="923"/>
      <c r="AC13" s="625" t="s">
        <v>79</v>
      </c>
      <c r="AD13" s="626"/>
      <c r="AE13" s="626"/>
      <c r="AF13" s="627"/>
    </row>
    <row r="14" spans="1:32" s="918" customFormat="1" ht="12.75" customHeight="1" x14ac:dyDescent="0.2">
      <c r="A14" s="932"/>
      <c r="B14" s="932"/>
      <c r="C14" s="932"/>
      <c r="D14" s="932"/>
      <c r="E14" s="922"/>
      <c r="F14" s="923"/>
      <c r="G14" s="2380" t="s">
        <v>83</v>
      </c>
      <c r="H14" s="2381"/>
      <c r="I14" s="2381"/>
      <c r="J14" s="2382"/>
      <c r="K14" s="934"/>
      <c r="L14" s="934"/>
      <c r="M14" s="922"/>
      <c r="N14" s="923"/>
      <c r="O14" s="933"/>
      <c r="P14" s="2411" t="s">
        <v>602</v>
      </c>
      <c r="Q14" s="2412"/>
      <c r="R14" s="923"/>
      <c r="S14" s="2380" t="s">
        <v>77</v>
      </c>
      <c r="T14" s="2381"/>
      <c r="U14" s="2382"/>
      <c r="X14" s="917"/>
      <c r="AC14" s="625" t="s">
        <v>80</v>
      </c>
      <c r="AD14" s="626"/>
      <c r="AE14" s="626"/>
      <c r="AF14" s="627"/>
    </row>
    <row r="15" spans="1:32" s="918" customFormat="1" ht="12.75" customHeight="1" x14ac:dyDescent="0.3">
      <c r="A15" s="925" t="s">
        <v>87</v>
      </c>
      <c r="B15" s="925"/>
      <c r="C15" s="925"/>
      <c r="D15" s="925"/>
      <c r="E15" s="925"/>
      <c r="F15" s="935"/>
      <c r="G15" s="936" t="s">
        <v>84</v>
      </c>
      <c r="H15" s="2409"/>
      <c r="I15" s="2383"/>
      <c r="J15" s="937" t="s">
        <v>86</v>
      </c>
      <c r="K15" s="925"/>
      <c r="L15" s="925"/>
      <c r="M15" s="925">
        <f>H15*IF(ISBLANK(I16),H16,I16)</f>
        <v>0</v>
      </c>
      <c r="N15" s="930" t="s">
        <v>5</v>
      </c>
      <c r="O15" s="933"/>
      <c r="P15" s="2413" t="s">
        <v>601</v>
      </c>
      <c r="Q15" s="2414"/>
      <c r="R15" s="923"/>
      <c r="S15" s="2384"/>
      <c r="T15" s="2385"/>
      <c r="U15" s="2386"/>
      <c r="AC15" s="625" t="s">
        <v>89</v>
      </c>
      <c r="AD15" s="626"/>
      <c r="AE15" s="626"/>
      <c r="AF15" s="627"/>
    </row>
    <row r="16" spans="1:32" s="918" customFormat="1" ht="12.75" customHeight="1" thickBot="1" x14ac:dyDescent="0.35">
      <c r="A16" s="932"/>
      <c r="B16" s="932"/>
      <c r="C16" s="932"/>
      <c r="D16" s="932"/>
      <c r="E16" s="938"/>
      <c r="F16" s="923"/>
      <c r="G16" s="939" t="s">
        <v>85</v>
      </c>
      <c r="H16" s="668">
        <f>IF(ISBLANK(H15),0,Grunddaten!H122)</f>
        <v>0</v>
      </c>
      <c r="I16" s="601"/>
      <c r="J16" s="940" t="s">
        <v>88</v>
      </c>
      <c r="K16" s="941"/>
      <c r="L16" s="941"/>
      <c r="M16" s="938"/>
      <c r="N16" s="923"/>
      <c r="O16" s="942"/>
      <c r="P16" s="2410"/>
      <c r="Q16" s="2410"/>
      <c r="R16" s="935"/>
      <c r="S16" s="2406"/>
      <c r="T16" s="2407"/>
      <c r="U16" s="2408"/>
      <c r="AC16" s="630" t="str">
        <f>Grunddaten!$C$55</f>
        <v>Wärmeverbund XY</v>
      </c>
      <c r="AD16" s="631"/>
      <c r="AE16" s="631"/>
      <c r="AF16" s="632"/>
    </row>
    <row r="17" spans="1:32" s="918" customFormat="1" ht="12.75" customHeight="1" thickBot="1" x14ac:dyDescent="0.25">
      <c r="A17" s="932"/>
      <c r="B17" s="932"/>
      <c r="C17" s="932"/>
      <c r="D17" s="932"/>
      <c r="E17" s="922"/>
      <c r="F17" s="923"/>
      <c r="G17" s="922"/>
      <c r="H17" s="922"/>
      <c r="I17" s="922"/>
      <c r="J17" s="922"/>
      <c r="K17" s="923"/>
      <c r="L17" s="923"/>
      <c r="M17" s="922"/>
      <c r="N17" s="923"/>
      <c r="O17" s="933"/>
      <c r="P17" s="2373" t="s">
        <v>641</v>
      </c>
      <c r="Q17" s="2374"/>
      <c r="R17" s="923"/>
      <c r="S17" s="1336" t="s">
        <v>81</v>
      </c>
      <c r="T17" s="944"/>
      <c r="U17" s="945"/>
    </row>
    <row r="18" spans="1:32" s="918" customFormat="1" ht="12.75" customHeight="1" x14ac:dyDescent="0.2">
      <c r="A18" s="932"/>
      <c r="B18" s="932"/>
      <c r="C18" s="932"/>
      <c r="D18" s="932"/>
      <c r="E18" s="922"/>
      <c r="F18" s="923"/>
      <c r="G18" s="2380" t="s">
        <v>58</v>
      </c>
      <c r="H18" s="2381"/>
      <c r="I18" s="2381"/>
      <c r="J18" s="2382"/>
      <c r="K18" s="934"/>
      <c r="L18" s="934"/>
      <c r="M18" s="922"/>
      <c r="N18" s="923"/>
      <c r="O18" s="933"/>
      <c r="P18" s="923"/>
      <c r="Q18" s="923"/>
      <c r="R18" s="923"/>
      <c r="S18" s="2387">
        <f>Projektdaten!I36</f>
        <v>0</v>
      </c>
      <c r="T18" s="2388"/>
      <c r="U18" s="1334" t="s">
        <v>5</v>
      </c>
      <c r="W18" s="1335"/>
      <c r="X18" s="990"/>
      <c r="AC18" s="621" t="s">
        <v>514</v>
      </c>
      <c r="AD18" s="622"/>
      <c r="AE18" s="622"/>
      <c r="AF18" s="623"/>
    </row>
    <row r="19" spans="1:32" s="918" customFormat="1" ht="12.75" customHeight="1" x14ac:dyDescent="0.2">
      <c r="A19" s="2397"/>
      <c r="B19" s="2397"/>
      <c r="C19" s="1101"/>
      <c r="D19" s="1095">
        <v>1</v>
      </c>
      <c r="E19" s="925">
        <f>IF(M19,M19/IF(ISBLANK(J20),I20,J20)*IF(D19,D19,1),0)</f>
        <v>0</v>
      </c>
      <c r="F19" s="930" t="s">
        <v>5</v>
      </c>
      <c r="G19" s="936" t="s">
        <v>61</v>
      </c>
      <c r="H19" s="2383"/>
      <c r="I19" s="2383"/>
      <c r="J19" s="948" t="s">
        <v>62</v>
      </c>
      <c r="K19" s="925"/>
      <c r="L19" s="925"/>
      <c r="M19" s="591"/>
      <c r="N19" s="930" t="s">
        <v>5</v>
      </c>
      <c r="O19" s="933"/>
      <c r="P19" s="923"/>
      <c r="Q19" s="923"/>
      <c r="R19" s="923"/>
      <c r="S19" s="1336" t="s">
        <v>600</v>
      </c>
      <c r="T19" s="1337"/>
      <c r="U19" s="1338"/>
      <c r="W19" s="947"/>
      <c r="AC19" s="625" t="s">
        <v>46</v>
      </c>
      <c r="AD19" s="626"/>
      <c r="AE19" s="626"/>
      <c r="AF19" s="627"/>
    </row>
    <row r="20" spans="1:32" s="918" customFormat="1" ht="12.75" customHeight="1" thickBot="1" x14ac:dyDescent="0.25">
      <c r="A20" s="2400" t="str">
        <f>IF(AND(A19="Biogas",D19&lt;1),"Erdgas","")</f>
        <v/>
      </c>
      <c r="B20" s="2400"/>
      <c r="C20" s="1096"/>
      <c r="D20" s="1096">
        <f>IF(A19="Biogas",IF(D19,1-D19,0),0)</f>
        <v>0</v>
      </c>
      <c r="E20" s="949">
        <f>IF(AND(A19="Biogas",D19&lt;1),M19/IF(ISBLANK(J20),I20,J20)*D20,0)</f>
        <v>0</v>
      </c>
      <c r="F20" s="923"/>
      <c r="G20" s="950"/>
      <c r="H20" s="951" t="s">
        <v>57</v>
      </c>
      <c r="I20" s="600">
        <f>IF(ISBLANK(H19),0,IFERROR(HLOOKUP(A19,Grunddaten!H121:Y125,4,FALSE),Grunddaten!H124))</f>
        <v>0</v>
      </c>
      <c r="J20" s="613"/>
      <c r="K20" s="941"/>
      <c r="L20" s="941"/>
      <c r="M20" s="938"/>
      <c r="N20" s="923"/>
      <c r="O20" s="933"/>
      <c r="P20" s="923"/>
      <c r="Q20" s="923"/>
      <c r="R20" s="923"/>
      <c r="S20" s="2389">
        <f>S18*(1+P16)</f>
        <v>0</v>
      </c>
      <c r="T20" s="2390"/>
      <c r="U20" s="946" t="s">
        <v>5</v>
      </c>
      <c r="W20" s="947"/>
      <c r="AC20" s="630" t="s">
        <v>516</v>
      </c>
      <c r="AD20" s="631"/>
      <c r="AE20" s="631"/>
      <c r="AF20" s="632"/>
    </row>
    <row r="21" spans="1:32" s="918" customFormat="1" ht="12.75" customHeight="1" thickBot="1" x14ac:dyDescent="0.25">
      <c r="A21" s="932"/>
      <c r="B21" s="932"/>
      <c r="C21" s="932"/>
      <c r="D21" s="932"/>
      <c r="E21" s="922"/>
      <c r="F21" s="923"/>
      <c r="G21" s="922"/>
      <c r="H21" s="922"/>
      <c r="I21" s="922"/>
      <c r="J21" s="922"/>
      <c r="K21" s="923"/>
      <c r="L21" s="923"/>
      <c r="M21" s="922"/>
      <c r="N21" s="923"/>
      <c r="O21" s="933"/>
      <c r="P21" s="923"/>
      <c r="Q21" s="923"/>
      <c r="R21" s="923"/>
      <c r="AC21" s="662"/>
      <c r="AD21" s="662"/>
      <c r="AE21" s="662"/>
      <c r="AF21" s="662"/>
    </row>
    <row r="22" spans="1:32" s="918" customFormat="1" ht="12.75" customHeight="1" x14ac:dyDescent="0.2">
      <c r="A22" s="932"/>
      <c r="B22" s="932"/>
      <c r="C22" s="932"/>
      <c r="D22" s="932"/>
      <c r="E22" s="922"/>
      <c r="F22" s="923"/>
      <c r="G22" s="2380" t="s">
        <v>59</v>
      </c>
      <c r="H22" s="2381"/>
      <c r="I22" s="2381"/>
      <c r="J22" s="2382"/>
      <c r="K22" s="934"/>
      <c r="L22" s="934"/>
      <c r="M22" s="922"/>
      <c r="N22" s="923"/>
      <c r="O22" s="933"/>
      <c r="P22" s="923"/>
      <c r="Q22" s="923"/>
      <c r="R22" s="923"/>
      <c r="AC22" s="957" t="s">
        <v>589</v>
      </c>
      <c r="AD22" s="958"/>
      <c r="AE22" s="958"/>
      <c r="AF22" s="959"/>
    </row>
    <row r="23" spans="1:32" s="918" customFormat="1" ht="12.75" customHeight="1" x14ac:dyDescent="0.2">
      <c r="A23" s="2397"/>
      <c r="B23" s="2397"/>
      <c r="C23" s="1101"/>
      <c r="D23" s="1095">
        <v>1</v>
      </c>
      <c r="E23" s="925">
        <f>IF(M23,M23/IF(ISBLANK(J24),I24,J24)*IF(D23,D23,1),0)</f>
        <v>0</v>
      </c>
      <c r="F23" s="930" t="s">
        <v>5</v>
      </c>
      <c r="G23" s="936" t="s">
        <v>61</v>
      </c>
      <c r="H23" s="2383"/>
      <c r="I23" s="2383"/>
      <c r="J23" s="948" t="s">
        <v>62</v>
      </c>
      <c r="K23" s="925"/>
      <c r="L23" s="925"/>
      <c r="M23" s="591"/>
      <c r="N23" s="930" t="s">
        <v>5</v>
      </c>
      <c r="O23" s="933"/>
      <c r="P23" s="923"/>
      <c r="Q23" s="923"/>
      <c r="R23" s="923"/>
      <c r="AC23" s="961" t="str">
        <f>G26</f>
        <v>Gasmotorwärmepumpe</v>
      </c>
      <c r="AD23" s="962"/>
      <c r="AE23" s="962"/>
      <c r="AF23" s="1290">
        <f>ROUND(IF(E26=0,0,H27*(1-1/IF(ISBLANK(J28),I28,J28))),0)</f>
        <v>0</v>
      </c>
    </row>
    <row r="24" spans="1:32" s="918" customFormat="1" ht="12.75" customHeight="1" thickBot="1" x14ac:dyDescent="0.25">
      <c r="A24" s="2400" t="str">
        <f>IF(AND(A23="Biogas",D23&lt;1),"Erdgas","")</f>
        <v/>
      </c>
      <c r="B24" s="2400"/>
      <c r="C24" s="1096"/>
      <c r="D24" s="1096">
        <f>IF(A23="Biogas",IF(D23,1-D23,0),0)</f>
        <v>0</v>
      </c>
      <c r="E24" s="949">
        <f>IF(AND(A23="Biogas",D23&lt;1),M23/IF(ISBLANK(J24),I24,J24)*D24,0)</f>
        <v>0</v>
      </c>
      <c r="F24" s="923"/>
      <c r="G24" s="950"/>
      <c r="H24" s="951" t="s">
        <v>57</v>
      </c>
      <c r="I24" s="600">
        <f>IF(ISBLANK(H23),0,IFERROR(HLOOKUP(A23,Grunddaten!H121:Y125,4,FALSE),Grunddaten!H124))</f>
        <v>0</v>
      </c>
      <c r="J24" s="613"/>
      <c r="K24" s="941"/>
      <c r="L24" s="941"/>
      <c r="M24" s="938"/>
      <c r="N24" s="923"/>
      <c r="O24" s="933"/>
      <c r="P24" s="923"/>
      <c r="Q24" s="923"/>
      <c r="R24" s="923"/>
      <c r="AC24" s="961" t="str">
        <f>G31</f>
        <v>Wärmepumpe 1</v>
      </c>
      <c r="AD24" s="962"/>
      <c r="AE24" s="962"/>
      <c r="AF24" s="1290">
        <f>ROUND(IF(E31=0,0,H32*(1-1/IF(ISBLANK(J33),I33,J33))),0)</f>
        <v>0</v>
      </c>
    </row>
    <row r="25" spans="1:32" s="918" customFormat="1" ht="12.75" customHeight="1" thickBot="1" x14ac:dyDescent="0.25">
      <c r="A25" s="616"/>
      <c r="B25" s="616"/>
      <c r="C25" s="617"/>
      <c r="D25" s="617"/>
      <c r="E25" s="952"/>
      <c r="F25" s="923"/>
      <c r="G25" s="922"/>
      <c r="H25" s="922"/>
      <c r="I25" s="922"/>
      <c r="J25" s="922"/>
      <c r="K25" s="941"/>
      <c r="L25" s="941"/>
      <c r="M25" s="938"/>
      <c r="N25" s="923"/>
      <c r="O25" s="933"/>
      <c r="P25" s="923"/>
      <c r="Q25" s="923"/>
      <c r="R25" s="923"/>
      <c r="S25" s="923"/>
      <c r="T25" s="923"/>
      <c r="U25" s="923"/>
      <c r="AC25" s="967" t="str">
        <f>G35</f>
        <v>Wärmepumpe 2</v>
      </c>
      <c r="AD25" s="968"/>
      <c r="AE25" s="968"/>
      <c r="AF25" s="1291">
        <f>ROUND(IF(E35=0,0,H36*(1-1/IF(ISBLANK(J37),I37,J37))),0)</f>
        <v>0</v>
      </c>
    </row>
    <row r="26" spans="1:32" s="918" customFormat="1" ht="12.75" customHeight="1" x14ac:dyDescent="0.2">
      <c r="A26" s="2397"/>
      <c r="B26" s="2397"/>
      <c r="C26" s="953"/>
      <c r="D26" s="1001"/>
      <c r="E26" s="954">
        <f>M27-E28-E29</f>
        <v>0</v>
      </c>
      <c r="F26" s="930" t="s">
        <v>5</v>
      </c>
      <c r="G26" s="2380" t="s">
        <v>304</v>
      </c>
      <c r="H26" s="2381"/>
      <c r="I26" s="2381"/>
      <c r="J26" s="2382"/>
      <c r="K26" s="941"/>
      <c r="L26" s="941"/>
      <c r="M26" s="938"/>
      <c r="N26" s="923"/>
      <c r="O26" s="933"/>
      <c r="P26" s="923"/>
      <c r="Q26" s="923"/>
      <c r="R26" s="923"/>
      <c r="S26" s="923"/>
      <c r="T26" s="923"/>
      <c r="U26" s="923"/>
      <c r="AC26" s="578"/>
      <c r="AD26" s="578"/>
      <c r="AE26" s="578"/>
      <c r="AF26" s="578"/>
    </row>
    <row r="27" spans="1:32" s="918" customFormat="1" ht="12.75" customHeight="1" x14ac:dyDescent="0.2">
      <c r="A27" s="616"/>
      <c r="B27" s="616"/>
      <c r="C27" s="617"/>
      <c r="D27" s="617"/>
      <c r="E27" s="952"/>
      <c r="F27" s="923"/>
      <c r="G27" s="936" t="s">
        <v>61</v>
      </c>
      <c r="H27" s="2383"/>
      <c r="I27" s="2383"/>
      <c r="J27" s="948" t="s">
        <v>62</v>
      </c>
      <c r="K27" s="925"/>
      <c r="L27" s="925"/>
      <c r="M27" s="591"/>
      <c r="N27" s="930" t="s">
        <v>5</v>
      </c>
      <c r="O27" s="933"/>
      <c r="P27" s="923"/>
      <c r="Q27" s="923"/>
      <c r="R27" s="923"/>
      <c r="S27" s="923"/>
      <c r="T27" s="923"/>
      <c r="U27" s="923"/>
      <c r="AC27" s="957" t="s">
        <v>591</v>
      </c>
      <c r="AD27" s="958"/>
      <c r="AE27" s="958"/>
      <c r="AF27" s="959"/>
    </row>
    <row r="28" spans="1:32" s="918" customFormat="1" ht="12.75" customHeight="1" thickBot="1" x14ac:dyDescent="0.25">
      <c r="A28" s="2397"/>
      <c r="B28" s="2397"/>
      <c r="C28" s="1101"/>
      <c r="D28" s="1095">
        <v>1</v>
      </c>
      <c r="E28" s="925">
        <f>IF(M27,M27/IF(ISBLANK(J28),I28,J28)*IF(D28,D28,1),0)</f>
        <v>0</v>
      </c>
      <c r="F28" s="930" t="s">
        <v>5</v>
      </c>
      <c r="G28" s="950"/>
      <c r="H28" s="951" t="s">
        <v>76</v>
      </c>
      <c r="I28" s="600">
        <f>IF(ISBLANK(H27),0,IFERROR(HLOOKUP(A26,Grunddaten!H126:Y130,2,FALSE),Grunddaten!H127))</f>
        <v>0</v>
      </c>
      <c r="J28" s="613"/>
      <c r="K28" s="923"/>
      <c r="L28" s="923"/>
      <c r="M28" s="922"/>
      <c r="N28" s="923"/>
      <c r="O28" s="933"/>
      <c r="P28" s="923"/>
      <c r="Q28" s="923"/>
      <c r="R28" s="923"/>
      <c r="T28" s="955"/>
      <c r="U28" s="955"/>
      <c r="V28" s="956"/>
      <c r="AC28" s="961" t="s">
        <v>611</v>
      </c>
      <c r="AD28" s="962"/>
      <c r="AE28" s="962"/>
      <c r="AF28" s="1290">
        <f>I10</f>
        <v>0</v>
      </c>
    </row>
    <row r="29" spans="1:32" s="918" customFormat="1" ht="12.75" customHeight="1" x14ac:dyDescent="0.2">
      <c r="A29" s="2400" t="str">
        <f>IF(AND(A28="Biogas",D28&lt;1),"Erdgas","")</f>
        <v/>
      </c>
      <c r="B29" s="2400"/>
      <c r="C29" s="1096"/>
      <c r="D29" s="1096">
        <f>IF(A28="Biogas",IF(D28,1-D28,0),0)</f>
        <v>0</v>
      </c>
      <c r="E29" s="949">
        <f>IF(AND(A28="Biogas",D28&lt;1),M27/IF(ISBLANK(J28),I28,J28)*D29,0)</f>
        <v>0</v>
      </c>
      <c r="F29" s="923"/>
      <c r="G29" s="922"/>
      <c r="H29" s="922"/>
      <c r="I29" s="922"/>
      <c r="J29" s="922"/>
      <c r="K29" s="923"/>
      <c r="L29" s="923"/>
      <c r="M29" s="922"/>
      <c r="N29" s="923"/>
      <c r="O29" s="933"/>
      <c r="P29" s="2411" t="s">
        <v>602</v>
      </c>
      <c r="Q29" s="2415"/>
      <c r="R29" s="1399"/>
      <c r="S29" s="2380" t="s">
        <v>603</v>
      </c>
      <c r="T29" s="2381"/>
      <c r="U29" s="2382"/>
      <c r="AC29" s="967" t="s">
        <v>305</v>
      </c>
      <c r="AD29" s="968"/>
      <c r="AE29" s="968"/>
      <c r="AF29" s="1291">
        <f>IF(AND(H40&gt;0,A41=AC19),H40/IF(J41,J41,I41),0)</f>
        <v>0</v>
      </c>
    </row>
    <row r="30" spans="1:32" s="918" customFormat="1" ht="12.75" customHeight="1" thickBot="1" x14ac:dyDescent="0.25">
      <c r="A30" s="616"/>
      <c r="B30" s="616"/>
      <c r="C30" s="617"/>
      <c r="D30" s="617"/>
      <c r="E30" s="952"/>
      <c r="F30" s="923"/>
      <c r="G30" s="922"/>
      <c r="H30" s="922"/>
      <c r="I30" s="922"/>
      <c r="J30" s="922"/>
      <c r="K30" s="923"/>
      <c r="L30" s="923"/>
      <c r="M30" s="922"/>
      <c r="N30" s="923"/>
      <c r="O30" s="933"/>
      <c r="P30" s="2413" t="s">
        <v>601</v>
      </c>
      <c r="Q30" s="2416"/>
      <c r="R30" s="923"/>
      <c r="S30" s="2384"/>
      <c r="T30" s="2385"/>
      <c r="U30" s="2386"/>
      <c r="AC30" s="967" t="s">
        <v>592</v>
      </c>
      <c r="AD30" s="968"/>
      <c r="AE30" s="968"/>
      <c r="AF30" s="1291">
        <f>ROUNDUP(SUM(AF28:AF29),-1)</f>
        <v>0</v>
      </c>
    </row>
    <row r="31" spans="1:32" s="918" customFormat="1" ht="12.75" customHeight="1" x14ac:dyDescent="0.2">
      <c r="A31" s="2397"/>
      <c r="B31" s="2397"/>
      <c r="C31" s="953"/>
      <c r="D31" s="1249"/>
      <c r="E31" s="954">
        <f>M32-E33</f>
        <v>0</v>
      </c>
      <c r="F31" s="930" t="s">
        <v>5</v>
      </c>
      <c r="G31" s="2380" t="s">
        <v>75</v>
      </c>
      <c r="H31" s="2381"/>
      <c r="I31" s="2381"/>
      <c r="J31" s="2382"/>
      <c r="K31" s="934"/>
      <c r="L31" s="934"/>
      <c r="M31" s="922"/>
      <c r="N31" s="923"/>
      <c r="O31" s="942"/>
      <c r="P31" s="2410"/>
      <c r="Q31" s="2410"/>
      <c r="R31" s="935"/>
      <c r="S31" s="2406"/>
      <c r="T31" s="2407"/>
      <c r="U31" s="2408"/>
    </row>
    <row r="32" spans="1:32" s="918" customFormat="1" ht="12.75" customHeight="1" x14ac:dyDescent="0.2">
      <c r="A32" s="932"/>
      <c r="B32" s="932"/>
      <c r="C32" s="932"/>
      <c r="D32" s="932"/>
      <c r="E32" s="960"/>
      <c r="F32" s="923"/>
      <c r="G32" s="936" t="s">
        <v>61</v>
      </c>
      <c r="H32" s="2383"/>
      <c r="I32" s="2383"/>
      <c r="J32" s="948" t="s">
        <v>62</v>
      </c>
      <c r="K32" s="925"/>
      <c r="L32" s="925"/>
      <c r="M32" s="591"/>
      <c r="N32" s="930" t="s">
        <v>5</v>
      </c>
      <c r="O32" s="933"/>
      <c r="P32" s="2373" t="s">
        <v>641</v>
      </c>
      <c r="Q32" s="2374"/>
      <c r="R32" s="923"/>
      <c r="S32" s="1336" t="s">
        <v>81</v>
      </c>
      <c r="T32" s="944"/>
      <c r="U32" s="945"/>
    </row>
    <row r="33" spans="1:29" s="918" customFormat="1" ht="12.75" customHeight="1" thickBot="1" x14ac:dyDescent="0.25">
      <c r="A33" s="932"/>
      <c r="B33" s="932"/>
      <c r="C33" s="964"/>
      <c r="D33" s="924"/>
      <c r="E33" s="954">
        <f>IF(M32,M32/IF(ISBLANK(J33),I33,J33),0)</f>
        <v>0</v>
      </c>
      <c r="F33" s="930" t="s">
        <v>5</v>
      </c>
      <c r="G33" s="950"/>
      <c r="H33" s="951" t="s">
        <v>76</v>
      </c>
      <c r="I33" s="600">
        <f>IF(ISBLANK(H32),0,IFERROR(HLOOKUP(A31,Grunddaten!H126:Y130,3,FALSE),Grunddaten!H128))</f>
        <v>0</v>
      </c>
      <c r="J33" s="613"/>
      <c r="K33" s="941"/>
      <c r="L33" s="941"/>
      <c r="M33" s="938"/>
      <c r="N33" s="923"/>
      <c r="O33" s="933"/>
      <c r="P33" s="923"/>
      <c r="Q33" s="923"/>
      <c r="R33" s="923"/>
      <c r="S33" s="2387">
        <f>Projektdaten!I38</f>
        <v>0</v>
      </c>
      <c r="T33" s="2388"/>
      <c r="U33" s="1334" t="s">
        <v>5</v>
      </c>
      <c r="W33" s="1335"/>
      <c r="X33" s="990"/>
    </row>
    <row r="34" spans="1:29" s="918" customFormat="1" ht="12.75" customHeight="1" thickBot="1" x14ac:dyDescent="0.25">
      <c r="A34" s="932"/>
      <c r="B34" s="932"/>
      <c r="C34" s="965"/>
      <c r="D34" s="932"/>
      <c r="E34" s="960"/>
      <c r="F34" s="923"/>
      <c r="G34" s="922"/>
      <c r="H34" s="922"/>
      <c r="I34" s="922"/>
      <c r="J34" s="922"/>
      <c r="K34" s="923"/>
      <c r="L34" s="923"/>
      <c r="M34" s="922"/>
      <c r="N34" s="923"/>
      <c r="O34" s="933"/>
      <c r="P34" s="923"/>
      <c r="Q34" s="923"/>
      <c r="R34" s="923"/>
      <c r="S34" s="1336" t="s">
        <v>600</v>
      </c>
      <c r="T34" s="1337"/>
      <c r="U34" s="1338"/>
    </row>
    <row r="35" spans="1:29" s="918" customFormat="1" ht="12.75" customHeight="1" thickBot="1" x14ac:dyDescent="0.25">
      <c r="A35" s="2397"/>
      <c r="B35" s="2397"/>
      <c r="C35" s="953"/>
      <c r="D35" s="953"/>
      <c r="E35" s="954">
        <f>M36-E37</f>
        <v>0</v>
      </c>
      <c r="F35" s="930" t="s">
        <v>5</v>
      </c>
      <c r="G35" s="2417" t="s">
        <v>82</v>
      </c>
      <c r="H35" s="2418"/>
      <c r="I35" s="2418"/>
      <c r="J35" s="2419"/>
      <c r="K35" s="934"/>
      <c r="L35" s="934"/>
      <c r="M35" s="922"/>
      <c r="N35" s="923"/>
      <c r="O35" s="933"/>
      <c r="P35" s="923"/>
      <c r="Q35" s="923"/>
      <c r="S35" s="2389">
        <f>S33*(1+P31)</f>
        <v>0</v>
      </c>
      <c r="T35" s="2390"/>
      <c r="U35" s="946" t="s">
        <v>5</v>
      </c>
    </row>
    <row r="36" spans="1:29" s="918" customFormat="1" ht="12.75" customHeight="1" x14ac:dyDescent="0.2">
      <c r="A36" s="932"/>
      <c r="B36" s="932"/>
      <c r="C36" s="965"/>
      <c r="D36" s="932"/>
      <c r="E36" s="960"/>
      <c r="F36" s="923"/>
      <c r="G36" s="936" t="s">
        <v>61</v>
      </c>
      <c r="H36" s="2383"/>
      <c r="I36" s="2383"/>
      <c r="J36" s="948" t="s">
        <v>62</v>
      </c>
      <c r="K36" s="925"/>
      <c r="L36" s="925"/>
      <c r="M36" s="591"/>
      <c r="N36" s="930" t="s">
        <v>5</v>
      </c>
      <c r="O36" s="933"/>
      <c r="P36" s="923"/>
      <c r="Q36" s="923"/>
    </row>
    <row r="37" spans="1:29" s="918" customFormat="1" ht="12.75" customHeight="1" thickBot="1" x14ac:dyDescent="0.25">
      <c r="A37" s="932"/>
      <c r="B37" s="932"/>
      <c r="C37" s="972"/>
      <c r="D37" s="924"/>
      <c r="E37" s="954">
        <f>IF(M36,M36/IF(ISBLANK(J37),I37,J37),0)</f>
        <v>0</v>
      </c>
      <c r="F37" s="930" t="s">
        <v>5</v>
      </c>
      <c r="G37" s="950"/>
      <c r="H37" s="951" t="s">
        <v>76</v>
      </c>
      <c r="I37" s="600">
        <f>IF(ISBLANK(H36),0,IFERROR(HLOOKUP(A35,Grunddaten!H126:Y130,3,FALSE),Grunddaten!H128))</f>
        <v>0</v>
      </c>
      <c r="J37" s="613"/>
      <c r="K37" s="941"/>
      <c r="L37" s="941"/>
      <c r="M37" s="938"/>
      <c r="N37" s="923"/>
      <c r="O37" s="933"/>
      <c r="P37" s="923"/>
      <c r="Q37" s="923"/>
      <c r="R37" s="923"/>
      <c r="S37" s="966" t="s">
        <v>99</v>
      </c>
      <c r="T37" s="923"/>
      <c r="U37" s="923"/>
      <c r="AC37" s="971"/>
    </row>
    <row r="38" spans="1:29" s="918" customFormat="1" ht="12.75" customHeight="1" thickBot="1" x14ac:dyDescent="0.25">
      <c r="A38" s="932"/>
      <c r="B38" s="932"/>
      <c r="C38" s="965"/>
      <c r="D38" s="932"/>
      <c r="E38" s="922"/>
      <c r="F38" s="923"/>
      <c r="G38" s="922"/>
      <c r="H38" s="922"/>
      <c r="I38" s="922"/>
      <c r="J38" s="922"/>
      <c r="K38" s="923"/>
      <c r="L38" s="923"/>
      <c r="M38" s="922"/>
      <c r="N38" s="923"/>
      <c r="O38" s="933"/>
      <c r="P38" s="923"/>
      <c r="Q38" s="923"/>
      <c r="R38" s="923"/>
      <c r="S38" s="2392" t="e">
        <f>ROUND((M10+M12+M15+M19+M23+M27+M32+M36+M39+M43+M47+M58+R58)/(S20+S35),2)</f>
        <v>#DIV/0!</v>
      </c>
      <c r="T38" s="2392"/>
      <c r="U38" s="923"/>
    </row>
    <row r="39" spans="1:29" s="918" customFormat="1" ht="12.75" customHeight="1" x14ac:dyDescent="0.2">
      <c r="A39" s="930"/>
      <c r="B39" s="925">
        <f>M41+E41-M39</f>
        <v>0</v>
      </c>
      <c r="C39" s="973" t="s">
        <v>5</v>
      </c>
      <c r="D39" s="924"/>
      <c r="E39" s="924"/>
      <c r="F39" s="974" t="s">
        <v>91</v>
      </c>
      <c r="G39" s="2380" t="s">
        <v>305</v>
      </c>
      <c r="H39" s="2381"/>
      <c r="I39" s="2381"/>
      <c r="J39" s="2382"/>
      <c r="K39" s="975" t="s">
        <v>146</v>
      </c>
      <c r="L39" s="925"/>
      <c r="M39" s="591"/>
      <c r="N39" s="930" t="s">
        <v>5</v>
      </c>
      <c r="O39" s="933"/>
      <c r="P39" s="923"/>
      <c r="Q39" s="923"/>
      <c r="R39" s="1342"/>
      <c r="S39" s="2393">
        <f>ROUND((M10+M12+M15+M19+M23+M27+M32+M36+M39+M43+M47+M58+R58)-(S20+S35),-2)</f>
        <v>0</v>
      </c>
      <c r="T39" s="2393"/>
      <c r="U39" s="2393"/>
    </row>
    <row r="40" spans="1:29" s="918" customFormat="1" ht="12.75" customHeight="1" x14ac:dyDescent="0.2">
      <c r="A40" s="976"/>
      <c r="B40" s="932"/>
      <c r="C40" s="965"/>
      <c r="D40" s="932"/>
      <c r="E40" s="922"/>
      <c r="F40" s="923"/>
      <c r="G40" s="936" t="s">
        <v>61</v>
      </c>
      <c r="H40" s="2383"/>
      <c r="I40" s="2383"/>
      <c r="J40" s="948" t="s">
        <v>62</v>
      </c>
      <c r="K40" s="923"/>
      <c r="L40" s="923"/>
      <c r="M40" s="922"/>
      <c r="N40" s="923"/>
      <c r="O40" s="933"/>
      <c r="P40" s="923"/>
      <c r="Q40" s="931"/>
      <c r="R40" s="923"/>
      <c r="S40" s="923"/>
      <c r="T40" s="923"/>
      <c r="U40" s="923"/>
    </row>
    <row r="41" spans="1:29" s="918" customFormat="1" ht="12.75" customHeight="1" thickBot="1" x14ac:dyDescent="0.25">
      <c r="A41" s="2379"/>
      <c r="B41" s="2379"/>
      <c r="C41" s="585"/>
      <c r="D41" s="585"/>
      <c r="E41" s="585">
        <f>IF(M41,M41/IF(ISBLANK(J41),I41,J41),0)</f>
        <v>0</v>
      </c>
      <c r="F41" s="590" t="s">
        <v>5</v>
      </c>
      <c r="G41" s="950"/>
      <c r="H41" s="951" t="s">
        <v>76</v>
      </c>
      <c r="I41" s="600">
        <f>IF(ISBLANK(H40),0,Grunddaten!H130)</f>
        <v>0</v>
      </c>
      <c r="J41" s="613"/>
      <c r="K41" s="930"/>
      <c r="L41" s="930"/>
      <c r="M41" s="591"/>
      <c r="N41" s="927" t="s">
        <v>5</v>
      </c>
      <c r="O41" s="930"/>
      <c r="P41" s="930"/>
      <c r="Q41" s="977"/>
      <c r="R41" s="923"/>
      <c r="S41" s="923"/>
      <c r="T41" s="923"/>
      <c r="U41" s="923"/>
    </row>
    <row r="42" spans="1:29" s="918" customFormat="1" ht="12.75" customHeight="1" thickBot="1" x14ac:dyDescent="0.25">
      <c r="A42" s="923"/>
      <c r="B42" s="978"/>
      <c r="C42" s="965"/>
      <c r="D42" s="932"/>
      <c r="E42" s="922"/>
      <c r="F42" s="923"/>
      <c r="G42" s="922"/>
      <c r="H42" s="922"/>
      <c r="I42" s="922"/>
      <c r="J42" s="922"/>
      <c r="K42" s="934"/>
      <c r="L42" s="934"/>
      <c r="M42" s="922"/>
      <c r="N42" s="923"/>
      <c r="O42" s="933"/>
      <c r="P42" s="923"/>
      <c r="Q42" s="933"/>
      <c r="R42" s="1400" t="s">
        <v>602</v>
      </c>
      <c r="S42" s="2380" t="s">
        <v>56</v>
      </c>
      <c r="T42" s="2381"/>
      <c r="U42" s="2382"/>
    </row>
    <row r="43" spans="1:29" s="918" customFormat="1" ht="12.75" customHeight="1" x14ac:dyDescent="0.2">
      <c r="A43" s="930"/>
      <c r="B43" s="925">
        <f>M45+E45-M43</f>
        <v>0</v>
      </c>
      <c r="C43" s="973" t="s">
        <v>5</v>
      </c>
      <c r="D43" s="924"/>
      <c r="E43" s="924"/>
      <c r="F43" s="974" t="s">
        <v>91</v>
      </c>
      <c r="G43" s="2380" t="s">
        <v>90</v>
      </c>
      <c r="H43" s="2381"/>
      <c r="I43" s="2381"/>
      <c r="J43" s="2382"/>
      <c r="K43" s="975" t="s">
        <v>146</v>
      </c>
      <c r="L43" s="925"/>
      <c r="M43" s="591"/>
      <c r="N43" s="930" t="s">
        <v>5</v>
      </c>
      <c r="O43" s="933"/>
      <c r="P43" s="923"/>
      <c r="Q43" s="933"/>
      <c r="R43" s="1400" t="s">
        <v>601</v>
      </c>
      <c r="S43" s="2384"/>
      <c r="T43" s="2385"/>
      <c r="U43" s="2386"/>
    </row>
    <row r="44" spans="1:29" s="918" customFormat="1" ht="12.75" customHeight="1" x14ac:dyDescent="0.2">
      <c r="A44" s="923"/>
      <c r="B44" s="932"/>
      <c r="C44" s="965"/>
      <c r="D44" s="932"/>
      <c r="E44" s="922"/>
      <c r="F44" s="923"/>
      <c r="G44" s="936" t="s">
        <v>61</v>
      </c>
      <c r="H44" s="2383"/>
      <c r="I44" s="2383"/>
      <c r="J44" s="948" t="s">
        <v>62</v>
      </c>
      <c r="K44" s="923"/>
      <c r="L44" s="923"/>
      <c r="M44" s="938"/>
      <c r="N44" s="923"/>
      <c r="O44" s="979"/>
      <c r="P44" s="923"/>
      <c r="Q44" s="933"/>
      <c r="R44" s="1398"/>
      <c r="S44" s="2384"/>
      <c r="T44" s="2385"/>
      <c r="U44" s="2386"/>
    </row>
    <row r="45" spans="1:29" s="918" customFormat="1" ht="12.75" customHeight="1" thickBot="1" x14ac:dyDescent="0.25">
      <c r="A45" s="932"/>
      <c r="B45" s="932"/>
      <c r="C45" s="972"/>
      <c r="D45" s="924"/>
      <c r="E45" s="925">
        <f>IF(M45,M45/IF(ISBLANK(J45),I45,J45),0)</f>
        <v>0</v>
      </c>
      <c r="F45" s="930" t="s">
        <v>5</v>
      </c>
      <c r="G45" s="950"/>
      <c r="H45" s="951" t="s">
        <v>76</v>
      </c>
      <c r="I45" s="600">
        <f>IF(ISBLANK(H44),0,Grunddaten!H129)</f>
        <v>0</v>
      </c>
      <c r="J45" s="613"/>
      <c r="K45" s="930"/>
      <c r="L45" s="930"/>
      <c r="M45" s="591"/>
      <c r="N45" s="927" t="s">
        <v>5</v>
      </c>
      <c r="O45" s="930"/>
      <c r="P45" s="930"/>
      <c r="Q45" s="977"/>
      <c r="R45" s="1400" t="s">
        <v>641</v>
      </c>
      <c r="S45" s="1336" t="s">
        <v>81</v>
      </c>
      <c r="T45" s="944"/>
      <c r="U45" s="945"/>
    </row>
    <row r="46" spans="1:29" s="918" customFormat="1" ht="12.75" customHeight="1" thickBot="1" x14ac:dyDescent="0.25">
      <c r="A46" s="923"/>
      <c r="B46" s="932"/>
      <c r="C46" s="965"/>
      <c r="D46" s="932"/>
      <c r="E46" s="922"/>
      <c r="F46" s="923"/>
      <c r="G46" s="922"/>
      <c r="H46" s="922"/>
      <c r="I46" s="922"/>
      <c r="J46" s="922"/>
      <c r="K46" s="923"/>
      <c r="L46" s="923"/>
      <c r="M46" s="922"/>
      <c r="N46" s="923"/>
      <c r="O46" s="931"/>
      <c r="P46" s="923"/>
      <c r="Q46" s="933"/>
      <c r="R46" s="923"/>
      <c r="S46" s="2387">
        <f>Projektdaten!I40</f>
        <v>0</v>
      </c>
      <c r="T46" s="2388"/>
      <c r="U46" s="1334" t="s">
        <v>5</v>
      </c>
    </row>
    <row r="47" spans="1:29" s="918" customFormat="1" ht="12.75" customHeight="1" x14ac:dyDescent="0.2">
      <c r="A47" s="930"/>
      <c r="B47" s="925">
        <f>M49+E49-M47</f>
        <v>0</v>
      </c>
      <c r="C47" s="973" t="s">
        <v>5</v>
      </c>
      <c r="D47" s="924"/>
      <c r="E47" s="924"/>
      <c r="F47" s="974" t="s">
        <v>91</v>
      </c>
      <c r="G47" s="2380" t="s">
        <v>177</v>
      </c>
      <c r="H47" s="2381"/>
      <c r="I47" s="2381"/>
      <c r="J47" s="2382"/>
      <c r="K47" s="975" t="s">
        <v>146</v>
      </c>
      <c r="L47" s="925"/>
      <c r="M47" s="591"/>
      <c r="N47" s="930" t="s">
        <v>5</v>
      </c>
      <c r="O47" s="933"/>
      <c r="P47" s="923"/>
      <c r="Q47" s="933"/>
      <c r="S47" s="1336" t="s">
        <v>600</v>
      </c>
      <c r="T47" s="944"/>
      <c r="U47" s="945"/>
    </row>
    <row r="48" spans="1:29" s="918" customFormat="1" ht="12.75" customHeight="1" thickBot="1" x14ac:dyDescent="0.25">
      <c r="A48" s="923"/>
      <c r="B48" s="932"/>
      <c r="C48" s="965"/>
      <c r="D48" s="932"/>
      <c r="E48" s="922"/>
      <c r="F48" s="923"/>
      <c r="G48" s="936" t="s">
        <v>61</v>
      </c>
      <c r="H48" s="2383"/>
      <c r="I48" s="2383"/>
      <c r="J48" s="948" t="s">
        <v>62</v>
      </c>
      <c r="K48" s="923"/>
      <c r="L48" s="923"/>
      <c r="M48" s="938"/>
      <c r="N48" s="923"/>
      <c r="O48" s="979"/>
      <c r="P48" s="923"/>
      <c r="Q48" s="933"/>
      <c r="S48" s="2389">
        <f>S46*(1+R44)</f>
        <v>0</v>
      </c>
      <c r="T48" s="2390"/>
      <c r="U48" s="946" t="s">
        <v>5</v>
      </c>
    </row>
    <row r="49" spans="1:32" s="918" customFormat="1" ht="12.75" customHeight="1" thickBot="1" x14ac:dyDescent="0.25">
      <c r="A49" s="932"/>
      <c r="B49" s="932"/>
      <c r="C49" s="972"/>
      <c r="D49" s="924"/>
      <c r="E49" s="925">
        <f>IF(M49,M49/IF(ISBLANK(J49),I49,J49),0)</f>
        <v>0</v>
      </c>
      <c r="F49" s="930" t="s">
        <v>5</v>
      </c>
      <c r="G49" s="950"/>
      <c r="H49" s="951" t="s">
        <v>76</v>
      </c>
      <c r="I49" s="600">
        <f>IF(ISBLANK(H48),0,Grunddaten!H129)</f>
        <v>0</v>
      </c>
      <c r="J49" s="613"/>
      <c r="K49" s="930"/>
      <c r="L49" s="930"/>
      <c r="M49" s="591"/>
      <c r="N49" s="927" t="s">
        <v>5</v>
      </c>
      <c r="O49" s="930"/>
      <c r="P49" s="930"/>
      <c r="Q49" s="977"/>
    </row>
    <row r="50" spans="1:32" s="918" customFormat="1" ht="12.75" customHeight="1" thickBot="1" x14ac:dyDescent="0.25">
      <c r="A50" s="932"/>
      <c r="B50" s="932"/>
      <c r="C50" s="965"/>
      <c r="D50" s="932"/>
      <c r="E50" s="922"/>
      <c r="F50" s="923"/>
      <c r="G50" s="922"/>
      <c r="H50" s="922"/>
      <c r="I50" s="922"/>
      <c r="J50" s="922"/>
      <c r="K50" s="923"/>
      <c r="L50" s="923"/>
      <c r="M50" s="922"/>
      <c r="N50" s="923"/>
      <c r="O50" s="931"/>
      <c r="P50" s="923"/>
      <c r="Q50" s="933"/>
      <c r="R50" s="923"/>
      <c r="S50" s="966" t="s">
        <v>99</v>
      </c>
    </row>
    <row r="51" spans="1:32" s="918" customFormat="1" ht="12.75" customHeight="1" x14ac:dyDescent="0.2">
      <c r="A51" s="930"/>
      <c r="B51" s="925">
        <f>M52+E53</f>
        <v>0</v>
      </c>
      <c r="C51" s="973" t="s">
        <v>5</v>
      </c>
      <c r="D51" s="924"/>
      <c r="E51" s="924"/>
      <c r="F51" s="974" t="s">
        <v>91</v>
      </c>
      <c r="G51" s="2380" t="s">
        <v>149</v>
      </c>
      <c r="H51" s="2381"/>
      <c r="I51" s="2381"/>
      <c r="J51" s="2382"/>
      <c r="K51" s="923"/>
      <c r="L51" s="923"/>
      <c r="M51" s="922"/>
      <c r="N51" s="923"/>
      <c r="O51" s="933"/>
      <c r="P51" s="923"/>
      <c r="Q51" s="933"/>
      <c r="R51" s="923"/>
      <c r="S51" s="1343" t="e">
        <f>ROUND((M41+M45+M49+M52+M55)/S48,2)</f>
        <v>#DIV/0!</v>
      </c>
      <c r="T51" s="923"/>
      <c r="U51" s="923"/>
      <c r="AE51" s="2371"/>
      <c r="AF51" s="2372"/>
    </row>
    <row r="52" spans="1:32" s="918" customFormat="1" ht="12.75" customHeight="1" x14ac:dyDescent="0.2">
      <c r="A52" s="932"/>
      <c r="B52" s="932"/>
      <c r="C52" s="965"/>
      <c r="D52" s="932"/>
      <c r="E52" s="922"/>
      <c r="F52" s="923"/>
      <c r="G52" s="936" t="s">
        <v>61</v>
      </c>
      <c r="H52" s="2383"/>
      <c r="I52" s="2383"/>
      <c r="J52" s="948" t="s">
        <v>62</v>
      </c>
      <c r="K52" s="930"/>
      <c r="L52" s="930"/>
      <c r="M52" s="591"/>
      <c r="N52" s="927" t="s">
        <v>5</v>
      </c>
      <c r="O52" s="930"/>
      <c r="P52" s="930"/>
      <c r="Q52" s="977"/>
      <c r="R52" s="923"/>
      <c r="S52" s="2393">
        <f>ROUND((M41+M45+M49+M52+M55)-S48,-2)</f>
        <v>0</v>
      </c>
      <c r="T52" s="2393"/>
      <c r="U52" s="2393"/>
    </row>
    <row r="53" spans="1:32" s="918" customFormat="1" ht="12.75" customHeight="1" thickBot="1" x14ac:dyDescent="0.25">
      <c r="A53" s="932"/>
      <c r="B53" s="932"/>
      <c r="C53" s="972"/>
      <c r="D53" s="924"/>
      <c r="E53" s="925">
        <f>IF(M52,M52/IF(ISBLANK(J53),I53,J53),0)</f>
        <v>0</v>
      </c>
      <c r="F53" s="930" t="s">
        <v>5</v>
      </c>
      <c r="G53" s="950"/>
      <c r="H53" s="951" t="s">
        <v>76</v>
      </c>
      <c r="I53" s="600">
        <f>IF(ISBLANK(H52),0,Grunddaten!H131)</f>
        <v>0</v>
      </c>
      <c r="J53" s="613"/>
      <c r="K53" s="923"/>
      <c r="L53" s="923"/>
      <c r="M53" s="922"/>
      <c r="N53" s="923"/>
      <c r="O53" s="933"/>
      <c r="P53" s="923"/>
      <c r="Q53" s="933"/>
      <c r="R53" s="923"/>
      <c r="S53" s="970"/>
      <c r="T53" s="923"/>
      <c r="U53" s="923"/>
    </row>
    <row r="54" spans="1:32" s="918" customFormat="1" ht="12.75" customHeight="1" x14ac:dyDescent="0.2">
      <c r="A54" s="932"/>
      <c r="B54" s="932"/>
      <c r="C54" s="965"/>
      <c r="D54" s="932"/>
      <c r="E54" s="922"/>
      <c r="F54" s="923"/>
      <c r="G54" s="922"/>
      <c r="H54" s="922"/>
      <c r="I54" s="922"/>
      <c r="J54" s="922"/>
      <c r="K54" s="923"/>
      <c r="L54" s="923"/>
      <c r="M54" s="922"/>
      <c r="N54" s="923"/>
      <c r="O54" s="933"/>
      <c r="P54" s="923"/>
      <c r="Q54" s="933"/>
      <c r="R54" s="923"/>
      <c r="S54" s="923"/>
      <c r="T54" s="923"/>
      <c r="U54" s="923"/>
    </row>
    <row r="55" spans="1:32" s="918" customFormat="1" ht="12.75" customHeight="1" x14ac:dyDescent="0.2">
      <c r="A55" s="1687" t="str">
        <f>Grunddaten!C56</f>
        <v>Kälteverbund XY</v>
      </c>
      <c r="B55" s="924"/>
      <c r="C55" s="924"/>
      <c r="D55" s="924"/>
      <c r="E55" s="925">
        <f>M55</f>
        <v>0</v>
      </c>
      <c r="F55" s="926" t="s">
        <v>5</v>
      </c>
      <c r="G55" s="927"/>
      <c r="H55" s="928" t="s">
        <v>294</v>
      </c>
      <c r="I55" s="588"/>
      <c r="J55" s="929" t="s">
        <v>62</v>
      </c>
      <c r="K55" s="930"/>
      <c r="L55" s="930"/>
      <c r="M55" s="591"/>
      <c r="N55" s="930" t="s">
        <v>5</v>
      </c>
      <c r="O55" s="930"/>
      <c r="P55" s="930"/>
      <c r="Q55" s="977"/>
      <c r="R55" s="923"/>
      <c r="S55" s="923"/>
      <c r="T55" s="923"/>
      <c r="U55" s="923"/>
    </row>
    <row r="56" spans="1:32" s="918" customFormat="1" ht="5.95" customHeight="1" x14ac:dyDescent="0.2">
      <c r="A56" s="1688"/>
      <c r="B56" s="980"/>
      <c r="C56" s="965"/>
      <c r="D56" s="980"/>
      <c r="E56" s="922"/>
      <c r="F56" s="1689"/>
      <c r="G56" s="981"/>
      <c r="H56" s="922"/>
      <c r="I56" s="922"/>
      <c r="J56" s="922"/>
      <c r="K56" s="956"/>
      <c r="L56" s="956"/>
      <c r="M56" s="922"/>
      <c r="N56" s="956"/>
      <c r="O56" s="933"/>
      <c r="P56" s="956"/>
      <c r="Q56" s="979"/>
      <c r="R56" s="923"/>
      <c r="S56" s="923"/>
      <c r="T56" s="923"/>
      <c r="U56" s="923"/>
    </row>
    <row r="57" spans="1:32" s="918" customFormat="1" ht="12.75" customHeight="1" thickBot="1" x14ac:dyDescent="0.25">
      <c r="A57" s="932"/>
      <c r="B57" s="932"/>
      <c r="C57" s="965"/>
      <c r="D57" s="980"/>
      <c r="E57" s="922"/>
      <c r="F57" s="956"/>
      <c r="G57" s="981"/>
      <c r="H57" s="922"/>
      <c r="I57" s="922"/>
      <c r="J57" s="922"/>
      <c r="K57" s="923"/>
      <c r="L57" s="923"/>
      <c r="M57" s="922"/>
      <c r="N57" s="922"/>
      <c r="O57" s="933"/>
      <c r="P57" s="922"/>
      <c r="Q57" s="982"/>
      <c r="R57" s="922"/>
      <c r="S57" s="970"/>
      <c r="T57" s="923"/>
      <c r="U57" s="923"/>
      <c r="AE57" s="2371"/>
      <c r="AF57" s="2372"/>
    </row>
    <row r="58" spans="1:32" s="918" customFormat="1" ht="12.75" customHeight="1" x14ac:dyDescent="0.2">
      <c r="A58" s="932"/>
      <c r="B58" s="932"/>
      <c r="C58" s="965"/>
      <c r="D58" s="932"/>
      <c r="E58" s="922"/>
      <c r="F58" s="923"/>
      <c r="G58" s="2380" t="s">
        <v>174</v>
      </c>
      <c r="H58" s="2381"/>
      <c r="I58" s="2381"/>
      <c r="J58" s="2382"/>
      <c r="K58" s="925"/>
      <c r="L58" s="925"/>
      <c r="M58" s="591"/>
      <c r="N58" s="930" t="s">
        <v>5</v>
      </c>
      <c r="O58" s="979"/>
      <c r="P58" s="930"/>
      <c r="Q58" s="930"/>
      <c r="R58" s="591"/>
      <c r="S58" s="927" t="s">
        <v>5</v>
      </c>
      <c r="T58" s="983"/>
      <c r="U58" s="923"/>
      <c r="AC58" s="2371"/>
      <c r="AD58" s="2372"/>
    </row>
    <row r="59" spans="1:32" s="918" customFormat="1" ht="12.75" customHeight="1" x14ac:dyDescent="0.2">
      <c r="A59" s="2397"/>
      <c r="B59" s="2397"/>
      <c r="C59" s="1101"/>
      <c r="D59" s="1095">
        <v>1</v>
      </c>
      <c r="E59" s="925">
        <f>IF(M58,(M58+M60)/IF(ISBLANK(J60),I60,J60)*IF(D59,D59,1),0)</f>
        <v>0</v>
      </c>
      <c r="F59" s="930" t="s">
        <v>5</v>
      </c>
      <c r="G59" s="936" t="s">
        <v>175</v>
      </c>
      <c r="H59" s="2383"/>
      <c r="I59" s="2383"/>
      <c r="J59" s="948" t="s">
        <v>62</v>
      </c>
      <c r="K59" s="956"/>
      <c r="L59" s="941"/>
      <c r="M59" s="938"/>
      <c r="N59" s="923"/>
      <c r="O59" s="923"/>
      <c r="P59" s="923"/>
      <c r="Q59" s="923"/>
      <c r="R59" s="922"/>
      <c r="S59" s="923"/>
      <c r="T59" s="2398" t="s">
        <v>98</v>
      </c>
      <c r="U59" s="923"/>
    </row>
    <row r="60" spans="1:32" s="918" customFormat="1" ht="12.75" customHeight="1" thickBot="1" x14ac:dyDescent="0.25">
      <c r="A60" s="2400" t="str">
        <f>IF(AND(A59="Biogas",D59&lt;1),"Erdgas","")</f>
        <v/>
      </c>
      <c r="B60" s="2400"/>
      <c r="C60" s="1097"/>
      <c r="D60" s="1096">
        <f>IF(A59="Biogas",IF(D59,1-D59,0),0)</f>
        <v>0</v>
      </c>
      <c r="E60" s="949">
        <f>IF(AND(A59="Biogas",D59&lt;1),(M58+M60)/IF(ISBLANK(J60),I60,J60)*D60,0)</f>
        <v>0</v>
      </c>
      <c r="F60" s="923"/>
      <c r="G60" s="950"/>
      <c r="H60" s="951" t="s">
        <v>176</v>
      </c>
      <c r="I60" s="600">
        <f>IF(ISBLANK(H59),0,IFERROR(HLOOKUP(A59,Grunddaten!H121:Y125,5,FALSE),Grunddaten!H125))</f>
        <v>0</v>
      </c>
      <c r="J60" s="613"/>
      <c r="K60" s="925"/>
      <c r="L60" s="925"/>
      <c r="M60" s="591"/>
      <c r="N60" s="930" t="s">
        <v>5</v>
      </c>
      <c r="O60" s="931"/>
      <c r="P60" s="956"/>
      <c r="Q60" s="956"/>
      <c r="R60" s="982"/>
      <c r="S60" s="923"/>
      <c r="T60" s="2398"/>
      <c r="U60" s="923"/>
    </row>
    <row r="61" spans="1:32" s="918" customFormat="1" ht="12.75" customHeight="1" x14ac:dyDescent="0.2">
      <c r="A61" s="932"/>
      <c r="B61" s="932"/>
      <c r="C61" s="965"/>
      <c r="D61" s="932"/>
      <c r="E61" s="922"/>
      <c r="F61" s="923"/>
      <c r="G61" s="984"/>
      <c r="H61" s="985"/>
      <c r="I61" s="985"/>
      <c r="J61" s="650"/>
      <c r="K61" s="956"/>
      <c r="L61" s="956"/>
      <c r="M61" s="982"/>
      <c r="N61" s="982"/>
      <c r="O61" s="933"/>
      <c r="P61" s="982"/>
      <c r="Q61" s="982"/>
      <c r="R61" s="982"/>
      <c r="S61" s="923"/>
      <c r="T61" s="2398"/>
      <c r="U61" s="923"/>
    </row>
    <row r="62" spans="1:32" s="918" customFormat="1" ht="12.75" customHeight="1" x14ac:dyDescent="0.2">
      <c r="A62" s="932"/>
      <c r="B62" s="932"/>
      <c r="C62" s="986"/>
      <c r="D62" s="924"/>
      <c r="E62" s="930"/>
      <c r="F62" s="930"/>
      <c r="G62" s="930"/>
      <c r="H62" s="930"/>
      <c r="I62" s="930"/>
      <c r="J62" s="930"/>
      <c r="K62" s="930"/>
      <c r="L62" s="930"/>
      <c r="M62" s="925">
        <f>E33+E37+E45+E49+E53</f>
        <v>0</v>
      </c>
      <c r="N62" s="927" t="s">
        <v>5</v>
      </c>
      <c r="O62" s="977"/>
      <c r="P62" s="956"/>
      <c r="Q62" s="956"/>
      <c r="R62" s="956"/>
      <c r="S62" s="923"/>
      <c r="T62" s="2398"/>
      <c r="U62" s="923"/>
    </row>
    <row r="63" spans="1:32" s="918" customFormat="1" ht="12.75" customHeight="1" thickBot="1" x14ac:dyDescent="0.25">
      <c r="A63" s="932"/>
      <c r="B63" s="932"/>
      <c r="C63" s="980"/>
      <c r="D63" s="980"/>
      <c r="E63" s="922"/>
      <c r="F63" s="956"/>
      <c r="G63" s="982"/>
      <c r="H63" s="982"/>
      <c r="I63" s="982"/>
      <c r="J63" s="982"/>
      <c r="K63" s="956"/>
      <c r="L63" s="956"/>
      <c r="M63" s="922"/>
      <c r="N63" s="1339"/>
      <c r="O63" s="933"/>
      <c r="P63" s="956"/>
      <c r="Q63" s="956"/>
      <c r="R63" s="956"/>
      <c r="S63" s="923"/>
      <c r="T63" s="2398"/>
      <c r="U63" s="923"/>
    </row>
    <row r="64" spans="1:32" s="918" customFormat="1" ht="12.75" customHeight="1" x14ac:dyDescent="0.2">
      <c r="A64" s="932"/>
      <c r="B64" s="932"/>
      <c r="C64" s="980"/>
      <c r="D64" s="980"/>
      <c r="E64" s="922"/>
      <c r="F64" s="956"/>
      <c r="G64" s="2380" t="s">
        <v>604</v>
      </c>
      <c r="H64" s="2381"/>
      <c r="I64" s="2381"/>
      <c r="J64" s="2382"/>
      <c r="K64" s="956"/>
      <c r="L64" s="956"/>
      <c r="M64" s="922"/>
      <c r="N64" s="1339"/>
      <c r="O64" s="933"/>
      <c r="P64" s="956"/>
      <c r="Q64" s="956"/>
      <c r="R64" s="956"/>
      <c r="S64" s="923"/>
      <c r="T64" s="2398"/>
      <c r="U64" s="923"/>
    </row>
    <row r="65" spans="1:35" s="918" customFormat="1" ht="12.75" customHeight="1" thickBot="1" x14ac:dyDescent="0.25">
      <c r="A65" s="932"/>
      <c r="B65" s="932"/>
      <c r="C65" s="932"/>
      <c r="D65" s="932"/>
      <c r="E65" s="922"/>
      <c r="F65" s="923"/>
      <c r="G65" s="939" t="s">
        <v>61</v>
      </c>
      <c r="H65" s="2391"/>
      <c r="I65" s="2391"/>
      <c r="J65" s="988" t="s">
        <v>62</v>
      </c>
      <c r="K65" s="930"/>
      <c r="L65" s="930"/>
      <c r="M65" s="591"/>
      <c r="N65" s="927" t="s">
        <v>5</v>
      </c>
      <c r="O65" s="977"/>
      <c r="P65" s="956"/>
      <c r="Q65" s="956"/>
      <c r="R65" s="956"/>
      <c r="S65" s="923"/>
      <c r="T65" s="2398"/>
      <c r="U65" s="923"/>
    </row>
    <row r="66" spans="1:35" s="918" customFormat="1" ht="12.75" customHeight="1" x14ac:dyDescent="0.2">
      <c r="A66" s="932"/>
      <c r="B66" s="932"/>
      <c r="C66" s="932"/>
      <c r="D66" s="932"/>
      <c r="E66" s="922"/>
      <c r="F66" s="923"/>
      <c r="G66" s="922"/>
      <c r="H66" s="922"/>
      <c r="I66" s="922"/>
      <c r="J66" s="922"/>
      <c r="K66" s="923"/>
      <c r="L66" s="923"/>
      <c r="M66" s="922"/>
      <c r="N66" s="923"/>
      <c r="O66" s="933"/>
      <c r="P66" s="956"/>
      <c r="Q66" s="956"/>
      <c r="R66" s="956"/>
      <c r="S66" s="923"/>
      <c r="T66" s="2398"/>
      <c r="U66" s="923"/>
    </row>
    <row r="67" spans="1:35" s="918" customFormat="1" ht="12.75" customHeight="1" thickBot="1" x14ac:dyDescent="0.25">
      <c r="A67" s="1099" t="s">
        <v>94</v>
      </c>
      <c r="B67" s="584"/>
      <c r="C67" s="584"/>
      <c r="D67" s="584"/>
      <c r="E67" s="585">
        <f>M67</f>
        <v>0</v>
      </c>
      <c r="F67" s="586" t="s">
        <v>5</v>
      </c>
      <c r="G67" s="590"/>
      <c r="H67" s="1100" t="s">
        <v>596</v>
      </c>
      <c r="I67" s="1298"/>
      <c r="J67" s="589" t="s">
        <v>62</v>
      </c>
      <c r="K67" s="590"/>
      <c r="L67" s="590"/>
      <c r="M67" s="585">
        <f>S72+M62+M65+M73-M60-M70</f>
        <v>0</v>
      </c>
      <c r="N67" s="590" t="s">
        <v>5</v>
      </c>
      <c r="O67" s="965"/>
      <c r="P67" s="956"/>
      <c r="Q67" s="956"/>
      <c r="R67" s="956"/>
      <c r="S67" s="923"/>
      <c r="T67" s="2399"/>
      <c r="U67" s="923"/>
    </row>
    <row r="68" spans="1:35" s="918" customFormat="1" ht="12.75" customHeight="1" thickBot="1" x14ac:dyDescent="0.25">
      <c r="A68" s="932"/>
      <c r="B68" s="932"/>
      <c r="C68" s="932"/>
      <c r="D68" s="932"/>
      <c r="E68" s="922"/>
      <c r="F68" s="923"/>
      <c r="G68" s="922"/>
      <c r="H68" s="922"/>
      <c r="I68" s="922"/>
      <c r="J68" s="922"/>
      <c r="K68" s="923"/>
      <c r="L68" s="923"/>
      <c r="M68" s="922"/>
      <c r="N68" s="923"/>
      <c r="O68" s="933"/>
      <c r="P68" s="923"/>
      <c r="Q68" s="923"/>
      <c r="R68" s="923"/>
      <c r="S68" s="2380" t="s">
        <v>92</v>
      </c>
      <c r="T68" s="2381"/>
      <c r="U68" s="2382"/>
    </row>
    <row r="69" spans="1:35" s="918" customFormat="1" ht="12.75" customHeight="1" x14ac:dyDescent="0.2">
      <c r="A69" s="932"/>
      <c r="B69" s="932"/>
      <c r="C69" s="932"/>
      <c r="D69" s="932"/>
      <c r="E69" s="922"/>
      <c r="F69" s="923"/>
      <c r="G69" s="2380" t="s">
        <v>95</v>
      </c>
      <c r="H69" s="2381"/>
      <c r="I69" s="2381"/>
      <c r="J69" s="2382"/>
      <c r="K69" s="934"/>
      <c r="L69" s="934"/>
      <c r="M69" s="922"/>
      <c r="N69" s="923"/>
      <c r="O69" s="933"/>
      <c r="P69" s="923"/>
      <c r="Q69" s="923"/>
      <c r="R69" s="923"/>
      <c r="S69" s="2384"/>
      <c r="T69" s="2385"/>
      <c r="U69" s="2386"/>
    </row>
    <row r="70" spans="1:35" s="918" customFormat="1" ht="12.75" customHeight="1" x14ac:dyDescent="0.3">
      <c r="A70" s="1401" t="s">
        <v>93</v>
      </c>
      <c r="B70" s="953"/>
      <c r="C70" s="953"/>
      <c r="D70" s="953"/>
      <c r="E70" s="925"/>
      <c r="F70" s="935"/>
      <c r="G70" s="936" t="s">
        <v>61</v>
      </c>
      <c r="H70" s="2383"/>
      <c r="I70" s="2383"/>
      <c r="J70" s="937" t="s">
        <v>96</v>
      </c>
      <c r="K70" s="987"/>
      <c r="L70" s="987"/>
      <c r="M70" s="925">
        <f>H70*IF(ISBLANK(I71),H71,I71)</f>
        <v>0</v>
      </c>
      <c r="N70" s="930" t="s">
        <v>5</v>
      </c>
      <c r="O70" s="942"/>
      <c r="P70" s="930"/>
      <c r="Q70" s="930"/>
      <c r="R70" s="930"/>
      <c r="S70" s="2384"/>
      <c r="T70" s="2385"/>
      <c r="U70" s="2386"/>
    </row>
    <row r="71" spans="1:35" s="918" customFormat="1" ht="12.75" customHeight="1" thickBot="1" x14ac:dyDescent="0.25">
      <c r="A71" s="932"/>
      <c r="B71" s="932"/>
      <c r="C71" s="932"/>
      <c r="D71" s="932"/>
      <c r="E71" s="938"/>
      <c r="F71" s="923"/>
      <c r="G71" s="939" t="s">
        <v>85</v>
      </c>
      <c r="H71" s="668">
        <f>IF(ISBLANK(H70),0,Grunddaten!H123)</f>
        <v>0</v>
      </c>
      <c r="I71" s="1357"/>
      <c r="J71" s="988" t="s">
        <v>97</v>
      </c>
      <c r="K71" s="941"/>
      <c r="L71" s="941"/>
      <c r="M71" s="938"/>
      <c r="N71" s="923"/>
      <c r="O71" s="933"/>
      <c r="P71" s="923"/>
      <c r="Q71" s="923"/>
      <c r="R71" s="923"/>
      <c r="S71" s="943" t="s">
        <v>81</v>
      </c>
      <c r="T71" s="944"/>
      <c r="U71" s="945"/>
    </row>
    <row r="72" spans="1:35" s="918" customFormat="1" ht="12.75" customHeight="1" thickBot="1" x14ac:dyDescent="0.25">
      <c r="A72" s="932"/>
      <c r="B72" s="932"/>
      <c r="C72" s="932"/>
      <c r="D72" s="932"/>
      <c r="E72" s="938"/>
      <c r="F72" s="923"/>
      <c r="G72" s="923"/>
      <c r="H72" s="923"/>
      <c r="I72" s="923"/>
      <c r="J72" s="923"/>
      <c r="K72" s="923"/>
      <c r="L72" s="923"/>
      <c r="M72" s="938"/>
      <c r="N72" s="923"/>
      <c r="O72" s="933"/>
      <c r="P72" s="923"/>
      <c r="Q72" s="923"/>
      <c r="R72" s="923"/>
      <c r="S72" s="2389">
        <f>Projektdaten!I42</f>
        <v>0</v>
      </c>
      <c r="T72" s="2390"/>
      <c r="U72" s="946" t="s">
        <v>5</v>
      </c>
    </row>
    <row r="73" spans="1:35" s="918" customFormat="1" ht="12.75" customHeight="1" x14ac:dyDescent="0.2">
      <c r="A73" s="924"/>
      <c r="B73" s="924"/>
      <c r="C73" s="924"/>
      <c r="D73" s="924"/>
      <c r="E73" s="925">
        <f>M73</f>
        <v>0</v>
      </c>
      <c r="F73" s="930" t="s">
        <v>5</v>
      </c>
      <c r="G73" s="2396" t="s">
        <v>303</v>
      </c>
      <c r="H73" s="2396"/>
      <c r="I73" s="2396"/>
      <c r="J73" s="2396"/>
      <c r="K73" s="930"/>
      <c r="L73" s="930"/>
      <c r="M73" s="591"/>
      <c r="N73" s="927" t="s">
        <v>5</v>
      </c>
      <c r="O73" s="977"/>
      <c r="P73" s="923"/>
      <c r="Q73" s="923"/>
      <c r="R73" s="923"/>
      <c r="AC73" s="1090" t="s">
        <v>555</v>
      </c>
      <c r="AD73" s="958"/>
      <c r="AE73" s="958"/>
      <c r="AF73" s="1091" t="b">
        <f>IF(M73&lt;=(M60+M70),TRUE,FALSE)</f>
        <v>1</v>
      </c>
    </row>
    <row r="74" spans="1:35" s="918" customFormat="1" ht="5.95" customHeight="1" x14ac:dyDescent="0.2">
      <c r="A74" s="932"/>
      <c r="B74" s="932"/>
      <c r="C74" s="932"/>
      <c r="D74" s="932"/>
      <c r="E74" s="922"/>
      <c r="F74" s="923"/>
      <c r="G74" s="923"/>
      <c r="H74" s="923"/>
      <c r="I74" s="923"/>
      <c r="J74" s="923"/>
      <c r="K74" s="923"/>
      <c r="L74" s="923"/>
      <c r="M74" s="922"/>
      <c r="N74" s="923"/>
      <c r="O74" s="642"/>
      <c r="P74" s="923"/>
      <c r="Q74" s="923"/>
      <c r="R74" s="923"/>
    </row>
    <row r="75" spans="1:35" s="918" customFormat="1" ht="21.1" customHeight="1" x14ac:dyDescent="0.2">
      <c r="A75" s="932"/>
      <c r="B75" s="932"/>
      <c r="C75" s="932"/>
      <c r="D75" s="932"/>
      <c r="E75" s="923"/>
      <c r="F75" s="923"/>
      <c r="G75" s="923"/>
      <c r="H75" s="923"/>
      <c r="I75" s="923"/>
      <c r="J75" s="923"/>
      <c r="K75" s="923"/>
      <c r="L75" s="923"/>
      <c r="N75" s="923"/>
      <c r="O75" s="923"/>
      <c r="P75" s="923"/>
      <c r="Q75" s="923"/>
      <c r="R75" s="923"/>
    </row>
    <row r="76" spans="1:35" s="918" customFormat="1" ht="14.95" customHeight="1" x14ac:dyDescent="0.2">
      <c r="A76" s="989" t="s">
        <v>64</v>
      </c>
      <c r="B76" s="917"/>
      <c r="C76" s="917"/>
      <c r="D76" s="917"/>
      <c r="AC76" s="957" t="s">
        <v>100</v>
      </c>
      <c r="AD76" s="958"/>
      <c r="AE76" s="958"/>
      <c r="AF76" s="959"/>
      <c r="AG76" s="990"/>
      <c r="AH76" s="991" t="s">
        <v>101</v>
      </c>
      <c r="AI76" s="992"/>
    </row>
    <row r="77" spans="1:35" s="918" customFormat="1" ht="12.75" customHeight="1" x14ac:dyDescent="0.2">
      <c r="A77" s="993" t="s">
        <v>65</v>
      </c>
      <c r="B77" s="2375"/>
      <c r="C77" s="2375"/>
      <c r="D77" s="2375"/>
      <c r="E77" s="2375"/>
      <c r="F77" s="2375"/>
      <c r="G77" s="994" t="s">
        <v>68</v>
      </c>
      <c r="H77" s="2376"/>
      <c r="I77" s="2376"/>
      <c r="J77" s="995"/>
      <c r="K77" s="994"/>
      <c r="L77" s="994" t="s">
        <v>69</v>
      </c>
      <c r="M77" s="1768"/>
      <c r="N77" s="994" t="s">
        <v>70</v>
      </c>
      <c r="O77" s="2377"/>
      <c r="P77" s="2377"/>
      <c r="Q77" s="2377"/>
      <c r="R77" s="994" t="s">
        <v>63</v>
      </c>
      <c r="S77" s="2395"/>
      <c r="T77" s="2395"/>
      <c r="U77" s="2395"/>
      <c r="AC77" s="996" t="s">
        <v>71</v>
      </c>
      <c r="AD77" s="997"/>
      <c r="AE77" s="997"/>
      <c r="AF77" s="992"/>
      <c r="AG77" s="990"/>
      <c r="AH77" s="996" t="s">
        <v>73</v>
      </c>
      <c r="AI77" s="992"/>
    </row>
    <row r="78" spans="1:35" s="918" customFormat="1" ht="12.75" customHeight="1" x14ac:dyDescent="0.2">
      <c r="A78" s="993" t="s">
        <v>66</v>
      </c>
      <c r="B78" s="2375"/>
      <c r="C78" s="2375"/>
      <c r="D78" s="2375"/>
      <c r="E78" s="2375"/>
      <c r="F78" s="2375"/>
      <c r="G78" s="994" t="s">
        <v>68</v>
      </c>
      <c r="H78" s="2376"/>
      <c r="I78" s="2376"/>
      <c r="J78" s="995"/>
      <c r="K78" s="994"/>
      <c r="L78" s="994" t="s">
        <v>69</v>
      </c>
      <c r="M78" s="1768"/>
      <c r="N78" s="994" t="s">
        <v>70</v>
      </c>
      <c r="O78" s="2377"/>
      <c r="P78" s="2377"/>
      <c r="Q78" s="2377"/>
      <c r="R78" s="994" t="s">
        <v>63</v>
      </c>
      <c r="S78" s="2378"/>
      <c r="T78" s="2378"/>
      <c r="U78" s="2378"/>
      <c r="AC78" s="961" t="s">
        <v>72</v>
      </c>
      <c r="AD78" s="962"/>
      <c r="AE78" s="962"/>
      <c r="AF78" s="963"/>
      <c r="AG78" s="990"/>
      <c r="AH78" s="967" t="s">
        <v>74</v>
      </c>
      <c r="AI78" s="969"/>
    </row>
    <row r="79" spans="1:35" s="918" customFormat="1" ht="12.75" customHeight="1" x14ac:dyDescent="0.2">
      <c r="A79" s="993" t="s">
        <v>67</v>
      </c>
      <c r="B79" s="2375"/>
      <c r="C79" s="2375"/>
      <c r="D79" s="2375"/>
      <c r="E79" s="2375"/>
      <c r="F79" s="2375"/>
      <c r="G79" s="994" t="s">
        <v>68</v>
      </c>
      <c r="H79" s="2376"/>
      <c r="I79" s="2376"/>
      <c r="J79" s="995"/>
      <c r="K79" s="994"/>
      <c r="L79" s="994" t="s">
        <v>69</v>
      </c>
      <c r="M79" s="1768"/>
      <c r="N79" s="994" t="s">
        <v>70</v>
      </c>
      <c r="O79" s="2377"/>
      <c r="P79" s="2377"/>
      <c r="Q79" s="2377"/>
      <c r="R79" s="994" t="s">
        <v>63</v>
      </c>
      <c r="S79" s="2378"/>
      <c r="T79" s="2378"/>
      <c r="U79" s="2378"/>
      <c r="AC79" s="967" t="s">
        <v>800</v>
      </c>
      <c r="AD79" s="968"/>
      <c r="AE79" s="968"/>
      <c r="AF79" s="969"/>
      <c r="AG79" s="990"/>
      <c r="AH79" s="962"/>
      <c r="AI79" s="962"/>
    </row>
    <row r="82" spans="1:21" s="919" customFormat="1" ht="14.95" customHeight="1" x14ac:dyDescent="0.2">
      <c r="A82" s="998" t="s">
        <v>65</v>
      </c>
      <c r="B82" s="998" t="s">
        <v>158</v>
      </c>
      <c r="C82" s="2394">
        <f xml:space="preserve"> IF(S77=$AH$78,H77*M77*(O77+1)+(O77+1)^2/2*(H77+M77)*2,0)</f>
        <v>0</v>
      </c>
      <c r="D82" s="2394"/>
      <c r="E82" s="999" t="s">
        <v>223</v>
      </c>
      <c r="H82" s="1769" t="s">
        <v>159</v>
      </c>
      <c r="I82" s="1770">
        <f>H77*M77</f>
        <v>0</v>
      </c>
      <c r="J82" s="999" t="s">
        <v>224</v>
      </c>
      <c r="K82" s="1000"/>
      <c r="M82" s="1771" t="s">
        <v>160</v>
      </c>
      <c r="N82" s="1770">
        <f>H77*O77</f>
        <v>0</v>
      </c>
      <c r="O82" s="999" t="s">
        <v>224</v>
      </c>
      <c r="P82" s="999"/>
      <c r="Q82" s="999" t="s">
        <v>161</v>
      </c>
      <c r="R82" s="999"/>
      <c r="S82" s="1770">
        <f>M77*O77</f>
        <v>0</v>
      </c>
      <c r="T82" s="999" t="s">
        <v>224</v>
      </c>
      <c r="U82" s="999"/>
    </row>
    <row r="83" spans="1:21" s="919" customFormat="1" ht="14.95" customHeight="1" x14ac:dyDescent="0.2">
      <c r="A83" s="998" t="s">
        <v>66</v>
      </c>
      <c r="B83" s="998" t="s">
        <v>158</v>
      </c>
      <c r="C83" s="2394">
        <f xml:space="preserve"> IF(S78=$AH$78,H78*M78*(O78+1)+(O78+1)^2/2*(H78+M78)*2,0)</f>
        <v>0</v>
      </c>
      <c r="D83" s="2394"/>
      <c r="E83" s="999" t="s">
        <v>223</v>
      </c>
      <c r="H83" s="1769" t="s">
        <v>159</v>
      </c>
      <c r="I83" s="1770">
        <f>H78*M78</f>
        <v>0</v>
      </c>
      <c r="J83" s="999" t="s">
        <v>224</v>
      </c>
      <c r="K83" s="1000"/>
      <c r="M83" s="1771" t="s">
        <v>160</v>
      </c>
      <c r="N83" s="1770">
        <f>H78*O78</f>
        <v>0</v>
      </c>
      <c r="O83" s="999" t="s">
        <v>224</v>
      </c>
      <c r="P83" s="999"/>
      <c r="Q83" s="999" t="s">
        <v>161</v>
      </c>
      <c r="R83" s="999"/>
      <c r="S83" s="1770">
        <f>M78*O78</f>
        <v>0</v>
      </c>
      <c r="T83" s="999" t="s">
        <v>224</v>
      </c>
      <c r="U83" s="999"/>
    </row>
    <row r="84" spans="1:21" s="919" customFormat="1" ht="14.95" customHeight="1" x14ac:dyDescent="0.2">
      <c r="A84" s="998" t="s">
        <v>67</v>
      </c>
      <c r="B84" s="998" t="s">
        <v>158</v>
      </c>
      <c r="C84" s="2394">
        <f xml:space="preserve"> IF(S79=$AH$78,H79*M79*(O79+1)+(O79+1)^2/2*(H79+M79)*2,0)</f>
        <v>0</v>
      </c>
      <c r="D84" s="2394"/>
      <c r="E84" s="999" t="s">
        <v>223</v>
      </c>
      <c r="H84" s="1769" t="s">
        <v>159</v>
      </c>
      <c r="I84" s="1770">
        <f>H79*M79</f>
        <v>0</v>
      </c>
      <c r="J84" s="999" t="s">
        <v>224</v>
      </c>
      <c r="K84" s="1000"/>
      <c r="M84" s="1771" t="s">
        <v>160</v>
      </c>
      <c r="N84" s="1770">
        <f>H79*O79</f>
        <v>0</v>
      </c>
      <c r="O84" s="999" t="s">
        <v>224</v>
      </c>
      <c r="P84" s="999"/>
      <c r="Q84" s="999" t="s">
        <v>161</v>
      </c>
      <c r="R84" s="999"/>
      <c r="S84" s="1770">
        <f>M79*O79</f>
        <v>0</v>
      </c>
      <c r="T84" s="999" t="s">
        <v>224</v>
      </c>
      <c r="U84" s="999"/>
    </row>
    <row r="87" spans="1:21" x14ac:dyDescent="0.2">
      <c r="B87" s="901"/>
      <c r="C87" s="901"/>
      <c r="D87" s="901"/>
    </row>
    <row r="88" spans="1:21" x14ac:dyDescent="0.2">
      <c r="B88" s="901"/>
      <c r="C88" s="901"/>
      <c r="D88" s="901"/>
    </row>
    <row r="89" spans="1:21" x14ac:dyDescent="0.2">
      <c r="B89" s="901"/>
      <c r="C89" s="901"/>
      <c r="D89" s="901"/>
    </row>
    <row r="90" spans="1:21" x14ac:dyDescent="0.2">
      <c r="B90" s="901"/>
      <c r="C90" s="901"/>
      <c r="D90" s="901"/>
    </row>
    <row r="91" spans="1:21" x14ac:dyDescent="0.2">
      <c r="B91" s="901"/>
      <c r="C91" s="901"/>
      <c r="D91" s="901"/>
    </row>
    <row r="92" spans="1:21" x14ac:dyDescent="0.2">
      <c r="B92" s="901"/>
      <c r="C92" s="901"/>
      <c r="D92" s="901"/>
    </row>
  </sheetData>
  <sheetProtection algorithmName="SHA-512" hashValue="gt4KHaTmrM/pz5IRfL1/mJfSPPtMtFN7h7+nndCuGDDQSP4QB72fvV0t9hQ38mq6zDp8b3Ny0MJrJpTiDxKRgg==" saltValue="+dDxw+rYxYX8w07DqmhMKw==" spinCount="100000" sheet="1" objects="1" scenarios="1" selectLockedCells="1"/>
  <mergeCells count="84">
    <mergeCell ref="G35:J35"/>
    <mergeCell ref="H36:I36"/>
    <mergeCell ref="H40:I40"/>
    <mergeCell ref="G39:J39"/>
    <mergeCell ref="H48:I48"/>
    <mergeCell ref="P31:Q31"/>
    <mergeCell ref="P14:Q14"/>
    <mergeCell ref="P15:Q15"/>
    <mergeCell ref="P29:Q29"/>
    <mergeCell ref="P30:Q30"/>
    <mergeCell ref="P17:Q17"/>
    <mergeCell ref="S29:U31"/>
    <mergeCell ref="G51:J51"/>
    <mergeCell ref="H52:I52"/>
    <mergeCell ref="A20:B20"/>
    <mergeCell ref="G22:J22"/>
    <mergeCell ref="A23:B23"/>
    <mergeCell ref="H23:I23"/>
    <mergeCell ref="A24:B24"/>
    <mergeCell ref="H32:I32"/>
    <mergeCell ref="A29:B29"/>
    <mergeCell ref="A31:B31"/>
    <mergeCell ref="G31:J31"/>
    <mergeCell ref="H27:I27"/>
    <mergeCell ref="A28:B28"/>
    <mergeCell ref="S33:T33"/>
    <mergeCell ref="A35:B35"/>
    <mergeCell ref="W5:AB5"/>
    <mergeCell ref="E6:G6"/>
    <mergeCell ref="J6:T6"/>
    <mergeCell ref="G8:J8"/>
    <mergeCell ref="G14:J14"/>
    <mergeCell ref="S14:U16"/>
    <mergeCell ref="H15:I15"/>
    <mergeCell ref="P16:Q16"/>
    <mergeCell ref="S18:T18"/>
    <mergeCell ref="G18:J18"/>
    <mergeCell ref="A19:B19"/>
    <mergeCell ref="H19:I19"/>
    <mergeCell ref="A26:B26"/>
    <mergeCell ref="G26:J26"/>
    <mergeCell ref="S20:T20"/>
    <mergeCell ref="AE51:AF51"/>
    <mergeCell ref="G58:J58"/>
    <mergeCell ref="AC58:AD58"/>
    <mergeCell ref="S72:T72"/>
    <mergeCell ref="B77:F77"/>
    <mergeCell ref="H77:I77"/>
    <mergeCell ref="O77:Q77"/>
    <mergeCell ref="S77:U77"/>
    <mergeCell ref="G73:J73"/>
    <mergeCell ref="A59:B59"/>
    <mergeCell ref="H59:I59"/>
    <mergeCell ref="T59:T67"/>
    <mergeCell ref="S68:U70"/>
    <mergeCell ref="G69:J69"/>
    <mergeCell ref="H70:I70"/>
    <mergeCell ref="A60:B60"/>
    <mergeCell ref="S39:U39"/>
    <mergeCell ref="C84:D84"/>
    <mergeCell ref="B79:F79"/>
    <mergeCell ref="H79:I79"/>
    <mergeCell ref="O79:Q79"/>
    <mergeCell ref="S79:U79"/>
    <mergeCell ref="C82:D82"/>
    <mergeCell ref="C83:D83"/>
    <mergeCell ref="S52:U52"/>
    <mergeCell ref="S48:T48"/>
    <mergeCell ref="AE57:AF57"/>
    <mergeCell ref="P32:Q32"/>
    <mergeCell ref="B78:F78"/>
    <mergeCell ref="H78:I78"/>
    <mergeCell ref="O78:Q78"/>
    <mergeCell ref="S78:U78"/>
    <mergeCell ref="A41:B41"/>
    <mergeCell ref="G43:J43"/>
    <mergeCell ref="H44:I44"/>
    <mergeCell ref="S42:U44"/>
    <mergeCell ref="G47:J47"/>
    <mergeCell ref="S46:T46"/>
    <mergeCell ref="S35:T35"/>
    <mergeCell ref="G64:J64"/>
    <mergeCell ref="H65:I65"/>
    <mergeCell ref="S38:T38"/>
  </mergeCells>
  <conditionalFormatting sqref="G14:J14 G15:G16 J15:J16">
    <cfRule type="expression" dxfId="1559" priority="298">
      <formula>$H$15&gt;0</formula>
    </cfRule>
  </conditionalFormatting>
  <conditionalFormatting sqref="G18:J18 G19 G20:H20 J19">
    <cfRule type="expression" dxfId="1558" priority="297">
      <formula>$H$19&gt;0</formula>
    </cfRule>
  </conditionalFormatting>
  <conditionalFormatting sqref="G22:J22 G23 J23 G24:H24">
    <cfRule type="expression" dxfId="1557" priority="296">
      <formula>$H$23&gt;0</formula>
    </cfRule>
  </conditionalFormatting>
  <conditionalFormatting sqref="G31:J31 G32 G33:H33 J32">
    <cfRule type="expression" dxfId="1556" priority="295">
      <formula>$H$32&gt;0</formula>
    </cfRule>
  </conditionalFormatting>
  <conditionalFormatting sqref="G35:J35 G36 G37:H37 J36">
    <cfRule type="expression" dxfId="1555" priority="294">
      <formula>$H$36&gt;0</formula>
    </cfRule>
  </conditionalFormatting>
  <conditionalFormatting sqref="G43:J43 G44 G45:H45 J44">
    <cfRule type="expression" dxfId="1554" priority="293">
      <formula>$H$44&gt;0</formula>
    </cfRule>
  </conditionalFormatting>
  <conditionalFormatting sqref="G69:G71 J70:J71 K70:N70">
    <cfRule type="expression" dxfId="1553" priority="292">
      <formula>$H$70&gt;0</formula>
    </cfRule>
  </conditionalFormatting>
  <conditionalFormatting sqref="R31 O46:O48 O50:O51 O42:O44 S29 O10:O40 O53 S32:U35 O57:O58">
    <cfRule type="expression" dxfId="1552" priority="290">
      <formula>$S$33&gt;0</formula>
    </cfRule>
  </conditionalFormatting>
  <conditionalFormatting sqref="S42:U48 Q40:Q56">
    <cfRule type="expression" dxfId="1551" priority="289">
      <formula>$S$46&gt;0</formula>
    </cfRule>
  </conditionalFormatting>
  <conditionalFormatting sqref="P70:R70 S68:U72 O60:O74">
    <cfRule type="expression" dxfId="1550" priority="288">
      <formula>$S$72&gt;0</formula>
    </cfRule>
  </conditionalFormatting>
  <conditionalFormatting sqref="B43:F43">
    <cfRule type="expression" dxfId="1549" priority="284">
      <formula>$B$43&lt;0</formula>
    </cfRule>
  </conditionalFormatting>
  <conditionalFormatting sqref="B47:F47">
    <cfRule type="expression" dxfId="1548" priority="283">
      <formula>$B$47&lt;0</formula>
    </cfRule>
  </conditionalFormatting>
  <conditionalFormatting sqref="G24:H24">
    <cfRule type="expression" dxfId="1547" priority="282">
      <formula>AND($H$23&gt;0,$J$24=0,$I$24=0)</formula>
    </cfRule>
  </conditionalFormatting>
  <conditionalFormatting sqref="G19:H19 J19">
    <cfRule type="expression" dxfId="1546" priority="281">
      <formula>AND($M$19&gt;0,$H$19=0)</formula>
    </cfRule>
  </conditionalFormatting>
  <conditionalFormatting sqref="G23:H23 J23">
    <cfRule type="expression" dxfId="1545" priority="280">
      <formula>AND($M$23&gt;0,$H$23=0)</formula>
    </cfRule>
  </conditionalFormatting>
  <conditionalFormatting sqref="G33:H33">
    <cfRule type="expression" dxfId="1544" priority="279">
      <formula>AND($H$32&gt;0,$J$33=0,$I$33=0)</formula>
    </cfRule>
  </conditionalFormatting>
  <conditionalFormatting sqref="G32:H32 J32">
    <cfRule type="expression" dxfId="1543" priority="278">
      <formula>AND($M$32&gt;0,$H$32=0)</formula>
    </cfRule>
  </conditionalFormatting>
  <conditionalFormatting sqref="G36:H36 J36">
    <cfRule type="expression" dxfId="1542" priority="277">
      <formula>AND($M$36&gt;0,$H$36=0)</formula>
    </cfRule>
  </conditionalFormatting>
  <conditionalFormatting sqref="G37:H37">
    <cfRule type="expression" dxfId="1541" priority="276">
      <formula>AND($H$36&gt;0,$J$37=0,$I$37=0)</formula>
    </cfRule>
  </conditionalFormatting>
  <conditionalFormatting sqref="G44:H44 J44">
    <cfRule type="expression" dxfId="1540" priority="275">
      <formula>AND($M$45&gt;0,$H$44=0)</formula>
    </cfRule>
  </conditionalFormatting>
  <conditionalFormatting sqref="G45:H45">
    <cfRule type="expression" dxfId="1539" priority="274">
      <formula>AND($H$44&gt;0,$J$45=0,$I$45=0)</formula>
    </cfRule>
  </conditionalFormatting>
  <conditionalFormatting sqref="G59:H59 J59">
    <cfRule type="expression" dxfId="1538" priority="273">
      <formula>AND($M$58&gt;0,$H$59=0)</formula>
    </cfRule>
  </conditionalFormatting>
  <conditionalFormatting sqref="G49:H49">
    <cfRule type="expression" dxfId="1537" priority="272">
      <formula>AND($H$48&gt;0,$J$49=0,$I$49=0)</formula>
    </cfRule>
  </conditionalFormatting>
  <conditionalFormatting sqref="G16 I16:J16">
    <cfRule type="expression" dxfId="1536" priority="271">
      <formula>AND($H$15&gt;0,$H$16=0,$I$16=0)</formula>
    </cfRule>
  </conditionalFormatting>
  <conditionalFormatting sqref="G71 J71">
    <cfRule type="expression" dxfId="1535" priority="270">
      <formula>AND($H$70&gt;0,$H$71=0,$I$71=0)</formula>
    </cfRule>
  </conditionalFormatting>
  <conditionalFormatting sqref="A43:F43">
    <cfRule type="expression" dxfId="1534" priority="267">
      <formula>$B$43&lt;&gt;0</formula>
    </cfRule>
  </conditionalFormatting>
  <conditionalFormatting sqref="A47:F47">
    <cfRule type="expression" dxfId="1533" priority="266">
      <formula>$B$47&lt;&gt;0</formula>
    </cfRule>
  </conditionalFormatting>
  <conditionalFormatting sqref="P58:Q58 S58:T58 T59">
    <cfRule type="expression" dxfId="1532" priority="265">
      <formula>$R$58&gt;0</formula>
    </cfRule>
  </conditionalFormatting>
  <conditionalFormatting sqref="K58:L58 N58">
    <cfRule type="expression" dxfId="1531" priority="264">
      <formula>$M$58&gt;0</formula>
    </cfRule>
  </conditionalFormatting>
  <conditionalFormatting sqref="C35:F35">
    <cfRule type="expression" dxfId="1530" priority="263">
      <formula>$E$35&gt;0</formula>
    </cfRule>
  </conditionalFormatting>
  <conditionalFormatting sqref="E35:F35">
    <cfRule type="expression" dxfId="1529" priority="262">
      <formula>AND($A$35="",$E$35&gt;0)</formula>
    </cfRule>
  </conditionalFormatting>
  <conditionalFormatting sqref="C31:F31">
    <cfRule type="expression" dxfId="1528" priority="261">
      <formula>$E$31&gt;0</formula>
    </cfRule>
  </conditionalFormatting>
  <conditionalFormatting sqref="E31:F31">
    <cfRule type="expression" dxfId="1527" priority="260">
      <formula>AND($A$31="",$E$31&gt;0)</formula>
    </cfRule>
  </conditionalFormatting>
  <conditionalFormatting sqref="A70:F70">
    <cfRule type="expression" dxfId="1526" priority="259">
      <formula>$H$70&gt;0</formula>
    </cfRule>
  </conditionalFormatting>
  <conditionalFormatting sqref="K32:L32 N32">
    <cfRule type="expression" dxfId="1525" priority="258">
      <formula>$M$32&gt;0</formula>
    </cfRule>
  </conditionalFormatting>
  <conditionalFormatting sqref="K43:L43 N43">
    <cfRule type="expression" dxfId="1524" priority="257">
      <formula>$M$43&gt;0</formula>
    </cfRule>
  </conditionalFormatting>
  <conditionalFormatting sqref="K47:L47 N47">
    <cfRule type="expression" dxfId="1523" priority="256">
      <formula>$M$47&gt;0</formula>
    </cfRule>
  </conditionalFormatting>
  <conditionalFormatting sqref="K23:L23 N23">
    <cfRule type="expression" dxfId="1522" priority="255">
      <formula>$M$23&gt;0</formula>
    </cfRule>
  </conditionalFormatting>
  <conditionalFormatting sqref="C23:F23">
    <cfRule type="expression" dxfId="1521" priority="254">
      <formula>$E$23&gt;0</formula>
    </cfRule>
  </conditionalFormatting>
  <conditionalFormatting sqref="E23:F23">
    <cfRule type="expression" dxfId="1520" priority="253">
      <formula>AND($A$23="",$E$23&gt;0)</formula>
    </cfRule>
  </conditionalFormatting>
  <conditionalFormatting sqref="K19:L19 N19">
    <cfRule type="expression" dxfId="1519" priority="252">
      <formula>$M$19&gt;0</formula>
    </cfRule>
  </conditionalFormatting>
  <conditionalFormatting sqref="C19:F19">
    <cfRule type="expression" dxfId="1518" priority="251">
      <formula>$E$19&gt;0</formula>
    </cfRule>
  </conditionalFormatting>
  <conditionalFormatting sqref="E19:F19">
    <cfRule type="expression" dxfId="1517" priority="250">
      <formula>AND($A$19="",$E$19&gt;0)</formula>
    </cfRule>
  </conditionalFormatting>
  <conditionalFormatting sqref="K15:N15">
    <cfRule type="expression" dxfId="1516" priority="249">
      <formula>$M$15&gt;0</formula>
    </cfRule>
  </conditionalFormatting>
  <conditionalFormatting sqref="A15:F15">
    <cfRule type="expression" dxfId="1515" priority="248">
      <formula>$H$15&gt;0</formula>
    </cfRule>
  </conditionalFormatting>
  <conditionalFormatting sqref="A51:F51">
    <cfRule type="expression" dxfId="1514" priority="243">
      <formula>$B$51&lt;&gt;0</formula>
    </cfRule>
  </conditionalFormatting>
  <conditionalFormatting sqref="G60:J60">
    <cfRule type="expression" dxfId="1513" priority="242">
      <formula>AND($H$59&gt;0,$I$60=0,$J$60=0)</formula>
    </cfRule>
  </conditionalFormatting>
  <conditionalFormatting sqref="K60:L60 N60 O60:O74">
    <cfRule type="expression" dxfId="1512" priority="241">
      <formula>$M$60&gt;0</formula>
    </cfRule>
  </conditionalFormatting>
  <conditionalFormatting sqref="D62:N62 C33:F33 C34 C36:C38 C44:C46 C48:C50 C40 C42 C52:C53 C60:C62 O60:O74 C57:C58">
    <cfRule type="expression" dxfId="1511" priority="240">
      <formula>$E$33&gt;0</formula>
    </cfRule>
  </conditionalFormatting>
  <conditionalFormatting sqref="D62:N62 C37:F37 C38 C44:C46 C48:C50 C40 C42 C52:C53 C60:C62 O60:O74 C57:C58">
    <cfRule type="expression" dxfId="1510" priority="239">
      <formula>$E$37&gt;0</formula>
    </cfRule>
  </conditionalFormatting>
  <conditionalFormatting sqref="D62:N62 C45:F45 C46 C48:C50 C52:C53 C60:C62 O60:O74 C57:C58">
    <cfRule type="expression" dxfId="1509" priority="238">
      <formula>$E$45&gt;0</formula>
    </cfRule>
  </conditionalFormatting>
  <conditionalFormatting sqref="D62:N62 C49:F49 C50 C52:C53 C60:C62 O60:O74 C57:C58">
    <cfRule type="expression" dxfId="1508" priority="237">
      <formula>$E$49&gt;0</formula>
    </cfRule>
  </conditionalFormatting>
  <conditionalFormatting sqref="D62:N62 C53:F53 C54 C56:C58 C60:C62 O60:O74">
    <cfRule type="expression" dxfId="1507" priority="236">
      <formula>$E$53&gt;0</formula>
    </cfRule>
  </conditionalFormatting>
  <conditionalFormatting sqref="C59:F59">
    <cfRule type="expression" dxfId="1506" priority="235">
      <formula>$E$59&gt;0</formula>
    </cfRule>
  </conditionalFormatting>
  <conditionalFormatting sqref="E59">
    <cfRule type="expression" dxfId="1505" priority="234">
      <formula>AND($A$59="",$E$59&gt;0)</formula>
    </cfRule>
  </conditionalFormatting>
  <conditionalFormatting sqref="G58:J58 G59 G60:H60 J59">
    <cfRule type="expression" dxfId="1504" priority="233">
      <formula>$H$59&gt;0</formula>
    </cfRule>
  </conditionalFormatting>
  <conditionalFormatting sqref="G47:J47 G48 G49:H49 J48">
    <cfRule type="expression" dxfId="1503" priority="232">
      <formula>$H$48&gt;0</formula>
    </cfRule>
  </conditionalFormatting>
  <conditionalFormatting sqref="G48:H48 J48">
    <cfRule type="expression" dxfId="1502" priority="231">
      <formula>AND($M$49&gt;0,$H$48=0)</formula>
    </cfRule>
  </conditionalFormatting>
  <conditionalFormatting sqref="K49:L49 N49:P49">
    <cfRule type="expression" dxfId="1501" priority="230">
      <formula>$M$49&gt;0</formula>
    </cfRule>
  </conditionalFormatting>
  <conditionalFormatting sqref="N45:P45 K45:L45">
    <cfRule type="expression" dxfId="1500" priority="229">
      <formula>$M$45&gt;0</formula>
    </cfRule>
  </conditionalFormatting>
  <conditionalFormatting sqref="H20">
    <cfRule type="expression" dxfId="1499" priority="228">
      <formula>AND($H$19&gt;0,$J$20=0,$I$20=0)</formula>
    </cfRule>
  </conditionalFormatting>
  <conditionalFormatting sqref="N19">
    <cfRule type="expression" dxfId="1498" priority="227">
      <formula>AND($H$19&gt;0,$M$19=0)</formula>
    </cfRule>
  </conditionalFormatting>
  <conditionalFormatting sqref="N23">
    <cfRule type="expression" dxfId="1497" priority="226">
      <formula>AND($H$23&gt;0,$M$23=0)</formula>
    </cfRule>
  </conditionalFormatting>
  <conditionalFormatting sqref="N32">
    <cfRule type="expression" dxfId="1496" priority="225">
      <formula>AND($H$32&gt;0,$M$32=0)</formula>
    </cfRule>
  </conditionalFormatting>
  <conditionalFormatting sqref="K36:L36 N36">
    <cfRule type="expression" dxfId="1495" priority="224">
      <formula>$M$36&gt;0</formula>
    </cfRule>
  </conditionalFormatting>
  <conditionalFormatting sqref="N36">
    <cfRule type="expression" dxfId="1494" priority="223">
      <formula>AND($H$36&gt;0,$M$36=0)</formula>
    </cfRule>
  </conditionalFormatting>
  <conditionalFormatting sqref="N45">
    <cfRule type="expression" dxfId="1493" priority="222">
      <formula>AND($H$44&gt;0,$M$45=0)</formula>
    </cfRule>
  </conditionalFormatting>
  <conditionalFormatting sqref="N49">
    <cfRule type="expression" dxfId="1492" priority="221">
      <formula>AND($H$48&gt;0,$M$49=0)</formula>
    </cfRule>
  </conditionalFormatting>
  <conditionalFormatting sqref="N58">
    <cfRule type="expression" dxfId="1491" priority="220">
      <formula>AND(OR($H$59&gt;0,$M$60&gt;0),$M$58=0)</formula>
    </cfRule>
  </conditionalFormatting>
  <conditionalFormatting sqref="N60">
    <cfRule type="expression" dxfId="1490" priority="219">
      <formula>AND(OR($H$59&gt;0,$M$58&gt;0),$M$60=0)</formula>
    </cfRule>
  </conditionalFormatting>
  <conditionalFormatting sqref="A19:E19">
    <cfRule type="expression" dxfId="1489" priority="215">
      <formula>AND($A$19="Biogas",$D$19&lt;1)</formula>
    </cfRule>
  </conditionalFormatting>
  <conditionalFormatting sqref="A23:E23">
    <cfRule type="expression" dxfId="1488" priority="210">
      <formula>AND($A$23="Biogas",$D$23&lt;1)</formula>
    </cfRule>
  </conditionalFormatting>
  <conditionalFormatting sqref="A60:E60">
    <cfRule type="expression" dxfId="1487" priority="203">
      <formula>AND($A$59="Biogas",$E$60&gt;0)</formula>
    </cfRule>
  </conditionalFormatting>
  <conditionalFormatting sqref="E60">
    <cfRule type="expression" dxfId="1486" priority="201">
      <formula>AND($A$59="",$E$59&gt;0)</formula>
    </cfRule>
    <cfRule type="expression" dxfId="1485" priority="202">
      <formula>AND($A$59="Biogas",$D$59&lt;1)</formula>
    </cfRule>
  </conditionalFormatting>
  <conditionalFormatting sqref="H10 J10">
    <cfRule type="expression" dxfId="1484" priority="200">
      <formula>AND($M$10&gt;0,$I$10=0)</formula>
    </cfRule>
  </conditionalFormatting>
  <conditionalFormatting sqref="N73 A73:G73 K73:L73">
    <cfRule type="expression" dxfId="1483" priority="185">
      <formula>$M$73&lt;&gt;0</formula>
    </cfRule>
  </conditionalFormatting>
  <conditionalFormatting sqref="C26:F26">
    <cfRule type="expression" dxfId="1482" priority="181">
      <formula>$E$26&gt;0</formula>
    </cfRule>
  </conditionalFormatting>
  <conditionalFormatting sqref="E26:F26">
    <cfRule type="expression" dxfId="1481" priority="180">
      <formula>AND($A$26="",$E$26&gt;0)</formula>
    </cfRule>
  </conditionalFormatting>
  <conditionalFormatting sqref="K27:L27 N27">
    <cfRule type="expression" dxfId="1480" priority="179">
      <formula>$M$27&gt;0</formula>
    </cfRule>
  </conditionalFormatting>
  <conditionalFormatting sqref="N27">
    <cfRule type="expression" dxfId="1479" priority="178">
      <formula>AND($H$27&gt;0,$M$27=0)</formula>
    </cfRule>
  </conditionalFormatting>
  <conditionalFormatting sqref="G39:J39 G40 G41:H41 J40">
    <cfRule type="expression" dxfId="1478" priority="167">
      <formula>$H$40&gt;0</formula>
    </cfRule>
  </conditionalFormatting>
  <conditionalFormatting sqref="G40:H40 J40">
    <cfRule type="expression" dxfId="1477" priority="166">
      <formula>AND($M$41&gt;0,$H$40=0)</formula>
    </cfRule>
  </conditionalFormatting>
  <conditionalFormatting sqref="G41:H41">
    <cfRule type="expression" dxfId="1476" priority="165">
      <formula>AND($H$40&gt;0,$J$41=0,$I$41=0)</formula>
    </cfRule>
  </conditionalFormatting>
  <conditionalFormatting sqref="N41:P41 K41:L41">
    <cfRule type="expression" dxfId="1475" priority="164">
      <formula>$M$41&gt;0</formula>
    </cfRule>
  </conditionalFormatting>
  <conditionalFormatting sqref="N41">
    <cfRule type="expression" dxfId="1474" priority="163">
      <formula>AND($H$40&gt;0,$M$41=0)</formula>
    </cfRule>
  </conditionalFormatting>
  <conditionalFormatting sqref="K39:L39 N39">
    <cfRule type="expression" dxfId="1473" priority="162">
      <formula>$M$39&gt;0</formula>
    </cfRule>
  </conditionalFormatting>
  <conditionalFormatting sqref="B39:F39">
    <cfRule type="expression" dxfId="1472" priority="161">
      <formula>$B$39&lt;0</formula>
    </cfRule>
  </conditionalFormatting>
  <conditionalFormatting sqref="A39:F39">
    <cfRule type="expression" dxfId="1471" priority="160">
      <formula>$B$39&lt;&gt;0</formula>
    </cfRule>
  </conditionalFormatting>
  <conditionalFormatting sqref="C41:F41">
    <cfRule type="expression" dxfId="1470" priority="159">
      <formula>$E$41&gt;0</formula>
    </cfRule>
  </conditionalFormatting>
  <conditionalFormatting sqref="J49">
    <cfRule type="expression" dxfId="1469" priority="158">
      <formula>AND($H$44&gt;0,$J$45=0)</formula>
    </cfRule>
  </conditionalFormatting>
  <conditionalFormatting sqref="H16">
    <cfRule type="expression" dxfId="1468" priority="157">
      <formula>I16&lt;&gt;""</formula>
    </cfRule>
  </conditionalFormatting>
  <conditionalFormatting sqref="I20">
    <cfRule type="expression" dxfId="1467" priority="156">
      <formula>J20&lt;&gt;""</formula>
    </cfRule>
  </conditionalFormatting>
  <conditionalFormatting sqref="I24">
    <cfRule type="expression" dxfId="1466" priority="155">
      <formula>J24&lt;&gt;""</formula>
    </cfRule>
  </conditionalFormatting>
  <conditionalFormatting sqref="I33">
    <cfRule type="expression" dxfId="1465" priority="153">
      <formula>J33&lt;&gt;""</formula>
    </cfRule>
  </conditionalFormatting>
  <conditionalFormatting sqref="I37">
    <cfRule type="expression" dxfId="1464" priority="152">
      <formula>J37&lt;&gt;""</formula>
    </cfRule>
  </conditionalFormatting>
  <conditionalFormatting sqref="I41">
    <cfRule type="expression" dxfId="1463" priority="151">
      <formula>J41&lt;&gt;""</formula>
    </cfRule>
  </conditionalFormatting>
  <conditionalFormatting sqref="I60">
    <cfRule type="expression" dxfId="1462" priority="150">
      <formula>J60&lt;&gt;""</formula>
    </cfRule>
  </conditionalFormatting>
  <conditionalFormatting sqref="I71">
    <cfRule type="expression" dxfId="1461" priority="149">
      <formula>AND($H$59&gt;0,$J$60=0)</formula>
    </cfRule>
  </conditionalFormatting>
  <conditionalFormatting sqref="I45">
    <cfRule type="expression" dxfId="1460" priority="145">
      <formula>J45&lt;&gt;""</formula>
    </cfRule>
  </conditionalFormatting>
  <conditionalFormatting sqref="I49">
    <cfRule type="expression" dxfId="1459" priority="144">
      <formula>J49&lt;&gt;""</formula>
    </cfRule>
  </conditionalFormatting>
  <conditionalFormatting sqref="H71">
    <cfRule type="expression" dxfId="1458" priority="143">
      <formula>I71&lt;&gt;""</formula>
    </cfRule>
  </conditionalFormatting>
  <conditionalFormatting sqref="A20:E20">
    <cfRule type="expression" dxfId="1457" priority="140">
      <formula>AND($A$19="Biogas",$E$20&gt;0)</formula>
    </cfRule>
  </conditionalFormatting>
  <conditionalFormatting sqref="A20:D20">
    <cfRule type="expression" dxfId="1456" priority="138">
      <formula>AND($A$19="Biogas",$D$19&lt;1)</formula>
    </cfRule>
  </conditionalFormatting>
  <conditionalFormatting sqref="G51:J51 G52 J52 G53:H53">
    <cfRule type="expression" dxfId="1455" priority="133">
      <formula>$H$52&gt;0</formula>
    </cfRule>
  </conditionalFormatting>
  <conditionalFormatting sqref="G52:H52 J52">
    <cfRule type="expression" dxfId="1454" priority="132">
      <formula>AND($M$52&gt;0,$H$52=0)</formula>
    </cfRule>
  </conditionalFormatting>
  <conditionalFormatting sqref="G53:H53">
    <cfRule type="expression" dxfId="1453" priority="128">
      <formula>AND($H$52&gt;0,$J$53=0,$I$53=0)</formula>
    </cfRule>
  </conditionalFormatting>
  <conditionalFormatting sqref="I53">
    <cfRule type="expression" dxfId="1452" priority="127">
      <formula>J53&lt;&gt;""</formula>
    </cfRule>
  </conditionalFormatting>
  <conditionalFormatting sqref="N52:P52 K52:L52">
    <cfRule type="expression" dxfId="1451" priority="124">
      <formula>$M$52&gt;0</formula>
    </cfRule>
  </conditionalFormatting>
  <conditionalFormatting sqref="N52">
    <cfRule type="expression" dxfId="1450" priority="123">
      <formula>AND($H$52&gt;0,$M$52=0)</formula>
    </cfRule>
  </conditionalFormatting>
  <conditionalFormatting sqref="G26:J26 G27 G28:H28 J27">
    <cfRule type="expression" dxfId="1449" priority="117">
      <formula>$H$27&gt;0</formula>
    </cfRule>
  </conditionalFormatting>
  <conditionalFormatting sqref="G28:H28">
    <cfRule type="expression" dxfId="1448" priority="116">
      <formula>AND($H$27&gt;0,$J$28=0,$I$28=0)</formula>
    </cfRule>
  </conditionalFormatting>
  <conditionalFormatting sqref="G27:H27 J27">
    <cfRule type="expression" dxfId="1447" priority="115">
      <formula>AND($M$27&gt;0,$H$27=0)</formula>
    </cfRule>
  </conditionalFormatting>
  <conditionalFormatting sqref="I28">
    <cfRule type="expression" dxfId="1446" priority="114">
      <formula>J28&lt;&gt;""</formula>
    </cfRule>
  </conditionalFormatting>
  <conditionalFormatting sqref="A24:E24">
    <cfRule type="expression" dxfId="1445" priority="109">
      <formula>AND($A$23="Biogas",$E$24&gt;0)</formula>
    </cfRule>
  </conditionalFormatting>
  <conditionalFormatting sqref="E24">
    <cfRule type="expression" dxfId="1444" priority="108">
      <formula>AND($A$23="",$E$23&gt;0)</formula>
    </cfRule>
    <cfRule type="expression" dxfId="1443" priority="110">
      <formula>AND($A$23="Biogas",$D$23&lt;1)</formula>
    </cfRule>
  </conditionalFormatting>
  <conditionalFormatting sqref="A24:D24">
    <cfRule type="expression" dxfId="1442" priority="107">
      <formula>AND($A$23="Biogas",$D$23&lt;1)</formula>
    </cfRule>
  </conditionalFormatting>
  <conditionalFormatting sqref="D19">
    <cfRule type="expression" dxfId="1441" priority="119">
      <formula>AND($A$19&lt;&gt;"Biogas",$D$19&lt;1)</formula>
    </cfRule>
    <cfRule type="expression" dxfId="1440" priority="120">
      <formula>$A$19="Biogas"</formula>
    </cfRule>
    <cfRule type="expression" dxfId="1439" priority="121">
      <formula>$E$19&lt;&gt;0</formula>
    </cfRule>
  </conditionalFormatting>
  <conditionalFormatting sqref="D23">
    <cfRule type="expression" dxfId="1438" priority="97">
      <formula>AND($A$23&lt;&gt;"Biogas",$D$23&lt;1)</formula>
    </cfRule>
    <cfRule type="expression" dxfId="1437" priority="212">
      <formula>$A$23="Biogas"</formula>
    </cfRule>
    <cfRule type="expression" dxfId="1436" priority="213">
      <formula>$E$23&lt;&gt;0</formula>
    </cfRule>
  </conditionalFormatting>
  <conditionalFormatting sqref="C28:F28">
    <cfRule type="expression" dxfId="1435" priority="82">
      <formula>$E$28&gt;0</formula>
    </cfRule>
  </conditionalFormatting>
  <conditionalFormatting sqref="A28:E28">
    <cfRule type="expression" dxfId="1434" priority="81">
      <formula>AND($A$28="Biogas",$D$28&lt;1)</formula>
    </cfRule>
  </conditionalFormatting>
  <conditionalFormatting sqref="A29:E29">
    <cfRule type="expression" dxfId="1433" priority="80">
      <formula>AND($A$28="Biogas",$E$29&gt;0)</formula>
    </cfRule>
  </conditionalFormatting>
  <conditionalFormatting sqref="A29:D29">
    <cfRule type="expression" dxfId="1432" priority="79">
      <formula>AND($A$28="Biogas",$D$28&lt;1)</formula>
    </cfRule>
  </conditionalFormatting>
  <conditionalFormatting sqref="D28">
    <cfRule type="expression" dxfId="1431" priority="76">
      <formula>AND($A$28&lt;&gt;"Biogas",$D$28&lt;1)</formula>
    </cfRule>
    <cfRule type="expression" dxfId="1430" priority="77">
      <formula>$A$28="Biogas"</formula>
    </cfRule>
    <cfRule type="expression" dxfId="1429" priority="78">
      <formula>$E$28&lt;&gt;0</formula>
    </cfRule>
  </conditionalFormatting>
  <conditionalFormatting sqref="E28:F28">
    <cfRule type="expression" dxfId="1428" priority="74">
      <formula>AND($A$28="",$E$28&gt;0)</formula>
    </cfRule>
  </conditionalFormatting>
  <conditionalFormatting sqref="E29">
    <cfRule type="expression" dxfId="1427" priority="70">
      <formula>AND($A$28="",$E$28&gt;0)</formula>
    </cfRule>
    <cfRule type="expression" dxfId="1426" priority="71">
      <formula>AND($A$28="Biogas",$D$28&lt;1)</formula>
    </cfRule>
  </conditionalFormatting>
  <conditionalFormatting sqref="A59:E59">
    <cfRule type="expression" dxfId="1425" priority="68">
      <formula>AND($A$59="Biogas",$D$59&lt;1)</formula>
    </cfRule>
  </conditionalFormatting>
  <conditionalFormatting sqref="A60:D60">
    <cfRule type="expression" dxfId="1424" priority="66">
      <formula>AND($A$59="Biogas",$D$59&lt;1)</formula>
    </cfRule>
  </conditionalFormatting>
  <conditionalFormatting sqref="D59">
    <cfRule type="expression" dxfId="1423" priority="63">
      <formula>AND($A$59&lt;&gt;"Biogas",$D$59&lt;1)</formula>
    </cfRule>
    <cfRule type="expression" dxfId="1422" priority="64">
      <formula>$A$59="Biogas"</formula>
    </cfRule>
    <cfRule type="expression" dxfId="1421" priority="65">
      <formula>$E$59&lt;&gt;0</formula>
    </cfRule>
  </conditionalFormatting>
  <conditionalFormatting sqref="A10:H10 J10:L10 N10">
    <cfRule type="expression" dxfId="1420" priority="61">
      <formula>$M$10&gt;0</formula>
    </cfRule>
  </conditionalFormatting>
  <conditionalFormatting sqref="E41:F41">
    <cfRule type="expression" dxfId="1419" priority="52">
      <formula>AND($A$41="",$M$41&gt;0)</formula>
    </cfRule>
  </conditionalFormatting>
  <conditionalFormatting sqref="A67:N67">
    <cfRule type="expression" dxfId="1418" priority="51">
      <formula>$M$67&lt;0</formula>
    </cfRule>
  </conditionalFormatting>
  <conditionalFormatting sqref="A67:H67 J67:N67">
    <cfRule type="expression" dxfId="1417" priority="50">
      <formula>$M$67&lt;&gt;0</formula>
    </cfRule>
  </conditionalFormatting>
  <conditionalFormatting sqref="O46:O48 O50:O51 O42:O44 R16 O10:O40 O53 S14:U20 O57:O58">
    <cfRule type="expression" dxfId="1416" priority="48">
      <formula>$S$18&gt;0</formula>
    </cfRule>
  </conditionalFormatting>
  <conditionalFormatting sqref="E20">
    <cfRule type="expression" dxfId="1415" priority="625">
      <formula>AND($A$28="",$E$28&gt;0)</formula>
    </cfRule>
    <cfRule type="expression" dxfId="1414" priority="626">
      <formula>AND($A$19="Biogas",$D$19&lt;1)</formula>
    </cfRule>
  </conditionalFormatting>
  <conditionalFormatting sqref="S37:S38">
    <cfRule type="expression" dxfId="1413" priority="645">
      <formula>($S$18+$S$33)=0</formula>
    </cfRule>
    <cfRule type="expression" dxfId="1412" priority="646">
      <formula>AND($S$38&gt;0.99,$S$38&lt;1.01)</formula>
    </cfRule>
  </conditionalFormatting>
  <conditionalFormatting sqref="G65 J65">
    <cfRule type="expression" dxfId="1411" priority="41">
      <formula>AND($M$65&gt;0,$H$65=0)</formula>
    </cfRule>
  </conditionalFormatting>
  <conditionalFormatting sqref="N65 K65:L65 O60:O74">
    <cfRule type="expression" dxfId="1410" priority="38">
      <formula>($M$65&gt;0)</formula>
    </cfRule>
  </conditionalFormatting>
  <conditionalFormatting sqref="N65">
    <cfRule type="expression" dxfId="1409" priority="39">
      <formula>AND($H$65&gt;0,$M$65=0)</formula>
    </cfRule>
  </conditionalFormatting>
  <conditionalFormatting sqref="G64:J64 G65 J65">
    <cfRule type="expression" dxfId="1408" priority="37">
      <formula>($H$65&gt;0)</formula>
    </cfRule>
  </conditionalFormatting>
  <conditionalFormatting sqref="R39:S39">
    <cfRule type="expression" dxfId="1407" priority="34">
      <formula>AND($S$38&gt;0.99,$S$38&lt;1.01)</formula>
    </cfRule>
  </conditionalFormatting>
  <conditionalFormatting sqref="S52">
    <cfRule type="expression" dxfId="1406" priority="32">
      <formula>AND($S$51&gt;0.99,$S$51&lt;1.01)</formula>
    </cfRule>
  </conditionalFormatting>
  <conditionalFormatting sqref="S50:S51 S53 S57">
    <cfRule type="expression" dxfId="1405" priority="1072">
      <formula>$S$46=0</formula>
    </cfRule>
    <cfRule type="expression" dxfId="1404" priority="1073">
      <formula>AND($S$51&gt;0.99,$S$51&lt;1.01)</formula>
    </cfRule>
  </conditionalFormatting>
  <conditionalFormatting sqref="M73">
    <cfRule type="expression" dxfId="1403" priority="29">
      <formula>$M$73&gt;SUM($M$60,$M$70)</formula>
    </cfRule>
  </conditionalFormatting>
  <conditionalFormatting sqref="A12:H12 J12:L12 N12">
    <cfRule type="expression" dxfId="1402" priority="28">
      <formula>$M$12&gt;0</formula>
    </cfRule>
  </conditionalFormatting>
  <conditionalFormatting sqref="H12 J12">
    <cfRule type="expression" dxfId="1401" priority="27">
      <formula>AND($M$12&gt;0,$I$12=0)</formula>
    </cfRule>
  </conditionalFormatting>
  <conditionalFormatting sqref="O54">
    <cfRule type="expression" dxfId="1400" priority="23">
      <formula>$S$33&gt;0</formula>
    </cfRule>
  </conditionalFormatting>
  <conditionalFormatting sqref="O54">
    <cfRule type="expression" dxfId="1399" priority="22">
      <formula>$S$18&gt;0</formula>
    </cfRule>
  </conditionalFormatting>
  <conditionalFormatting sqref="H55 J55">
    <cfRule type="expression" dxfId="1398" priority="20">
      <formula>AND($M$55&gt;0,$I$55=0)</formula>
    </cfRule>
  </conditionalFormatting>
  <conditionalFormatting sqref="C54">
    <cfRule type="expression" dxfId="1397" priority="19">
      <formula>$E$33&gt;0</formula>
    </cfRule>
  </conditionalFormatting>
  <conditionalFormatting sqref="C54">
    <cfRule type="expression" dxfId="1396" priority="18">
      <formula>$E$37&gt;0</formula>
    </cfRule>
  </conditionalFormatting>
  <conditionalFormatting sqref="C54">
    <cfRule type="expression" dxfId="1395" priority="17">
      <formula>$E$45&gt;0</formula>
    </cfRule>
  </conditionalFormatting>
  <conditionalFormatting sqref="C54">
    <cfRule type="expression" dxfId="1394" priority="16">
      <formula>$E$49&gt;0</formula>
    </cfRule>
  </conditionalFormatting>
  <conditionalFormatting sqref="A55:H55 J55:L55 N55:P55">
    <cfRule type="expression" dxfId="1393" priority="14">
      <formula>$M$55&gt;0</formula>
    </cfRule>
  </conditionalFormatting>
  <conditionalFormatting sqref="C56">
    <cfRule type="expression" dxfId="1392" priority="13">
      <formula>$E$33&gt;0</formula>
    </cfRule>
  </conditionalFormatting>
  <conditionalFormatting sqref="C56">
    <cfRule type="expression" dxfId="1391" priority="12">
      <formula>$E$37&gt;0</formula>
    </cfRule>
  </conditionalFormatting>
  <conditionalFormatting sqref="C56">
    <cfRule type="expression" dxfId="1390" priority="11">
      <formula>$E$45&gt;0</formula>
    </cfRule>
  </conditionalFormatting>
  <conditionalFormatting sqref="C56">
    <cfRule type="expression" dxfId="1389" priority="10">
      <formula>$E$49&gt;0</formula>
    </cfRule>
  </conditionalFormatting>
  <conditionalFormatting sqref="C56">
    <cfRule type="expression" dxfId="1388" priority="9">
      <formula>$E$53&gt;0</formula>
    </cfRule>
  </conditionalFormatting>
  <conditionalFormatting sqref="O56">
    <cfRule type="expression" dxfId="1387" priority="8">
      <formula>$S$33&gt;0</formula>
    </cfRule>
  </conditionalFormatting>
  <conditionalFormatting sqref="O56">
    <cfRule type="expression" dxfId="1386" priority="7">
      <formula>$S$18&gt;0</formula>
    </cfRule>
  </conditionalFormatting>
  <conditionalFormatting sqref="O9">
    <cfRule type="expression" dxfId="1385" priority="6">
      <formula>$S$33&gt;0</formula>
    </cfRule>
  </conditionalFormatting>
  <conditionalFormatting sqref="O9">
    <cfRule type="expression" dxfId="1384" priority="5">
      <formula>$S$18&gt;0</formula>
    </cfRule>
  </conditionalFormatting>
  <conditionalFormatting sqref="N10">
    <cfRule type="expression" dxfId="1383" priority="4">
      <formula>AND($I$10&gt;0,$M$10=0)</formula>
    </cfRule>
  </conditionalFormatting>
  <conditionalFormatting sqref="N12">
    <cfRule type="expression" dxfId="1382" priority="3">
      <formula>AND($I$12&gt;0,$M$12=0)</formula>
    </cfRule>
  </conditionalFormatting>
  <conditionalFormatting sqref="N55">
    <cfRule type="expression" dxfId="1381" priority="2">
      <formula>AND($I$55&gt;0,$M$55=0)</formula>
    </cfRule>
  </conditionalFormatting>
  <conditionalFormatting sqref="H67 J67">
    <cfRule type="expression" dxfId="1380" priority="1">
      <formula>AND($M$67&gt;0,$I$67=0)</formula>
    </cfRule>
  </conditionalFormatting>
  <dataValidations count="17">
    <dataValidation type="custom" allowBlank="1" showInputMessage="1" showErrorMessage="1" errorTitle="Netzrückspeisung zu hoch" error="Die Netzrückspeisung darf nicht grösser sein als die Summe der mit WKK und Solarstromanlage erzeugten Elektrizität." sqref="M73">
      <formula1>AF73</formula1>
    </dataValidation>
    <dataValidation type="list" allowBlank="1" showInputMessage="1" showErrorMessage="1" sqref="B77:E79">
      <formula1>$AC$77:$AC$79</formula1>
    </dataValidation>
    <dataValidation type="list" allowBlank="1" showInputMessage="1" showErrorMessage="1" sqref="S77:S79">
      <formula1>$AH$77:$AH$78</formula1>
    </dataValidation>
    <dataValidation type="decimal" allowBlank="1" showInputMessage="1" showErrorMessage="1" error="Wert muss zwischen 400 und 1'500 liegen" sqref="I71">
      <formula1>400</formula1>
      <formula2>1500</formula2>
    </dataValidation>
    <dataValidation type="decimal" allowBlank="1" showInputMessage="1" showErrorMessage="1" error="Wert muss zwischen 2.0 und 8.0 liegen" sqref="J33 J37 J28">
      <formula1>2</formula1>
      <formula2>8</formula2>
    </dataValidation>
    <dataValidation type="decimal" allowBlank="1" showInputMessage="1" showErrorMessage="1" error="Wert muss zwischen 1.5 und 8.0 liegen" sqref="J45 J49">
      <formula1>1.5</formula1>
      <formula2>8</formula2>
    </dataValidation>
    <dataValidation type="list" allowBlank="1" showInputMessage="1" showErrorMessage="1" sqref="A28:B28">
      <formula1>Gasbrennstoffe</formula1>
    </dataValidation>
    <dataValidation type="decimal" showInputMessage="1" showErrorMessage="1" error="Wert muss im Bereich 5 ... 100% liegen" sqref="C23:D23 C59:D59 C28:D28 C19:D19">
      <formula1>0.05</formula1>
      <formula2>1</formula2>
    </dataValidation>
    <dataValidation type="decimal" allowBlank="1" showErrorMessage="1" error="Wert muss zwischen 0.5 und 1.0 liegen" prompt="Wert muss zwischen 0.5 und 1.0 liegen" sqref="J60">
      <formula1>0.5</formula1>
      <formula2>1</formula2>
    </dataValidation>
    <dataValidation type="decimal" allowBlank="1" showInputMessage="1" showErrorMessage="1" error="Wert muss zwischen 200 und 800 liegen" sqref="I16">
      <formula1>200</formula1>
      <formula2>800</formula2>
    </dataValidation>
    <dataValidation type="decimal" allowBlank="1" showInputMessage="1" showErrorMessage="1" error="Wert muss zwischen 0.5 und 1.0 liegen" sqref="J20 J24">
      <formula1>0.5</formula1>
      <formula2>1</formula2>
    </dataValidation>
    <dataValidation type="list" allowBlank="1" showInputMessage="1" showErrorMessage="1" sqref="A23:B23 A59:B59 A19:B19">
      <formula1>Brennstoffe</formula1>
    </dataValidation>
    <dataValidation type="decimal" allowBlank="1" showInputMessage="1" showErrorMessage="1" error="Wert muss zwischen 5 und 100 liegen" sqref="J53">
      <formula1>5</formula1>
      <formula2>100</formula2>
    </dataValidation>
    <dataValidation type="decimal" allowBlank="1" showInputMessage="1" showErrorMessage="1" error="Wert muss zwischen 0.3 und 1.5 liegen" sqref="J41">
      <formula1>0.3</formula1>
      <formula2>1.5</formula2>
    </dataValidation>
    <dataValidation type="list" allowBlank="1" showInputMessage="1" showErrorMessage="1" sqref="A35:B35 A26:B26 A31:B31">
      <formula1>$AC$12:$AC$16</formula1>
    </dataValidation>
    <dataValidation type="list" allowBlank="1" showInputMessage="1" showErrorMessage="1" sqref="A41:B41">
      <formula1>$AC$19:$AC$20</formula1>
    </dataValidation>
    <dataValidation type="decimal" operator="greaterThanOrEqual" allowBlank="1" showInputMessage="1" showErrorMessage="1" sqref="I10 I12 H15:I15 H19:I19 H23:I23 H27:I27 H32:I32 H36:I36 H44:I44 H48:I48 H52:I52 I55 H59:I59 H65:I65 I67 H70:I70 H40:I40">
      <formula1>0</formula1>
    </dataValidation>
  </dataValidations>
  <hyperlinks>
    <hyperlink ref="I2" location="Neu_in_Version" display="i"/>
  </hyperlinks>
  <printOptions horizontalCentered="1"/>
  <pageMargins left="0.70866141732283472" right="0.70866141732283472" top="0.39370078740157483" bottom="0.93" header="0.39370078740157483" footer="0.39370078740157483"/>
  <pageSetup paperSize="9" scale="72" orientation="portrait" r:id="rId1"/>
  <headerFooter scaleWithDoc="0">
    <oddFooter>&amp;L&amp;8&amp;G&amp;CSeite &amp;P/&amp;N&amp;6
                                                          &amp;D/&amp;F&amp;R&amp;G</oddFooter>
  </headerFooter>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5" tint="0.39997558519241921"/>
  </sheetPr>
  <dimension ref="A1:AJ92"/>
  <sheetViews>
    <sheetView showGridLines="0" showZeros="0" zoomScaleNormal="100" zoomScaleSheetLayoutView="100" workbookViewId="0">
      <pane ySplit="6" topLeftCell="A7" activePane="bottomLeft" state="frozen"/>
      <selection activeCell="I34" sqref="I34:L34"/>
      <selection pane="bottomLeft" activeCell="E6" sqref="E6:G6"/>
    </sheetView>
  </sheetViews>
  <sheetFormatPr baseColWidth="10" defaultColWidth="9.25" defaultRowHeight="12.9" outlineLevelCol="1" x14ac:dyDescent="0.2"/>
  <cols>
    <col min="1" max="1" width="4" style="562" customWidth="1"/>
    <col min="2" max="2" width="9.125" style="562" customWidth="1"/>
    <col min="3" max="3" width="2.625" style="562" customWidth="1"/>
    <col min="4" max="4" width="4.875" style="562" customWidth="1"/>
    <col min="5" max="5" width="9.75" style="561" customWidth="1"/>
    <col min="6" max="6" width="7.75" style="561" customWidth="1"/>
    <col min="7" max="7" width="10.125" style="561" customWidth="1"/>
    <col min="8" max="9" width="6.375" style="561" customWidth="1"/>
    <col min="10" max="10" width="7" style="561" customWidth="1"/>
    <col min="11" max="12" width="2.625" style="561" customWidth="1"/>
    <col min="13" max="13" width="9.75" style="561" customWidth="1"/>
    <col min="14" max="14" width="7.75" style="561" customWidth="1"/>
    <col min="15" max="15" width="2.625" style="561" customWidth="1"/>
    <col min="16" max="16" width="3.75" style="561" customWidth="1"/>
    <col min="17" max="17" width="2.625" style="561" customWidth="1"/>
    <col min="18" max="18" width="7.75" style="561" customWidth="1"/>
    <col min="19" max="19" width="6.75" style="561" customWidth="1"/>
    <col min="20" max="20" width="2.625" style="561" customWidth="1"/>
    <col min="21" max="21" width="6.75" style="561" customWidth="1"/>
    <col min="22" max="22" width="7.75" style="561" customWidth="1"/>
    <col min="23" max="26" width="9.25" style="561" customWidth="1"/>
    <col min="27" max="28" width="9.25" style="561"/>
    <col min="29" max="35" width="9.25" style="561" hidden="1" customWidth="1" outlineLevel="1"/>
    <col min="36" max="36" width="9.25" style="561" collapsed="1"/>
    <col min="37" max="16384" width="9.25" style="561"/>
  </cols>
  <sheetData>
    <row r="1" spans="1:32" ht="56.25" customHeight="1" x14ac:dyDescent="0.2">
      <c r="A1" s="561"/>
      <c r="B1" s="561"/>
      <c r="C1" s="561"/>
      <c r="E1" s="563"/>
      <c r="F1" s="563"/>
      <c r="G1" s="563"/>
      <c r="H1" s="563"/>
      <c r="I1" s="563"/>
      <c r="J1" s="563"/>
      <c r="K1" s="563"/>
      <c r="L1" s="563"/>
      <c r="M1" s="563"/>
      <c r="N1" s="563"/>
      <c r="O1" s="564"/>
      <c r="P1" s="564"/>
      <c r="Q1" s="564"/>
      <c r="R1" s="564"/>
      <c r="S1" s="564"/>
      <c r="T1" s="564"/>
      <c r="U1" s="564"/>
      <c r="V1" s="564"/>
    </row>
    <row r="2" spans="1:32" ht="13.6" customHeight="1" x14ac:dyDescent="0.25">
      <c r="A2" s="1104" t="str">
        <f>CONCATENATE("Variantenvergleich Energiesysteme - Version ",Versionsinfo!$B$4)</f>
        <v>Variantenvergleich Energiesysteme - Version 2.2</v>
      </c>
      <c r="B2" s="561"/>
      <c r="C2" s="561"/>
      <c r="D2" s="563"/>
      <c r="E2" s="563"/>
      <c r="F2" s="563"/>
      <c r="G2" s="563"/>
      <c r="H2" s="1535"/>
      <c r="I2" s="1536" t="s">
        <v>684</v>
      </c>
      <c r="J2" s="564"/>
      <c r="K2" s="564"/>
      <c r="L2" s="564"/>
      <c r="M2" s="565"/>
      <c r="N2" s="566"/>
      <c r="O2" s="564"/>
      <c r="P2" s="564"/>
      <c r="Q2" s="564"/>
      <c r="R2" s="564"/>
      <c r="S2" s="564"/>
      <c r="T2" s="564"/>
      <c r="U2" s="564"/>
      <c r="V2" s="564"/>
    </row>
    <row r="3" spans="1:32" ht="12.75" customHeight="1" x14ac:dyDescent="0.2">
      <c r="A3" s="567" t="s">
        <v>178</v>
      </c>
      <c r="B3" s="561"/>
      <c r="C3" s="561"/>
      <c r="D3" s="561"/>
    </row>
    <row r="4" spans="1:32" ht="18" customHeight="1" x14ac:dyDescent="0.2">
      <c r="A4" s="568"/>
      <c r="B4" s="561"/>
      <c r="C4" s="561"/>
      <c r="D4" s="561"/>
    </row>
    <row r="5" spans="1:32" s="571" customFormat="1" ht="19.55" customHeight="1" x14ac:dyDescent="0.2">
      <c r="A5" s="569" t="s">
        <v>44</v>
      </c>
      <c r="B5" s="570"/>
      <c r="C5" s="570"/>
      <c r="D5" s="570"/>
      <c r="H5" s="572">
        <f>Projektdaten!$C$8</f>
        <v>0</v>
      </c>
      <c r="I5" s="572"/>
      <c r="J5" s="1309"/>
      <c r="K5" s="1309"/>
      <c r="L5" s="1309"/>
      <c r="M5" s="1309"/>
      <c r="N5" s="1309"/>
      <c r="O5" s="1309"/>
      <c r="P5" s="1309"/>
      <c r="Q5" s="1309"/>
      <c r="R5" s="1309"/>
      <c r="S5" s="1309"/>
      <c r="T5" s="1309"/>
      <c r="U5" s="1310">
        <f>Projektdaten!$I$8</f>
        <v>0</v>
      </c>
      <c r="W5" s="2423" t="s">
        <v>192</v>
      </c>
      <c r="X5" s="2423"/>
      <c r="Y5" s="2423"/>
      <c r="Z5" s="2423"/>
      <c r="AA5" s="2423"/>
      <c r="AB5" s="2423"/>
    </row>
    <row r="6" spans="1:32" ht="16.5" customHeight="1" x14ac:dyDescent="0.2">
      <c r="A6" s="573" t="s">
        <v>19</v>
      </c>
      <c r="B6" s="574"/>
      <c r="C6" s="574"/>
      <c r="D6" s="574"/>
      <c r="E6" s="2424"/>
      <c r="F6" s="2424"/>
      <c r="G6" s="2424"/>
      <c r="H6" s="575"/>
      <c r="I6" s="575"/>
      <c r="J6" s="2403"/>
      <c r="K6" s="2404"/>
      <c r="L6" s="2404"/>
      <c r="M6" s="2404"/>
      <c r="N6" s="2404"/>
      <c r="O6" s="2404"/>
      <c r="P6" s="2404"/>
      <c r="Q6" s="2404"/>
      <c r="R6" s="2404"/>
      <c r="S6" s="2404"/>
      <c r="T6" s="2404"/>
      <c r="U6" s="576"/>
    </row>
    <row r="7" spans="1:32" s="578" customFormat="1" ht="18" customHeight="1" x14ac:dyDescent="0.2">
      <c r="A7" s="577"/>
      <c r="B7" s="577"/>
      <c r="C7" s="577"/>
      <c r="D7" s="577"/>
    </row>
    <row r="8" spans="1:32" s="578" customFormat="1" ht="12.75" customHeight="1" x14ac:dyDescent="0.2">
      <c r="A8" s="577"/>
      <c r="B8" s="577"/>
      <c r="C8" s="577"/>
      <c r="D8" s="577"/>
      <c r="E8" s="580" t="s">
        <v>147</v>
      </c>
      <c r="G8" s="2425" t="s">
        <v>236</v>
      </c>
      <c r="H8" s="2425"/>
      <c r="I8" s="2425"/>
      <c r="J8" s="2425"/>
      <c r="M8" s="580" t="s">
        <v>148</v>
      </c>
    </row>
    <row r="9" spans="1:32" s="578" customFormat="1" ht="5.95" customHeight="1" x14ac:dyDescent="0.2">
      <c r="A9" s="581"/>
      <c r="B9" s="577"/>
      <c r="C9" s="577"/>
      <c r="D9" s="577"/>
      <c r="E9" s="582"/>
      <c r="G9" s="582"/>
      <c r="H9" s="582"/>
      <c r="I9" s="582"/>
      <c r="J9" s="582"/>
      <c r="M9" s="582"/>
      <c r="N9" s="583"/>
      <c r="O9" s="592"/>
      <c r="Q9" s="577"/>
      <c r="R9" s="577"/>
    </row>
    <row r="10" spans="1:32" s="578" customFormat="1" ht="12.75" customHeight="1" x14ac:dyDescent="0.2">
      <c r="A10" s="1099" t="s">
        <v>46</v>
      </c>
      <c r="B10" s="584"/>
      <c r="C10" s="584"/>
      <c r="D10" s="584"/>
      <c r="E10" s="585">
        <f>M10</f>
        <v>0</v>
      </c>
      <c r="F10" s="586" t="s">
        <v>5</v>
      </c>
      <c r="G10" s="587"/>
      <c r="H10" s="1100" t="s">
        <v>294</v>
      </c>
      <c r="I10" s="588"/>
      <c r="J10" s="589" t="s">
        <v>62</v>
      </c>
      <c r="K10" s="590"/>
      <c r="L10" s="590"/>
      <c r="M10" s="591"/>
      <c r="N10" s="590" t="s">
        <v>5</v>
      </c>
      <c r="O10" s="594"/>
      <c r="P10" s="583"/>
      <c r="Q10" s="583"/>
      <c r="R10" s="583"/>
      <c r="S10" s="583"/>
      <c r="T10" s="583"/>
      <c r="U10" s="583"/>
    </row>
    <row r="11" spans="1:32" s="578" customFormat="1" ht="12.75" customHeight="1" x14ac:dyDescent="0.2">
      <c r="A11" s="593"/>
      <c r="B11" s="593"/>
      <c r="C11" s="593"/>
      <c r="D11" s="593"/>
      <c r="E11" s="582"/>
      <c r="F11" s="583"/>
      <c r="G11" s="582"/>
      <c r="H11" s="582"/>
      <c r="I11" s="582"/>
      <c r="J11" s="582"/>
      <c r="K11" s="583"/>
      <c r="L11" s="583"/>
      <c r="M11" s="582"/>
      <c r="N11" s="583"/>
      <c r="O11" s="594"/>
      <c r="P11" s="583"/>
      <c r="Q11" s="583"/>
      <c r="R11" s="583"/>
      <c r="S11" s="583"/>
      <c r="T11" s="583"/>
      <c r="U11" s="583"/>
      <c r="AC11" s="621" t="s">
        <v>515</v>
      </c>
      <c r="AD11" s="622"/>
      <c r="AE11" s="622"/>
      <c r="AF11" s="623"/>
    </row>
    <row r="12" spans="1:32" s="578" customFormat="1" ht="12.75" customHeight="1" x14ac:dyDescent="0.2">
      <c r="A12" s="1538" t="str">
        <f>Grunddaten!C55</f>
        <v>Wärmeverbund XY</v>
      </c>
      <c r="B12" s="584"/>
      <c r="C12" s="584"/>
      <c r="D12" s="584"/>
      <c r="E12" s="585">
        <f>M12</f>
        <v>0</v>
      </c>
      <c r="F12" s="586" t="s">
        <v>5</v>
      </c>
      <c r="G12" s="587"/>
      <c r="H12" s="1100" t="s">
        <v>294</v>
      </c>
      <c r="I12" s="588"/>
      <c r="J12" s="589" t="s">
        <v>62</v>
      </c>
      <c r="K12" s="590"/>
      <c r="L12" s="590"/>
      <c r="M12" s="591"/>
      <c r="N12" s="590" t="s">
        <v>5</v>
      </c>
      <c r="O12" s="594"/>
      <c r="P12" s="583"/>
      <c r="Q12" s="583"/>
      <c r="R12" s="583"/>
      <c r="S12" s="583"/>
      <c r="T12" s="583"/>
      <c r="U12" s="583"/>
      <c r="AC12" s="625" t="s">
        <v>78</v>
      </c>
      <c r="AD12" s="626"/>
      <c r="AE12" s="626"/>
      <c r="AF12" s="627"/>
    </row>
    <row r="13" spans="1:32" s="578" customFormat="1" ht="12.75" customHeight="1" thickBot="1" x14ac:dyDescent="0.25">
      <c r="A13" s="593"/>
      <c r="B13" s="593"/>
      <c r="C13" s="593"/>
      <c r="D13" s="593"/>
      <c r="E13" s="582"/>
      <c r="F13" s="583"/>
      <c r="G13" s="582"/>
      <c r="H13" s="582"/>
      <c r="I13" s="582"/>
      <c r="J13" s="582"/>
      <c r="K13" s="583"/>
      <c r="L13" s="583"/>
      <c r="M13" s="582"/>
      <c r="N13" s="583"/>
      <c r="O13" s="594"/>
      <c r="P13" s="583"/>
      <c r="Q13" s="583"/>
      <c r="R13" s="583"/>
      <c r="S13" s="583"/>
      <c r="T13" s="583"/>
      <c r="U13" s="583"/>
      <c r="AC13" s="625" t="s">
        <v>79</v>
      </c>
      <c r="AD13" s="626"/>
      <c r="AE13" s="626"/>
      <c r="AF13" s="627"/>
    </row>
    <row r="14" spans="1:32" s="578" customFormat="1" ht="12.75" customHeight="1" x14ac:dyDescent="0.2">
      <c r="A14" s="593"/>
      <c r="B14" s="593"/>
      <c r="C14" s="593"/>
      <c r="D14" s="593"/>
      <c r="E14" s="582"/>
      <c r="F14" s="583"/>
      <c r="G14" s="2420" t="s">
        <v>83</v>
      </c>
      <c r="H14" s="2421"/>
      <c r="I14" s="2421"/>
      <c r="J14" s="2422"/>
      <c r="K14" s="820"/>
      <c r="L14" s="820"/>
      <c r="M14" s="582"/>
      <c r="N14" s="583"/>
      <c r="O14" s="594"/>
      <c r="P14" s="2411" t="s">
        <v>602</v>
      </c>
      <c r="Q14" s="2412"/>
      <c r="R14" s="583"/>
      <c r="S14" s="2420" t="s">
        <v>77</v>
      </c>
      <c r="T14" s="2421"/>
      <c r="U14" s="2422"/>
      <c r="AC14" s="625" t="s">
        <v>80</v>
      </c>
      <c r="AD14" s="626"/>
      <c r="AE14" s="626"/>
      <c r="AF14" s="627"/>
    </row>
    <row r="15" spans="1:32" s="578" customFormat="1" ht="12.75" customHeight="1" x14ac:dyDescent="0.3">
      <c r="A15" s="585" t="s">
        <v>87</v>
      </c>
      <c r="B15" s="585"/>
      <c r="C15" s="585"/>
      <c r="D15" s="585"/>
      <c r="E15" s="585"/>
      <c r="F15" s="595"/>
      <c r="G15" s="596" t="s">
        <v>84</v>
      </c>
      <c r="H15" s="2409"/>
      <c r="I15" s="2383"/>
      <c r="J15" s="597" t="s">
        <v>86</v>
      </c>
      <c r="K15" s="585"/>
      <c r="L15" s="585"/>
      <c r="M15" s="585">
        <f>H15*IF(ISBLANK(I16),H16,I16)</f>
        <v>0</v>
      </c>
      <c r="N15" s="590" t="s">
        <v>5</v>
      </c>
      <c r="O15" s="594"/>
      <c r="P15" s="2413" t="s">
        <v>601</v>
      </c>
      <c r="Q15" s="2414"/>
      <c r="R15" s="583"/>
      <c r="S15" s="2426"/>
      <c r="T15" s="2427"/>
      <c r="U15" s="2428"/>
      <c r="AC15" s="625" t="s">
        <v>89</v>
      </c>
      <c r="AD15" s="626"/>
      <c r="AE15" s="626"/>
      <c r="AF15" s="627"/>
    </row>
    <row r="16" spans="1:32" s="578" customFormat="1" ht="12.75" customHeight="1" thickBot="1" x14ac:dyDescent="0.35">
      <c r="A16" s="593"/>
      <c r="B16" s="593"/>
      <c r="C16" s="593"/>
      <c r="D16" s="593"/>
      <c r="E16" s="598"/>
      <c r="F16" s="583"/>
      <c r="G16" s="599" t="s">
        <v>85</v>
      </c>
      <c r="H16" s="668">
        <f>IF(ISBLANK(H15),0,Grunddaten!H122)</f>
        <v>0</v>
      </c>
      <c r="I16" s="601"/>
      <c r="J16" s="602" t="s">
        <v>88</v>
      </c>
      <c r="K16" s="603"/>
      <c r="L16" s="603"/>
      <c r="M16" s="598"/>
      <c r="N16" s="583"/>
      <c r="O16" s="604"/>
      <c r="P16" s="2410"/>
      <c r="Q16" s="2410"/>
      <c r="R16" s="595"/>
      <c r="S16" s="2429"/>
      <c r="T16" s="2430"/>
      <c r="U16" s="2431"/>
      <c r="AC16" s="630" t="str">
        <f>Grunddaten!$C$55</f>
        <v>Wärmeverbund XY</v>
      </c>
      <c r="AD16" s="631"/>
      <c r="AE16" s="631"/>
      <c r="AF16" s="632"/>
    </row>
    <row r="17" spans="1:32" s="578" customFormat="1" ht="12.75" customHeight="1" thickBot="1" x14ac:dyDescent="0.25">
      <c r="A17" s="593"/>
      <c r="B17" s="593"/>
      <c r="C17" s="593"/>
      <c r="D17" s="593"/>
      <c r="E17" s="582"/>
      <c r="F17" s="583"/>
      <c r="G17" s="582"/>
      <c r="H17" s="582"/>
      <c r="I17" s="582"/>
      <c r="J17" s="582"/>
      <c r="K17" s="583"/>
      <c r="L17" s="583"/>
      <c r="M17" s="582"/>
      <c r="N17" s="583"/>
      <c r="O17" s="594"/>
      <c r="P17" s="2373" t="s">
        <v>641</v>
      </c>
      <c r="Q17" s="2374"/>
      <c r="R17" s="583"/>
      <c r="S17" s="1341" t="s">
        <v>81</v>
      </c>
      <c r="T17" s="606"/>
      <c r="U17" s="607"/>
    </row>
    <row r="18" spans="1:32" s="578" customFormat="1" ht="12.75" customHeight="1" x14ac:dyDescent="0.2">
      <c r="A18" s="593"/>
      <c r="B18" s="593"/>
      <c r="C18" s="593"/>
      <c r="D18" s="593"/>
      <c r="E18" s="582"/>
      <c r="F18" s="583"/>
      <c r="G18" s="2420" t="s">
        <v>58</v>
      </c>
      <c r="H18" s="2421"/>
      <c r="I18" s="2421"/>
      <c r="J18" s="2422"/>
      <c r="K18" s="820"/>
      <c r="L18" s="820"/>
      <c r="M18" s="582"/>
      <c r="N18" s="583"/>
      <c r="O18" s="594"/>
      <c r="P18" s="923"/>
      <c r="Q18" s="923"/>
      <c r="R18" s="583"/>
      <c r="S18" s="2387">
        <f>Projektdaten!I36</f>
        <v>0</v>
      </c>
      <c r="T18" s="2388"/>
      <c r="U18" s="1340" t="s">
        <v>5</v>
      </c>
      <c r="W18" s="1335"/>
      <c r="X18" s="990"/>
      <c r="AC18" s="621" t="s">
        <v>514</v>
      </c>
      <c r="AD18" s="622"/>
      <c r="AE18" s="622"/>
      <c r="AF18" s="623"/>
    </row>
    <row r="19" spans="1:32" s="578" customFormat="1" ht="12.75" customHeight="1" x14ac:dyDescent="0.2">
      <c r="A19" s="2397"/>
      <c r="B19" s="2397"/>
      <c r="C19" s="1101"/>
      <c r="D19" s="1095">
        <v>1</v>
      </c>
      <c r="E19" s="925">
        <f>IF(M19,M19/IF(ISBLANK(J20),I20,J20)*IF(D19,D19,1),0)</f>
        <v>0</v>
      </c>
      <c r="F19" s="930" t="s">
        <v>5</v>
      </c>
      <c r="G19" s="596" t="s">
        <v>61</v>
      </c>
      <c r="H19" s="2383"/>
      <c r="I19" s="2383"/>
      <c r="J19" s="610" t="s">
        <v>62</v>
      </c>
      <c r="K19" s="585"/>
      <c r="L19" s="585"/>
      <c r="M19" s="591"/>
      <c r="N19" s="590" t="s">
        <v>5</v>
      </c>
      <c r="O19" s="594"/>
      <c r="P19" s="923"/>
      <c r="Q19" s="923"/>
      <c r="R19" s="583"/>
      <c r="S19" s="1336" t="s">
        <v>600</v>
      </c>
      <c r="T19" s="1337"/>
      <c r="U19" s="1338"/>
      <c r="AC19" s="625" t="s">
        <v>46</v>
      </c>
      <c r="AD19" s="626"/>
      <c r="AE19" s="626"/>
      <c r="AF19" s="627"/>
    </row>
    <row r="20" spans="1:32" s="578" customFormat="1" ht="12.75" customHeight="1" thickBot="1" x14ac:dyDescent="0.25">
      <c r="A20" s="2400" t="str">
        <f>IF(AND(A19="Biogas",D19&lt;1),"Erdgas","")</f>
        <v/>
      </c>
      <c r="B20" s="2400"/>
      <c r="C20" s="1096"/>
      <c r="D20" s="1096">
        <f>IF(A19="Biogas",IF(D19,1-D19,0),0)</f>
        <v>0</v>
      </c>
      <c r="E20" s="949">
        <f>IF(AND(A19="Biogas",D19&lt;1),M19/IF(ISBLANK(J20),I20,J20)*D20,0)</f>
        <v>0</v>
      </c>
      <c r="F20" s="923"/>
      <c r="G20" s="611"/>
      <c r="H20" s="612" t="s">
        <v>57</v>
      </c>
      <c r="I20" s="600">
        <f>IF(ISBLANK(H19),0,IFERROR(HLOOKUP(A19,Grunddaten!H121:Y125,4,FALSE),Grunddaten!H124))</f>
        <v>0</v>
      </c>
      <c r="J20" s="613"/>
      <c r="K20" s="603"/>
      <c r="L20" s="603"/>
      <c r="M20" s="598"/>
      <c r="N20" s="583"/>
      <c r="O20" s="594"/>
      <c r="P20" s="923"/>
      <c r="Q20" s="923"/>
      <c r="R20" s="583"/>
      <c r="S20" s="2389">
        <f>S18*(1+P16)</f>
        <v>0</v>
      </c>
      <c r="T20" s="2390"/>
      <c r="U20" s="946" t="s">
        <v>5</v>
      </c>
      <c r="AC20" s="630" t="s">
        <v>516</v>
      </c>
      <c r="AD20" s="631"/>
      <c r="AE20" s="631"/>
      <c r="AF20" s="632"/>
    </row>
    <row r="21" spans="1:32" s="578" customFormat="1" ht="12.75" customHeight="1" thickBot="1" x14ac:dyDescent="0.25">
      <c r="A21" s="593"/>
      <c r="B21" s="593"/>
      <c r="C21" s="593"/>
      <c r="D21" s="593"/>
      <c r="E21" s="582"/>
      <c r="F21" s="583"/>
      <c r="G21" s="582"/>
      <c r="H21" s="582"/>
      <c r="I21" s="582"/>
      <c r="J21" s="582"/>
      <c r="K21" s="583"/>
      <c r="L21" s="583"/>
      <c r="M21" s="582"/>
      <c r="N21" s="583"/>
      <c r="O21" s="594"/>
      <c r="P21" s="923"/>
      <c r="Q21" s="923"/>
      <c r="R21" s="583"/>
      <c r="S21" s="583"/>
      <c r="T21" s="614"/>
      <c r="U21" s="583"/>
      <c r="W21" s="609"/>
      <c r="AC21" s="662"/>
      <c r="AD21" s="662"/>
      <c r="AE21" s="662"/>
      <c r="AF21" s="662"/>
    </row>
    <row r="22" spans="1:32" s="578" customFormat="1" ht="12.75" customHeight="1" x14ac:dyDescent="0.2">
      <c r="A22" s="593"/>
      <c r="B22" s="593"/>
      <c r="C22" s="593"/>
      <c r="D22" s="593"/>
      <c r="E22" s="582"/>
      <c r="F22" s="583"/>
      <c r="G22" s="2420" t="s">
        <v>59</v>
      </c>
      <c r="H22" s="2421"/>
      <c r="I22" s="2421"/>
      <c r="J22" s="2422"/>
      <c r="K22" s="820"/>
      <c r="L22" s="820"/>
      <c r="M22" s="582"/>
      <c r="N22" s="583"/>
      <c r="O22" s="594"/>
      <c r="P22" s="923"/>
      <c r="Q22" s="923"/>
      <c r="R22" s="583"/>
      <c r="S22" s="583"/>
      <c r="T22" s="583"/>
      <c r="U22" s="583"/>
      <c r="W22" s="609"/>
      <c r="AC22" s="957" t="s">
        <v>589</v>
      </c>
      <c r="AD22" s="958"/>
      <c r="AE22" s="958"/>
      <c r="AF22" s="959"/>
    </row>
    <row r="23" spans="1:32" s="578" customFormat="1" ht="12.75" customHeight="1" x14ac:dyDescent="0.2">
      <c r="A23" s="2397"/>
      <c r="B23" s="2397"/>
      <c r="C23" s="1101"/>
      <c r="D23" s="1095">
        <v>1</v>
      </c>
      <c r="E23" s="925">
        <f>IF(M23,M23/IF(ISBLANK(J24),I24,J24)*IF(D23,D23,1),0)</f>
        <v>0</v>
      </c>
      <c r="F23" s="930" t="s">
        <v>5</v>
      </c>
      <c r="G23" s="596" t="s">
        <v>61</v>
      </c>
      <c r="H23" s="2383"/>
      <c r="I23" s="2383"/>
      <c r="J23" s="610" t="s">
        <v>62</v>
      </c>
      <c r="K23" s="585"/>
      <c r="L23" s="585"/>
      <c r="M23" s="591"/>
      <c r="N23" s="590" t="s">
        <v>5</v>
      </c>
      <c r="O23" s="594"/>
      <c r="P23" s="923"/>
      <c r="Q23" s="923"/>
      <c r="R23" s="583"/>
      <c r="S23" s="583"/>
      <c r="T23" s="583"/>
      <c r="U23" s="583"/>
      <c r="W23" s="615"/>
      <c r="AC23" s="961" t="str">
        <f>G26</f>
        <v>Gasmotorwärmepumpe</v>
      </c>
      <c r="AD23" s="962"/>
      <c r="AE23" s="962"/>
      <c r="AF23" s="1290">
        <f>ROUND(IF(E26=0,0,H27*(1-1/IF(ISBLANK(J28),I28,J28))),0)</f>
        <v>0</v>
      </c>
    </row>
    <row r="24" spans="1:32" s="578" customFormat="1" ht="12.75" customHeight="1" thickBot="1" x14ac:dyDescent="0.25">
      <c r="A24" s="2400" t="str">
        <f>IF(AND(A23="Biogas",D23&lt;1),"Erdgas","")</f>
        <v/>
      </c>
      <c r="B24" s="2400"/>
      <c r="C24" s="1096"/>
      <c r="D24" s="1096">
        <f>IF(A23="Biogas",IF(D23,1-D23,0),0)</f>
        <v>0</v>
      </c>
      <c r="E24" s="949">
        <f>IF(AND(A23="Biogas",D23&lt;1),M23/IF(ISBLANK(J24),I24,J24)*D24,0)</f>
        <v>0</v>
      </c>
      <c r="F24" s="923"/>
      <c r="G24" s="611"/>
      <c r="H24" s="612" t="s">
        <v>57</v>
      </c>
      <c r="I24" s="600">
        <f>IF(ISBLANK(H23),0,IFERROR(HLOOKUP(A23,Grunddaten!H121:Y125,4,FALSE),Grunddaten!H124))</f>
        <v>0</v>
      </c>
      <c r="J24" s="613"/>
      <c r="K24" s="603"/>
      <c r="L24" s="603"/>
      <c r="M24" s="598"/>
      <c r="N24" s="583"/>
      <c r="O24" s="594"/>
      <c r="P24" s="923"/>
      <c r="Q24" s="923"/>
      <c r="R24" s="583"/>
      <c r="S24" s="583"/>
      <c r="T24" s="583"/>
      <c r="U24" s="583"/>
      <c r="AC24" s="961" t="str">
        <f>G31</f>
        <v>Wärmepumpe 1</v>
      </c>
      <c r="AD24" s="962"/>
      <c r="AE24" s="962"/>
      <c r="AF24" s="1290">
        <f>ROUND(IF(E31=0,0,H32*(1-1/IF(ISBLANK(J33),I33,J33))),0)</f>
        <v>0</v>
      </c>
    </row>
    <row r="25" spans="1:32" s="578" customFormat="1" ht="12.75" customHeight="1" thickBot="1" x14ac:dyDescent="0.25">
      <c r="A25" s="616"/>
      <c r="B25" s="616"/>
      <c r="C25" s="617"/>
      <c r="D25" s="617"/>
      <c r="E25" s="618"/>
      <c r="F25" s="583"/>
      <c r="G25" s="582"/>
      <c r="H25" s="582"/>
      <c r="I25" s="582"/>
      <c r="J25" s="582"/>
      <c r="K25" s="603"/>
      <c r="L25" s="603"/>
      <c r="M25" s="598"/>
      <c r="N25" s="583"/>
      <c r="O25" s="594"/>
      <c r="P25" s="923"/>
      <c r="Q25" s="923"/>
      <c r="R25" s="583"/>
      <c r="S25" s="583"/>
      <c r="T25" s="583"/>
      <c r="U25" s="583"/>
      <c r="AC25" s="961" t="str">
        <f>G35</f>
        <v>Wärmepumpe 2</v>
      </c>
      <c r="AD25" s="962"/>
      <c r="AE25" s="962"/>
      <c r="AF25" s="1290">
        <f>ROUND(IF(E35=0,0,H36*(1-1/IF(ISBLANK(J37),I37,J37))),0)</f>
        <v>0</v>
      </c>
    </row>
    <row r="26" spans="1:32" s="578" customFormat="1" ht="12.75" customHeight="1" x14ac:dyDescent="0.2">
      <c r="A26" s="2397"/>
      <c r="B26" s="2397"/>
      <c r="C26" s="619"/>
      <c r="D26" s="619"/>
      <c r="E26" s="620">
        <f>M27-E28-E29</f>
        <v>0</v>
      </c>
      <c r="F26" s="590" t="s">
        <v>5</v>
      </c>
      <c r="G26" s="2380" t="s">
        <v>304</v>
      </c>
      <c r="H26" s="2381"/>
      <c r="I26" s="2381"/>
      <c r="J26" s="2382"/>
      <c r="K26" s="603"/>
      <c r="L26" s="603"/>
      <c r="M26" s="598"/>
      <c r="N26" s="583"/>
      <c r="O26" s="594"/>
      <c r="P26" s="923"/>
      <c r="Q26" s="923"/>
      <c r="R26" s="583"/>
      <c r="S26" s="583"/>
      <c r="T26" s="583"/>
      <c r="U26" s="583"/>
      <c r="AC26" s="997"/>
      <c r="AD26" s="997"/>
      <c r="AE26" s="997"/>
      <c r="AF26" s="997"/>
    </row>
    <row r="27" spans="1:32" s="578" customFormat="1" ht="12.75" customHeight="1" x14ac:dyDescent="0.2">
      <c r="A27" s="616"/>
      <c r="B27" s="616"/>
      <c r="C27" s="617"/>
      <c r="D27" s="617"/>
      <c r="E27" s="618"/>
      <c r="F27" s="583"/>
      <c r="G27" s="936" t="s">
        <v>61</v>
      </c>
      <c r="H27" s="2383"/>
      <c r="I27" s="2383"/>
      <c r="J27" s="948" t="s">
        <v>62</v>
      </c>
      <c r="K27" s="585"/>
      <c r="L27" s="585"/>
      <c r="M27" s="591"/>
      <c r="N27" s="590" t="s">
        <v>5</v>
      </c>
      <c r="O27" s="594"/>
      <c r="P27" s="923"/>
      <c r="Q27" s="923"/>
      <c r="R27" s="583"/>
      <c r="S27" s="583"/>
      <c r="T27" s="583"/>
      <c r="U27" s="583"/>
      <c r="AC27" s="957" t="s">
        <v>591</v>
      </c>
      <c r="AD27" s="958"/>
      <c r="AE27" s="958"/>
      <c r="AF27" s="959"/>
    </row>
    <row r="28" spans="1:32" s="578" customFormat="1" ht="12.75" customHeight="1" thickBot="1" x14ac:dyDescent="0.25">
      <c r="A28" s="2397"/>
      <c r="B28" s="2397"/>
      <c r="C28" s="1101"/>
      <c r="D28" s="1095">
        <v>1</v>
      </c>
      <c r="E28" s="925">
        <f>IF(M27,M27/IF(ISBLANK(J28),I28,J28)*IF(D28,D28,1),0)</f>
        <v>0</v>
      </c>
      <c r="F28" s="930" t="s">
        <v>5</v>
      </c>
      <c r="G28" s="950"/>
      <c r="H28" s="951" t="s">
        <v>76</v>
      </c>
      <c r="I28" s="600">
        <f>IF(ISBLANK(H27),0,IFERROR(HLOOKUP(A26,Grunddaten!H126:Y130,2,FALSE),Grunddaten!H127))</f>
        <v>0</v>
      </c>
      <c r="J28" s="613"/>
      <c r="K28" s="583"/>
      <c r="L28" s="583"/>
      <c r="M28" s="582"/>
      <c r="N28" s="583"/>
      <c r="O28" s="594"/>
      <c r="P28" s="923"/>
      <c r="Q28" s="923"/>
      <c r="R28" s="583"/>
      <c r="T28" s="758"/>
      <c r="U28" s="758"/>
      <c r="V28" s="644"/>
      <c r="AC28" s="961" t="s">
        <v>611</v>
      </c>
      <c r="AD28" s="962"/>
      <c r="AE28" s="962"/>
      <c r="AF28" s="1290">
        <f>I10</f>
        <v>0</v>
      </c>
    </row>
    <row r="29" spans="1:32" s="578" customFormat="1" ht="12.75" customHeight="1" x14ac:dyDescent="0.2">
      <c r="A29" s="2400" t="str">
        <f>IF(AND(A28="Biogas",D28&lt;1),"Erdgas","")</f>
        <v/>
      </c>
      <c r="B29" s="2400"/>
      <c r="C29" s="1096"/>
      <c r="D29" s="1096">
        <f>IF(A28="Biogas",IF(D28,1-D28,0),0)</f>
        <v>0</v>
      </c>
      <c r="E29" s="949">
        <f>IF(AND(A28="Biogas",D28&lt;1),M27/IF(ISBLANK(J28),I28,J28)*D29,0)</f>
        <v>0</v>
      </c>
      <c r="F29" s="923"/>
      <c r="G29" s="582"/>
      <c r="H29" s="582"/>
      <c r="I29" s="582"/>
      <c r="J29" s="582"/>
      <c r="K29" s="583"/>
      <c r="L29" s="583"/>
      <c r="M29" s="582"/>
      <c r="N29" s="583"/>
      <c r="O29" s="594"/>
      <c r="P29" s="2411" t="s">
        <v>602</v>
      </c>
      <c r="Q29" s="2415"/>
      <c r="R29" s="583"/>
      <c r="S29" s="2420" t="s">
        <v>603</v>
      </c>
      <c r="T29" s="2421"/>
      <c r="U29" s="2422"/>
      <c r="AC29" s="967" t="s">
        <v>305</v>
      </c>
      <c r="AD29" s="968"/>
      <c r="AE29" s="968"/>
      <c r="AF29" s="1291">
        <f>IF(AND(H40&gt;0,A41=AC19),H40/IF(J41,J41,I41),0)</f>
        <v>0</v>
      </c>
    </row>
    <row r="30" spans="1:32" s="578" customFormat="1" ht="12.75" customHeight="1" thickBot="1" x14ac:dyDescent="0.25">
      <c r="A30" s="616"/>
      <c r="B30" s="616"/>
      <c r="C30" s="617"/>
      <c r="D30" s="617"/>
      <c r="E30" s="618"/>
      <c r="F30" s="583"/>
      <c r="G30" s="582"/>
      <c r="H30" s="582"/>
      <c r="I30" s="582"/>
      <c r="J30" s="582"/>
      <c r="K30" s="583"/>
      <c r="L30" s="583"/>
      <c r="M30" s="582"/>
      <c r="N30" s="583"/>
      <c r="O30" s="594"/>
      <c r="P30" s="2413" t="s">
        <v>601</v>
      </c>
      <c r="Q30" s="2414"/>
      <c r="R30" s="583"/>
      <c r="S30" s="2426"/>
      <c r="T30" s="2427"/>
      <c r="U30" s="2428"/>
      <c r="AC30" s="967" t="s">
        <v>592</v>
      </c>
      <c r="AD30" s="968"/>
      <c r="AE30" s="968"/>
      <c r="AF30" s="1291">
        <f>ROUNDUP(SUM(AF28:AF29),-1)</f>
        <v>0</v>
      </c>
    </row>
    <row r="31" spans="1:32" s="578" customFormat="1" ht="12.75" customHeight="1" x14ac:dyDescent="0.2">
      <c r="A31" s="2397"/>
      <c r="B31" s="2397"/>
      <c r="C31" s="619"/>
      <c r="D31" s="619"/>
      <c r="E31" s="620">
        <f>M32-E33</f>
        <v>0</v>
      </c>
      <c r="F31" s="590" t="s">
        <v>5</v>
      </c>
      <c r="G31" s="2420" t="s">
        <v>75</v>
      </c>
      <c r="H31" s="2421"/>
      <c r="I31" s="2421"/>
      <c r="J31" s="2422"/>
      <c r="K31" s="820"/>
      <c r="L31" s="820"/>
      <c r="M31" s="582"/>
      <c r="N31" s="583"/>
      <c r="O31" s="604"/>
      <c r="P31" s="2410"/>
      <c r="Q31" s="2410"/>
      <c r="R31" s="595"/>
      <c r="S31" s="2429"/>
      <c r="T31" s="2430"/>
      <c r="U31" s="2431"/>
    </row>
    <row r="32" spans="1:32" s="578" customFormat="1" ht="12.75" customHeight="1" x14ac:dyDescent="0.2">
      <c r="A32" s="593"/>
      <c r="B32" s="593"/>
      <c r="C32" s="593"/>
      <c r="D32" s="593"/>
      <c r="E32" s="624"/>
      <c r="F32" s="583"/>
      <c r="G32" s="596" t="s">
        <v>61</v>
      </c>
      <c r="H32" s="2383"/>
      <c r="I32" s="2383"/>
      <c r="J32" s="610" t="s">
        <v>62</v>
      </c>
      <c r="K32" s="585"/>
      <c r="L32" s="585"/>
      <c r="M32" s="591"/>
      <c r="N32" s="590" t="s">
        <v>5</v>
      </c>
      <c r="O32" s="594"/>
      <c r="P32" s="2373" t="s">
        <v>641</v>
      </c>
      <c r="Q32" s="2374"/>
      <c r="R32" s="583"/>
      <c r="S32" s="1341" t="s">
        <v>81</v>
      </c>
      <c r="T32" s="606"/>
      <c r="U32" s="607"/>
    </row>
    <row r="33" spans="1:29" s="578" customFormat="1" ht="12.75" customHeight="1" thickBot="1" x14ac:dyDescent="0.25">
      <c r="A33" s="593"/>
      <c r="B33" s="593"/>
      <c r="C33" s="628"/>
      <c r="D33" s="584"/>
      <c r="E33" s="620">
        <f>IF(M32,M32/IF(ISBLANK(J33),I33,J33),0)</f>
        <v>0</v>
      </c>
      <c r="F33" s="590" t="s">
        <v>5</v>
      </c>
      <c r="G33" s="611"/>
      <c r="H33" s="612" t="s">
        <v>76</v>
      </c>
      <c r="I33" s="600">
        <f>IF(ISBLANK(H32),0,IFERROR(HLOOKUP(A31,Grunddaten!H126:Y130,3,FALSE),Grunddaten!H128))</f>
        <v>0</v>
      </c>
      <c r="J33" s="613"/>
      <c r="K33" s="603"/>
      <c r="L33" s="603"/>
      <c r="M33" s="598"/>
      <c r="N33" s="583"/>
      <c r="O33" s="594"/>
      <c r="P33" s="583"/>
      <c r="Q33" s="583"/>
      <c r="R33" s="583"/>
      <c r="S33" s="2387">
        <f>Projektdaten!I38</f>
        <v>0</v>
      </c>
      <c r="T33" s="2388"/>
      <c r="U33" s="1340" t="s">
        <v>5</v>
      </c>
      <c r="W33" s="1335"/>
      <c r="X33" s="990"/>
    </row>
    <row r="34" spans="1:29" s="578" customFormat="1" ht="12.75" customHeight="1" thickBot="1" x14ac:dyDescent="0.25">
      <c r="A34" s="593"/>
      <c r="B34" s="593"/>
      <c r="C34" s="629"/>
      <c r="D34" s="593"/>
      <c r="E34" s="624"/>
      <c r="F34" s="583"/>
      <c r="G34" s="582"/>
      <c r="H34" s="582"/>
      <c r="I34" s="582"/>
      <c r="J34" s="582"/>
      <c r="K34" s="583"/>
      <c r="L34" s="583"/>
      <c r="M34" s="582"/>
      <c r="N34" s="583"/>
      <c r="O34" s="594"/>
      <c r="P34" s="583"/>
      <c r="Q34" s="583"/>
      <c r="R34" s="583"/>
      <c r="S34" s="1336" t="s">
        <v>600</v>
      </c>
      <c r="T34" s="1337"/>
      <c r="U34" s="1338"/>
    </row>
    <row r="35" spans="1:29" s="578" customFormat="1" ht="12.75" customHeight="1" thickBot="1" x14ac:dyDescent="0.25">
      <c r="A35" s="2397"/>
      <c r="B35" s="2397"/>
      <c r="C35" s="619"/>
      <c r="D35" s="619"/>
      <c r="E35" s="620">
        <f>M36-E37</f>
        <v>0</v>
      </c>
      <c r="F35" s="590" t="s">
        <v>5</v>
      </c>
      <c r="G35" s="2432" t="s">
        <v>82</v>
      </c>
      <c r="H35" s="2433"/>
      <c r="I35" s="2433"/>
      <c r="J35" s="2434"/>
      <c r="K35" s="820"/>
      <c r="L35" s="820"/>
      <c r="M35" s="582"/>
      <c r="N35" s="583"/>
      <c r="O35" s="594"/>
      <c r="P35" s="583"/>
      <c r="Q35" s="583"/>
      <c r="R35" s="583"/>
      <c r="S35" s="2389">
        <f>S33*(1+P31)</f>
        <v>0</v>
      </c>
      <c r="T35" s="2390"/>
      <c r="U35" s="946" t="s">
        <v>5</v>
      </c>
    </row>
    <row r="36" spans="1:29" s="578" customFormat="1" ht="12.75" customHeight="1" x14ac:dyDescent="0.2">
      <c r="A36" s="593"/>
      <c r="B36" s="593"/>
      <c r="C36" s="629"/>
      <c r="D36" s="593"/>
      <c r="E36" s="624"/>
      <c r="F36" s="583"/>
      <c r="G36" s="596" t="s">
        <v>61</v>
      </c>
      <c r="H36" s="2383"/>
      <c r="I36" s="2383"/>
      <c r="J36" s="610" t="s">
        <v>62</v>
      </c>
      <c r="K36" s="585"/>
      <c r="L36" s="585"/>
      <c r="M36" s="591"/>
      <c r="N36" s="590" t="s">
        <v>5</v>
      </c>
      <c r="O36" s="594"/>
      <c r="P36" s="583"/>
      <c r="Q36" s="583"/>
      <c r="R36" s="583"/>
      <c r="S36" s="918"/>
      <c r="T36" s="918"/>
      <c r="U36" s="918"/>
      <c r="AC36" s="634"/>
    </row>
    <row r="37" spans="1:29" s="578" customFormat="1" ht="12.75" customHeight="1" thickBot="1" x14ac:dyDescent="0.25">
      <c r="A37" s="593"/>
      <c r="B37" s="593"/>
      <c r="C37" s="635"/>
      <c r="D37" s="584"/>
      <c r="E37" s="620">
        <f>IF(M36,M36/IF(ISBLANK(J37),I37,J37),0)</f>
        <v>0</v>
      </c>
      <c r="F37" s="590" t="s">
        <v>5</v>
      </c>
      <c r="G37" s="611"/>
      <c r="H37" s="612" t="s">
        <v>76</v>
      </c>
      <c r="I37" s="600">
        <f>IF(ISBLANK(H36),0,IFERROR(HLOOKUP(A35,Grunddaten!H126:Y130,3,FALSE),Grunddaten!H128))</f>
        <v>0</v>
      </c>
      <c r="J37" s="613"/>
      <c r="K37" s="603"/>
      <c r="L37" s="603"/>
      <c r="M37" s="598"/>
      <c r="N37" s="583"/>
      <c r="O37" s="594"/>
      <c r="P37" s="583"/>
      <c r="Q37" s="583"/>
      <c r="R37" s="583"/>
      <c r="S37" s="966" t="s">
        <v>99</v>
      </c>
      <c r="T37" s="923"/>
      <c r="U37" s="923"/>
      <c r="AC37" s="634"/>
    </row>
    <row r="38" spans="1:29" s="578" customFormat="1" ht="12.75" customHeight="1" thickBot="1" x14ac:dyDescent="0.25">
      <c r="A38" s="593"/>
      <c r="B38" s="593"/>
      <c r="C38" s="629"/>
      <c r="D38" s="593"/>
      <c r="E38" s="582"/>
      <c r="F38" s="583"/>
      <c r="G38" s="582"/>
      <c r="H38" s="582"/>
      <c r="I38" s="582"/>
      <c r="J38" s="582"/>
      <c r="K38" s="583"/>
      <c r="L38" s="583"/>
      <c r="M38" s="582"/>
      <c r="N38" s="583"/>
      <c r="O38" s="594"/>
      <c r="P38" s="583"/>
      <c r="Q38" s="583"/>
      <c r="R38" s="583"/>
      <c r="S38" s="2392" t="e">
        <f>ROUND((M10+M12+M15+M19+M23+M27+M32+M36+M39+M43+M47+M58+R58)/(S20+S35),2)</f>
        <v>#DIV/0!</v>
      </c>
      <c r="T38" s="2392"/>
      <c r="U38" s="923"/>
    </row>
    <row r="39" spans="1:29" s="578" customFormat="1" ht="12.75" customHeight="1" x14ac:dyDescent="0.2">
      <c r="A39" s="590"/>
      <c r="B39" s="585">
        <f>M41+E41-M39</f>
        <v>0</v>
      </c>
      <c r="C39" s="636" t="s">
        <v>5</v>
      </c>
      <c r="D39" s="584"/>
      <c r="E39" s="584"/>
      <c r="F39" s="637" t="s">
        <v>91</v>
      </c>
      <c r="G39" s="2420" t="s">
        <v>305</v>
      </c>
      <c r="H39" s="2421"/>
      <c r="I39" s="2421"/>
      <c r="J39" s="2422"/>
      <c r="K39" s="638" t="s">
        <v>146</v>
      </c>
      <c r="L39" s="585"/>
      <c r="M39" s="591"/>
      <c r="N39" s="590" t="s">
        <v>5</v>
      </c>
      <c r="O39" s="594"/>
      <c r="P39" s="583"/>
      <c r="Q39" s="583"/>
      <c r="R39" s="583"/>
      <c r="S39" s="2393">
        <f>ROUND((M10+M12+M15+M19+M23+M27+M32+M36+M39+M43+M47+M58+R58)-(S20+S35),-2)</f>
        <v>0</v>
      </c>
      <c r="T39" s="2393"/>
      <c r="U39" s="2393"/>
    </row>
    <row r="40" spans="1:29" s="578" customFormat="1" ht="12.75" customHeight="1" x14ac:dyDescent="0.2">
      <c r="A40" s="639"/>
      <c r="B40" s="593"/>
      <c r="C40" s="629"/>
      <c r="D40" s="593"/>
      <c r="E40" s="582"/>
      <c r="F40" s="583"/>
      <c r="G40" s="596" t="s">
        <v>61</v>
      </c>
      <c r="H40" s="2383"/>
      <c r="I40" s="2383"/>
      <c r="J40" s="610" t="s">
        <v>62</v>
      </c>
      <c r="K40" s="583"/>
      <c r="L40" s="583"/>
      <c r="M40" s="582"/>
      <c r="N40" s="583"/>
      <c r="O40" s="594"/>
      <c r="P40" s="583"/>
      <c r="Q40" s="592"/>
      <c r="R40" s="583"/>
      <c r="S40" s="923"/>
      <c r="T40" s="923"/>
      <c r="U40" s="923"/>
    </row>
    <row r="41" spans="1:29" s="578" customFormat="1" ht="12.75" customHeight="1" thickBot="1" x14ac:dyDescent="0.25">
      <c r="A41" s="2379"/>
      <c r="B41" s="2379"/>
      <c r="C41" s="585"/>
      <c r="D41" s="585"/>
      <c r="E41" s="585">
        <f>IF(M41,M41/IF(ISBLANK(J41),I41,J41),0)</f>
        <v>0</v>
      </c>
      <c r="F41" s="590" t="s">
        <v>5</v>
      </c>
      <c r="G41" s="611"/>
      <c r="H41" s="612" t="s">
        <v>76</v>
      </c>
      <c r="I41" s="600">
        <f>IF(ISBLANK(H40),0,Grunddaten!H130)</f>
        <v>0</v>
      </c>
      <c r="J41" s="613"/>
      <c r="K41" s="590"/>
      <c r="L41" s="590"/>
      <c r="M41" s="591"/>
      <c r="N41" s="587" t="s">
        <v>5</v>
      </c>
      <c r="O41" s="590"/>
      <c r="P41" s="590"/>
      <c r="Q41" s="640"/>
      <c r="R41" s="583"/>
      <c r="S41" s="583"/>
      <c r="T41" s="583"/>
      <c r="U41" s="583"/>
    </row>
    <row r="42" spans="1:29" s="578" customFormat="1" ht="12.75" customHeight="1" thickBot="1" x14ac:dyDescent="0.25">
      <c r="A42" s="583"/>
      <c r="B42" s="641"/>
      <c r="C42" s="629"/>
      <c r="D42" s="593"/>
      <c r="E42" s="582"/>
      <c r="F42" s="583"/>
      <c r="G42" s="582"/>
      <c r="H42" s="582"/>
      <c r="I42" s="582"/>
      <c r="J42" s="582"/>
      <c r="K42" s="820"/>
      <c r="L42" s="820"/>
      <c r="M42" s="582"/>
      <c r="N42" s="583"/>
      <c r="O42" s="594"/>
      <c r="P42" s="583"/>
      <c r="Q42" s="594"/>
      <c r="R42" s="1400" t="s">
        <v>602</v>
      </c>
      <c r="S42" s="2420" t="s">
        <v>56</v>
      </c>
      <c r="T42" s="2421"/>
      <c r="U42" s="2422"/>
    </row>
    <row r="43" spans="1:29" s="578" customFormat="1" ht="12.75" customHeight="1" x14ac:dyDescent="0.2">
      <c r="A43" s="590"/>
      <c r="B43" s="585">
        <f>M45+E45-M43</f>
        <v>0</v>
      </c>
      <c r="C43" s="636" t="s">
        <v>5</v>
      </c>
      <c r="D43" s="584"/>
      <c r="E43" s="584"/>
      <c r="F43" s="637" t="s">
        <v>91</v>
      </c>
      <c r="G43" s="2420" t="s">
        <v>90</v>
      </c>
      <c r="H43" s="2421"/>
      <c r="I43" s="2421"/>
      <c r="J43" s="2422"/>
      <c r="K43" s="638" t="s">
        <v>146</v>
      </c>
      <c r="L43" s="585"/>
      <c r="M43" s="591"/>
      <c r="N43" s="590" t="s">
        <v>5</v>
      </c>
      <c r="O43" s="594"/>
      <c r="P43" s="583"/>
      <c r="Q43" s="594"/>
      <c r="R43" s="1400" t="s">
        <v>601</v>
      </c>
      <c r="S43" s="2426"/>
      <c r="T43" s="2427"/>
      <c r="U43" s="2428"/>
    </row>
    <row r="44" spans="1:29" s="578" customFormat="1" ht="12.75" customHeight="1" x14ac:dyDescent="0.2">
      <c r="A44" s="583"/>
      <c r="B44" s="593"/>
      <c r="C44" s="629"/>
      <c r="D44" s="593"/>
      <c r="E44" s="582"/>
      <c r="F44" s="583"/>
      <c r="G44" s="596" t="s">
        <v>61</v>
      </c>
      <c r="H44" s="2383"/>
      <c r="I44" s="2383"/>
      <c r="J44" s="610" t="s">
        <v>62</v>
      </c>
      <c r="K44" s="583"/>
      <c r="L44" s="583"/>
      <c r="M44" s="598"/>
      <c r="N44" s="583"/>
      <c r="O44" s="642"/>
      <c r="P44" s="583"/>
      <c r="Q44" s="594"/>
      <c r="R44" s="1398"/>
      <c r="S44" s="2426"/>
      <c r="T44" s="2427"/>
      <c r="U44" s="2428"/>
    </row>
    <row r="45" spans="1:29" s="578" customFormat="1" ht="12.75" customHeight="1" thickBot="1" x14ac:dyDescent="0.25">
      <c r="A45" s="593"/>
      <c r="B45" s="593"/>
      <c r="C45" s="635"/>
      <c r="D45" s="584"/>
      <c r="E45" s="585">
        <f>IF(M45,M45/IF(ISBLANK(J45),I45,J45),0)</f>
        <v>0</v>
      </c>
      <c r="F45" s="590" t="s">
        <v>5</v>
      </c>
      <c r="G45" s="611"/>
      <c r="H45" s="612" t="s">
        <v>76</v>
      </c>
      <c r="I45" s="600">
        <f>IF(ISBLANK(H44),0,Grunddaten!H129)</f>
        <v>0</v>
      </c>
      <c r="J45" s="613"/>
      <c r="K45" s="590"/>
      <c r="L45" s="590"/>
      <c r="M45" s="591"/>
      <c r="N45" s="587" t="s">
        <v>5</v>
      </c>
      <c r="O45" s="590"/>
      <c r="P45" s="590"/>
      <c r="Q45" s="640"/>
      <c r="R45" s="1397" t="s">
        <v>641</v>
      </c>
      <c r="S45" s="1336" t="s">
        <v>81</v>
      </c>
      <c r="T45" s="944"/>
      <c r="U45" s="945"/>
    </row>
    <row r="46" spans="1:29" s="578" customFormat="1" ht="12.75" customHeight="1" thickBot="1" x14ac:dyDescent="0.25">
      <c r="A46" s="583"/>
      <c r="B46" s="593"/>
      <c r="C46" s="629"/>
      <c r="D46" s="593"/>
      <c r="E46" s="582"/>
      <c r="F46" s="583"/>
      <c r="G46" s="582"/>
      <c r="H46" s="582"/>
      <c r="I46" s="582"/>
      <c r="J46" s="582"/>
      <c r="K46" s="583"/>
      <c r="L46" s="583"/>
      <c r="M46" s="582"/>
      <c r="N46" s="583"/>
      <c r="O46" s="592"/>
      <c r="P46" s="583"/>
      <c r="Q46" s="594"/>
      <c r="R46" s="583"/>
      <c r="S46" s="2387">
        <f>Projektdaten!I40</f>
        <v>0</v>
      </c>
      <c r="T46" s="2388"/>
      <c r="U46" s="1334" t="s">
        <v>5</v>
      </c>
    </row>
    <row r="47" spans="1:29" s="578" customFormat="1" ht="12.75" customHeight="1" x14ac:dyDescent="0.2">
      <c r="A47" s="590"/>
      <c r="B47" s="585">
        <f>M49+E49-M47</f>
        <v>0</v>
      </c>
      <c r="C47" s="636" t="s">
        <v>5</v>
      </c>
      <c r="D47" s="584"/>
      <c r="E47" s="584"/>
      <c r="F47" s="637" t="s">
        <v>91</v>
      </c>
      <c r="G47" s="2420" t="s">
        <v>177</v>
      </c>
      <c r="H47" s="2421"/>
      <c r="I47" s="2421"/>
      <c r="J47" s="2422"/>
      <c r="K47" s="638" t="s">
        <v>146</v>
      </c>
      <c r="L47" s="585"/>
      <c r="M47" s="591"/>
      <c r="N47" s="590" t="s">
        <v>5</v>
      </c>
      <c r="O47" s="594"/>
      <c r="P47" s="583"/>
      <c r="Q47" s="594"/>
      <c r="S47" s="1336" t="s">
        <v>600</v>
      </c>
      <c r="T47" s="944"/>
      <c r="U47" s="945"/>
    </row>
    <row r="48" spans="1:29" s="578" customFormat="1" ht="12.75" customHeight="1" thickBot="1" x14ac:dyDescent="0.25">
      <c r="A48" s="583"/>
      <c r="B48" s="593"/>
      <c r="C48" s="629"/>
      <c r="D48" s="593"/>
      <c r="E48" s="582"/>
      <c r="F48" s="583"/>
      <c r="G48" s="596" t="s">
        <v>61</v>
      </c>
      <c r="H48" s="2383"/>
      <c r="I48" s="2383"/>
      <c r="J48" s="610" t="s">
        <v>62</v>
      </c>
      <c r="K48" s="583"/>
      <c r="L48" s="583"/>
      <c r="M48" s="598"/>
      <c r="N48" s="583"/>
      <c r="O48" s="642"/>
      <c r="P48" s="583"/>
      <c r="Q48" s="594"/>
      <c r="R48" s="583"/>
      <c r="S48" s="2389">
        <f>S46*(1+R44)</f>
        <v>0</v>
      </c>
      <c r="T48" s="2390"/>
      <c r="U48" s="946" t="s">
        <v>5</v>
      </c>
    </row>
    <row r="49" spans="1:32" s="578" customFormat="1" ht="12.75" customHeight="1" thickBot="1" x14ac:dyDescent="0.25">
      <c r="A49" s="593"/>
      <c r="B49" s="593"/>
      <c r="C49" s="635"/>
      <c r="D49" s="584"/>
      <c r="E49" s="585">
        <f>IF(M49,M49/IF(ISBLANK(J49),I49,J49),0)</f>
        <v>0</v>
      </c>
      <c r="F49" s="590" t="s">
        <v>5</v>
      </c>
      <c r="G49" s="611"/>
      <c r="H49" s="612" t="s">
        <v>76</v>
      </c>
      <c r="I49" s="600">
        <f>IF(ISBLANK(H48),0,Grunddaten!H129)</f>
        <v>0</v>
      </c>
      <c r="J49" s="613"/>
      <c r="K49" s="590"/>
      <c r="L49" s="590"/>
      <c r="M49" s="591"/>
      <c r="N49" s="587" t="s">
        <v>5</v>
      </c>
      <c r="O49" s="590"/>
      <c r="P49" s="590"/>
      <c r="Q49" s="640"/>
      <c r="R49" s="583"/>
    </row>
    <row r="50" spans="1:32" s="578" customFormat="1" ht="12.75" customHeight="1" thickBot="1" x14ac:dyDescent="0.25">
      <c r="A50" s="593"/>
      <c r="B50" s="593"/>
      <c r="C50" s="629"/>
      <c r="D50" s="593"/>
      <c r="E50" s="582"/>
      <c r="F50" s="583"/>
      <c r="G50" s="582"/>
      <c r="H50" s="582"/>
      <c r="I50" s="582"/>
      <c r="J50" s="582"/>
      <c r="K50" s="583"/>
      <c r="L50" s="583"/>
      <c r="M50" s="582"/>
      <c r="N50" s="583"/>
      <c r="O50" s="592"/>
      <c r="P50" s="583"/>
      <c r="Q50" s="594"/>
      <c r="R50" s="583"/>
      <c r="S50" s="966" t="s">
        <v>99</v>
      </c>
      <c r="T50" s="918"/>
      <c r="U50" s="918"/>
    </row>
    <row r="51" spans="1:32" s="578" customFormat="1" ht="12.75" customHeight="1" x14ac:dyDescent="0.2">
      <c r="A51" s="590"/>
      <c r="B51" s="585">
        <f>M52+E53</f>
        <v>0</v>
      </c>
      <c r="C51" s="636" t="s">
        <v>5</v>
      </c>
      <c r="D51" s="584"/>
      <c r="E51" s="584"/>
      <c r="F51" s="637" t="s">
        <v>91</v>
      </c>
      <c r="G51" s="2420" t="s">
        <v>149</v>
      </c>
      <c r="H51" s="2421"/>
      <c r="I51" s="2421"/>
      <c r="J51" s="2422"/>
      <c r="K51" s="583"/>
      <c r="L51" s="583"/>
      <c r="M51" s="582"/>
      <c r="N51" s="583"/>
      <c r="O51" s="594"/>
      <c r="P51" s="583"/>
      <c r="Q51" s="594"/>
      <c r="S51" s="1343" t="e">
        <f>ROUND((M41+M45+M49+M52+M55)/S48,2)</f>
        <v>#DIV/0!</v>
      </c>
      <c r="T51" s="923"/>
      <c r="U51" s="923"/>
      <c r="AE51" s="2435"/>
      <c r="AF51" s="2436"/>
    </row>
    <row r="52" spans="1:32" s="578" customFormat="1" ht="12.75" customHeight="1" x14ac:dyDescent="0.2">
      <c r="A52" s="593"/>
      <c r="B52" s="593"/>
      <c r="C52" s="629"/>
      <c r="D52" s="593"/>
      <c r="E52" s="582"/>
      <c r="F52" s="583"/>
      <c r="G52" s="596" t="s">
        <v>61</v>
      </c>
      <c r="H52" s="2383"/>
      <c r="I52" s="2383"/>
      <c r="J52" s="610" t="s">
        <v>62</v>
      </c>
      <c r="K52" s="590"/>
      <c r="L52" s="590"/>
      <c r="M52" s="591"/>
      <c r="N52" s="587" t="s">
        <v>5</v>
      </c>
      <c r="O52" s="590"/>
      <c r="P52" s="590"/>
      <c r="Q52" s="640"/>
      <c r="S52" s="2393">
        <f>ROUND((M41+M45+M49+M52+M55)-S48,-2)</f>
        <v>0</v>
      </c>
      <c r="T52" s="2393"/>
      <c r="U52" s="2393"/>
    </row>
    <row r="53" spans="1:32" s="578" customFormat="1" ht="12.75" customHeight="1" thickBot="1" x14ac:dyDescent="0.25">
      <c r="A53" s="593"/>
      <c r="B53" s="593"/>
      <c r="C53" s="635"/>
      <c r="D53" s="584"/>
      <c r="E53" s="585">
        <f>IF(M52,M52/IF(ISBLANK(J53),I53,J53),0)</f>
        <v>0</v>
      </c>
      <c r="F53" s="590" t="s">
        <v>5</v>
      </c>
      <c r="G53" s="611"/>
      <c r="H53" s="612" t="s">
        <v>76</v>
      </c>
      <c r="I53" s="600">
        <f>IF(ISBLANK(H52),0,Grunddaten!H131)</f>
        <v>0</v>
      </c>
      <c r="J53" s="613"/>
      <c r="K53" s="583"/>
      <c r="L53" s="583"/>
      <c r="M53" s="582"/>
      <c r="N53" s="583"/>
      <c r="O53" s="594"/>
      <c r="P53" s="583"/>
      <c r="Q53" s="594"/>
      <c r="R53" s="583"/>
      <c r="S53" s="633"/>
      <c r="T53" s="583"/>
      <c r="U53" s="583"/>
    </row>
    <row r="54" spans="1:32" s="918" customFormat="1" ht="12.75" customHeight="1" x14ac:dyDescent="0.2">
      <c r="A54" s="932"/>
      <c r="B54" s="932"/>
      <c r="C54" s="629"/>
      <c r="D54" s="932"/>
      <c r="E54" s="922"/>
      <c r="F54" s="923"/>
      <c r="G54" s="922"/>
      <c r="H54" s="922"/>
      <c r="I54" s="922"/>
      <c r="J54" s="922"/>
      <c r="K54" s="923"/>
      <c r="L54" s="923"/>
      <c r="M54" s="922"/>
      <c r="N54" s="923"/>
      <c r="O54" s="933"/>
      <c r="P54" s="923"/>
      <c r="Q54" s="933"/>
      <c r="R54" s="923"/>
      <c r="S54" s="923"/>
      <c r="T54" s="923"/>
      <c r="U54" s="923"/>
    </row>
    <row r="55" spans="1:32" s="918" customFormat="1" ht="12.75" customHeight="1" x14ac:dyDescent="0.2">
      <c r="A55" s="1687" t="str">
        <f>Grunddaten!C56</f>
        <v>Kälteverbund XY</v>
      </c>
      <c r="B55" s="924"/>
      <c r="C55" s="924"/>
      <c r="D55" s="924"/>
      <c r="E55" s="925">
        <f>M55</f>
        <v>0</v>
      </c>
      <c r="F55" s="926" t="s">
        <v>5</v>
      </c>
      <c r="G55" s="927"/>
      <c r="H55" s="928" t="s">
        <v>294</v>
      </c>
      <c r="I55" s="588"/>
      <c r="J55" s="929" t="s">
        <v>62</v>
      </c>
      <c r="K55" s="930"/>
      <c r="L55" s="930"/>
      <c r="M55" s="591"/>
      <c r="N55" s="930" t="s">
        <v>5</v>
      </c>
      <c r="O55" s="930"/>
      <c r="P55" s="930"/>
      <c r="Q55" s="977"/>
      <c r="R55" s="923"/>
      <c r="S55" s="923"/>
      <c r="T55" s="923"/>
      <c r="U55" s="923"/>
    </row>
    <row r="56" spans="1:32" s="918" customFormat="1" ht="5.95" customHeight="1" x14ac:dyDescent="0.2">
      <c r="A56" s="1688"/>
      <c r="B56" s="980"/>
      <c r="C56" s="629"/>
      <c r="D56" s="980"/>
      <c r="E56" s="922"/>
      <c r="F56" s="1689"/>
      <c r="G56" s="981"/>
      <c r="H56" s="922"/>
      <c r="I56" s="922"/>
      <c r="J56" s="922"/>
      <c r="K56" s="956"/>
      <c r="L56" s="956"/>
      <c r="M56" s="922"/>
      <c r="N56" s="956"/>
      <c r="O56" s="933"/>
      <c r="P56" s="956"/>
      <c r="Q56" s="979"/>
      <c r="R56" s="923"/>
      <c r="S56" s="923"/>
      <c r="T56" s="923"/>
      <c r="U56" s="923"/>
    </row>
    <row r="57" spans="1:32" s="578" customFormat="1" ht="12.75" customHeight="1" thickBot="1" x14ac:dyDescent="0.25">
      <c r="A57" s="593"/>
      <c r="B57" s="593"/>
      <c r="C57" s="629"/>
      <c r="D57" s="643"/>
      <c r="E57" s="582"/>
      <c r="F57" s="644"/>
      <c r="G57" s="645"/>
      <c r="H57" s="582"/>
      <c r="I57" s="582"/>
      <c r="J57" s="582"/>
      <c r="K57" s="583"/>
      <c r="L57" s="583"/>
      <c r="M57" s="582"/>
      <c r="N57" s="582"/>
      <c r="O57" s="594"/>
      <c r="P57" s="582"/>
      <c r="Q57" s="582"/>
      <c r="R57" s="582"/>
      <c r="S57" s="633"/>
      <c r="T57" s="583"/>
      <c r="U57" s="583"/>
    </row>
    <row r="58" spans="1:32" s="578" customFormat="1" ht="12.75" customHeight="1" x14ac:dyDescent="0.2">
      <c r="A58" s="593"/>
      <c r="B58" s="593"/>
      <c r="C58" s="629"/>
      <c r="D58" s="593"/>
      <c r="E58" s="582"/>
      <c r="F58" s="583"/>
      <c r="G58" s="2420" t="s">
        <v>174</v>
      </c>
      <c r="H58" s="2421"/>
      <c r="I58" s="2421"/>
      <c r="J58" s="2422"/>
      <c r="K58" s="585"/>
      <c r="L58" s="585"/>
      <c r="M58" s="591"/>
      <c r="N58" s="590" t="s">
        <v>5</v>
      </c>
      <c r="O58" s="642"/>
      <c r="P58" s="590"/>
      <c r="Q58" s="590"/>
      <c r="R58" s="591"/>
      <c r="S58" s="587" t="s">
        <v>5</v>
      </c>
      <c r="T58" s="647"/>
      <c r="U58" s="583"/>
      <c r="AC58" s="2435"/>
      <c r="AD58" s="2436"/>
    </row>
    <row r="59" spans="1:32" s="578" customFormat="1" ht="12.75" customHeight="1" x14ac:dyDescent="0.2">
      <c r="A59" s="2397"/>
      <c r="B59" s="2397"/>
      <c r="C59" s="1101"/>
      <c r="D59" s="1095">
        <v>1</v>
      </c>
      <c r="E59" s="925">
        <f>IF(M58,(M58+M60)/IF(ISBLANK(J60),I60,J60)*IF(D59,D59,1),0)</f>
        <v>0</v>
      </c>
      <c r="F59" s="930" t="s">
        <v>5</v>
      </c>
      <c r="G59" s="596" t="s">
        <v>175</v>
      </c>
      <c r="H59" s="2383"/>
      <c r="I59" s="2383"/>
      <c r="J59" s="610" t="s">
        <v>62</v>
      </c>
      <c r="K59" s="644"/>
      <c r="L59" s="603"/>
      <c r="M59" s="598"/>
      <c r="N59" s="583"/>
      <c r="O59" s="583"/>
      <c r="P59" s="583"/>
      <c r="Q59" s="583"/>
      <c r="R59" s="582"/>
      <c r="S59" s="583"/>
      <c r="T59" s="2437" t="s">
        <v>98</v>
      </c>
      <c r="U59" s="583"/>
    </row>
    <row r="60" spans="1:32" s="578" customFormat="1" ht="12.75" customHeight="1" thickBot="1" x14ac:dyDescent="0.25">
      <c r="A60" s="2400" t="str">
        <f>IF(AND(A59="Biogas",D59&lt;1),"Erdgas","")</f>
        <v/>
      </c>
      <c r="B60" s="2400"/>
      <c r="C60" s="1097"/>
      <c r="D60" s="1096">
        <f>IF(A59="Biogas",IF(D59,1-D59,0),0)</f>
        <v>0</v>
      </c>
      <c r="E60" s="949">
        <f>IF(AND(A59="Biogas",D59&lt;1),(M58+M60)/IF(ISBLANK(J60),I60,J60)*D60,0)</f>
        <v>0</v>
      </c>
      <c r="F60" s="923"/>
      <c r="G60" s="611"/>
      <c r="H60" s="612" t="s">
        <v>176</v>
      </c>
      <c r="I60" s="600">
        <f>IF(ISBLANK(H59),0,IFERROR(HLOOKUP(A59,Grunddaten!H121:Y125,5,FALSE),Grunddaten!H125))</f>
        <v>0</v>
      </c>
      <c r="J60" s="613"/>
      <c r="K60" s="585"/>
      <c r="L60" s="585"/>
      <c r="M60" s="591"/>
      <c r="N60" s="590" t="s">
        <v>5</v>
      </c>
      <c r="O60" s="592"/>
      <c r="P60" s="644"/>
      <c r="Q60" s="644"/>
      <c r="R60" s="646"/>
      <c r="S60" s="583"/>
      <c r="T60" s="2437"/>
      <c r="U60" s="583"/>
    </row>
    <row r="61" spans="1:32" s="578" customFormat="1" ht="12.75" customHeight="1" x14ac:dyDescent="0.2">
      <c r="A61" s="593"/>
      <c r="B61" s="593"/>
      <c r="C61" s="629"/>
      <c r="D61" s="593"/>
      <c r="E61" s="582"/>
      <c r="F61" s="583"/>
      <c r="G61" s="648"/>
      <c r="H61" s="649"/>
      <c r="I61" s="649"/>
      <c r="J61" s="650"/>
      <c r="K61" s="644"/>
      <c r="L61" s="644"/>
      <c r="M61" s="646"/>
      <c r="N61" s="646"/>
      <c r="O61" s="594"/>
      <c r="P61" s="646"/>
      <c r="Q61" s="646"/>
      <c r="R61" s="646"/>
      <c r="S61" s="583"/>
      <c r="T61" s="2437"/>
      <c r="U61" s="583"/>
    </row>
    <row r="62" spans="1:32" s="578" customFormat="1" ht="12.75" customHeight="1" x14ac:dyDescent="0.2">
      <c r="A62" s="593"/>
      <c r="B62" s="593"/>
      <c r="C62" s="651"/>
      <c r="D62" s="584"/>
      <c r="E62" s="590"/>
      <c r="F62" s="590"/>
      <c r="G62" s="590"/>
      <c r="H62" s="590"/>
      <c r="I62" s="590"/>
      <c r="J62" s="590"/>
      <c r="K62" s="590"/>
      <c r="L62" s="590"/>
      <c r="M62" s="585">
        <f>E33+E37+E45+E49+E53</f>
        <v>0</v>
      </c>
      <c r="N62" s="587" t="s">
        <v>5</v>
      </c>
      <c r="O62" s="640"/>
      <c r="P62" s="644"/>
      <c r="Q62" s="644"/>
      <c r="R62" s="644"/>
      <c r="S62" s="583"/>
      <c r="T62" s="2437"/>
      <c r="U62" s="583"/>
    </row>
    <row r="63" spans="1:32" s="578" customFormat="1" ht="12.75" customHeight="1" thickBot="1" x14ac:dyDescent="0.25">
      <c r="A63" s="593"/>
      <c r="B63" s="593"/>
      <c r="C63" s="593"/>
      <c r="D63" s="593"/>
      <c r="E63" s="582"/>
      <c r="F63" s="583"/>
      <c r="G63" s="982"/>
      <c r="H63" s="982"/>
      <c r="I63" s="982"/>
      <c r="J63" s="982"/>
      <c r="K63" s="956"/>
      <c r="L63" s="956"/>
      <c r="M63" s="922"/>
      <c r="N63" s="1339"/>
      <c r="O63" s="594"/>
      <c r="P63" s="644"/>
      <c r="Q63" s="644"/>
      <c r="R63" s="644"/>
      <c r="S63" s="583"/>
      <c r="T63" s="2437"/>
      <c r="U63" s="583"/>
    </row>
    <row r="64" spans="1:32" s="578" customFormat="1" ht="12.75" customHeight="1" x14ac:dyDescent="0.2">
      <c r="A64" s="593"/>
      <c r="B64" s="593"/>
      <c r="C64" s="593"/>
      <c r="D64" s="593"/>
      <c r="E64" s="582"/>
      <c r="F64" s="583"/>
      <c r="G64" s="2380" t="s">
        <v>604</v>
      </c>
      <c r="H64" s="2381"/>
      <c r="I64" s="2381"/>
      <c r="J64" s="2382"/>
      <c r="K64" s="956"/>
      <c r="L64" s="956"/>
      <c r="M64" s="922"/>
      <c r="N64" s="1339"/>
      <c r="O64" s="594"/>
      <c r="P64" s="644"/>
      <c r="Q64" s="644"/>
      <c r="R64" s="644"/>
      <c r="S64" s="583"/>
      <c r="T64" s="2437"/>
      <c r="U64" s="583"/>
    </row>
    <row r="65" spans="1:35" s="578" customFormat="1" ht="12.75" customHeight="1" thickBot="1" x14ac:dyDescent="0.25">
      <c r="A65" s="593"/>
      <c r="B65" s="593"/>
      <c r="C65" s="593"/>
      <c r="D65" s="593"/>
      <c r="E65" s="582"/>
      <c r="F65" s="583"/>
      <c r="G65" s="939" t="s">
        <v>61</v>
      </c>
      <c r="H65" s="2391"/>
      <c r="I65" s="2391"/>
      <c r="J65" s="988" t="s">
        <v>62</v>
      </c>
      <c r="K65" s="930"/>
      <c r="L65" s="930"/>
      <c r="M65" s="591"/>
      <c r="N65" s="927" t="s">
        <v>5</v>
      </c>
      <c r="O65" s="640"/>
      <c r="P65" s="644"/>
      <c r="Q65" s="644"/>
      <c r="R65" s="644"/>
      <c r="S65" s="583"/>
      <c r="T65" s="2437"/>
      <c r="U65" s="583"/>
    </row>
    <row r="66" spans="1:35" s="578" customFormat="1" ht="12.75" customHeight="1" x14ac:dyDescent="0.2">
      <c r="A66" s="593"/>
      <c r="B66" s="593"/>
      <c r="C66" s="593"/>
      <c r="D66" s="593"/>
      <c r="E66" s="582"/>
      <c r="F66" s="583"/>
      <c r="G66" s="922"/>
      <c r="H66" s="922"/>
      <c r="I66" s="922"/>
      <c r="J66" s="922"/>
      <c r="K66" s="923"/>
      <c r="L66" s="923"/>
      <c r="M66" s="922"/>
      <c r="N66" s="923"/>
      <c r="O66" s="594"/>
      <c r="P66" s="644"/>
      <c r="Q66" s="644"/>
      <c r="R66" s="644"/>
      <c r="S66" s="583"/>
      <c r="T66" s="2437"/>
      <c r="U66" s="583"/>
    </row>
    <row r="67" spans="1:35" s="578" customFormat="1" ht="12.75" customHeight="1" thickBot="1" x14ac:dyDescent="0.25">
      <c r="A67" s="1099" t="s">
        <v>94</v>
      </c>
      <c r="B67" s="584"/>
      <c r="C67" s="584"/>
      <c r="D67" s="584"/>
      <c r="E67" s="585">
        <f>M67</f>
        <v>0</v>
      </c>
      <c r="F67" s="586" t="s">
        <v>5</v>
      </c>
      <c r="G67" s="590"/>
      <c r="H67" s="1100" t="s">
        <v>596</v>
      </c>
      <c r="I67" s="1298"/>
      <c r="J67" s="589" t="s">
        <v>62</v>
      </c>
      <c r="K67" s="590"/>
      <c r="L67" s="590"/>
      <c r="M67" s="585">
        <f>S72+M62+M65+M73-M60-M70</f>
        <v>0</v>
      </c>
      <c r="N67" s="590" t="s">
        <v>5</v>
      </c>
      <c r="O67" s="629"/>
      <c r="P67" s="644"/>
      <c r="Q67" s="644"/>
      <c r="R67" s="644"/>
      <c r="S67" s="583"/>
      <c r="T67" s="2438"/>
      <c r="U67" s="583"/>
    </row>
    <row r="68" spans="1:35" s="578" customFormat="1" ht="12.75" customHeight="1" thickBot="1" x14ac:dyDescent="0.25">
      <c r="A68" s="593"/>
      <c r="B68" s="593"/>
      <c r="C68" s="593"/>
      <c r="D68" s="593"/>
      <c r="E68" s="582"/>
      <c r="F68" s="583"/>
      <c r="G68" s="582"/>
      <c r="H68" s="582"/>
      <c r="I68" s="582"/>
      <c r="J68" s="582"/>
      <c r="K68" s="583"/>
      <c r="L68" s="583"/>
      <c r="M68" s="582"/>
      <c r="N68" s="583"/>
      <c r="O68" s="594"/>
      <c r="P68" s="583"/>
      <c r="Q68" s="583"/>
      <c r="R68" s="583"/>
      <c r="S68" s="2420" t="s">
        <v>92</v>
      </c>
      <c r="T68" s="2421"/>
      <c r="U68" s="2422"/>
    </row>
    <row r="69" spans="1:35" s="578" customFormat="1" ht="12.75" customHeight="1" x14ac:dyDescent="0.2">
      <c r="A69" s="593"/>
      <c r="B69" s="593"/>
      <c r="C69" s="593"/>
      <c r="D69" s="593"/>
      <c r="E69" s="582"/>
      <c r="F69" s="583"/>
      <c r="G69" s="2420" t="s">
        <v>95</v>
      </c>
      <c r="H69" s="2421"/>
      <c r="I69" s="2421"/>
      <c r="J69" s="2422"/>
      <c r="K69" s="820"/>
      <c r="L69" s="820"/>
      <c r="M69" s="582"/>
      <c r="N69" s="583"/>
      <c r="O69" s="594"/>
      <c r="P69" s="583"/>
      <c r="Q69" s="583"/>
      <c r="R69" s="583"/>
      <c r="S69" s="2426"/>
      <c r="T69" s="2427"/>
      <c r="U69" s="2428"/>
    </row>
    <row r="70" spans="1:35" s="578" customFormat="1" ht="12.75" customHeight="1" x14ac:dyDescent="0.3">
      <c r="A70" s="1402" t="s">
        <v>93</v>
      </c>
      <c r="B70" s="619"/>
      <c r="C70" s="619"/>
      <c r="D70" s="619"/>
      <c r="E70" s="585"/>
      <c r="F70" s="595"/>
      <c r="G70" s="596" t="s">
        <v>61</v>
      </c>
      <c r="H70" s="2383"/>
      <c r="I70" s="2383"/>
      <c r="J70" s="597" t="s">
        <v>96</v>
      </c>
      <c r="K70" s="652"/>
      <c r="L70" s="652"/>
      <c r="M70" s="585">
        <f>H70*IF(ISBLANK(I71),H71,I71)</f>
        <v>0</v>
      </c>
      <c r="N70" s="590" t="s">
        <v>5</v>
      </c>
      <c r="O70" s="604"/>
      <c r="P70" s="590"/>
      <c r="Q70" s="590"/>
      <c r="R70" s="590"/>
      <c r="S70" s="2426"/>
      <c r="T70" s="2427"/>
      <c r="U70" s="2428"/>
    </row>
    <row r="71" spans="1:35" s="578" customFormat="1" ht="12.75" customHeight="1" thickBot="1" x14ac:dyDescent="0.25">
      <c r="A71" s="593"/>
      <c r="B71" s="593"/>
      <c r="C71" s="593"/>
      <c r="D71" s="593"/>
      <c r="E71" s="598"/>
      <c r="F71" s="583"/>
      <c r="G71" s="599" t="s">
        <v>85</v>
      </c>
      <c r="H71" s="668">
        <f>IF(ISBLANK(H70),0,Grunddaten!H123)</f>
        <v>0</v>
      </c>
      <c r="I71" s="1357"/>
      <c r="J71" s="653" t="s">
        <v>97</v>
      </c>
      <c r="K71" s="603"/>
      <c r="L71" s="603"/>
      <c r="M71" s="598"/>
      <c r="N71" s="583"/>
      <c r="O71" s="594"/>
      <c r="P71" s="583"/>
      <c r="Q71" s="583"/>
      <c r="R71" s="583"/>
      <c r="S71" s="605" t="s">
        <v>81</v>
      </c>
      <c r="T71" s="606"/>
      <c r="U71" s="607"/>
    </row>
    <row r="72" spans="1:35" s="578" customFormat="1" ht="12.75" customHeight="1" thickBot="1" x14ac:dyDescent="0.25">
      <c r="A72" s="593"/>
      <c r="B72" s="593"/>
      <c r="C72" s="593"/>
      <c r="D72" s="593"/>
      <c r="E72" s="598"/>
      <c r="F72" s="583"/>
      <c r="G72" s="583"/>
      <c r="H72" s="583"/>
      <c r="I72" s="583"/>
      <c r="J72" s="583"/>
      <c r="K72" s="583"/>
      <c r="L72" s="583"/>
      <c r="M72" s="598"/>
      <c r="N72" s="583"/>
      <c r="O72" s="594"/>
      <c r="P72" s="583"/>
      <c r="Q72" s="583"/>
      <c r="R72" s="583"/>
      <c r="S72" s="2389">
        <f>Projektdaten!I42</f>
        <v>0</v>
      </c>
      <c r="T72" s="2390"/>
      <c r="U72" s="608" t="s">
        <v>5</v>
      </c>
    </row>
    <row r="73" spans="1:35" s="578" customFormat="1" ht="12.75" customHeight="1" x14ac:dyDescent="0.2">
      <c r="A73" s="584"/>
      <c r="B73" s="584"/>
      <c r="C73" s="584"/>
      <c r="D73" s="584"/>
      <c r="E73" s="585">
        <f>M73</f>
        <v>0</v>
      </c>
      <c r="F73" s="590" t="s">
        <v>5</v>
      </c>
      <c r="G73" s="2439" t="s">
        <v>303</v>
      </c>
      <c r="H73" s="2439"/>
      <c r="I73" s="2439"/>
      <c r="J73" s="2439"/>
      <c r="K73" s="590"/>
      <c r="L73" s="590"/>
      <c r="M73" s="591"/>
      <c r="N73" s="587" t="s">
        <v>5</v>
      </c>
      <c r="O73" s="640"/>
      <c r="P73" s="583"/>
      <c r="Q73" s="583"/>
      <c r="R73" s="583"/>
      <c r="AC73" s="1090" t="s">
        <v>555</v>
      </c>
      <c r="AD73" s="958"/>
      <c r="AE73" s="958"/>
      <c r="AF73" s="1091" t="b">
        <f>IF(M73&lt;=(M60+M70),TRUE,FALSE)</f>
        <v>1</v>
      </c>
    </row>
    <row r="74" spans="1:35" s="578" customFormat="1" ht="5.95" customHeight="1" x14ac:dyDescent="0.2">
      <c r="A74" s="593"/>
      <c r="B74" s="593"/>
      <c r="C74" s="593"/>
      <c r="D74" s="593"/>
      <c r="E74" s="598"/>
      <c r="F74" s="583"/>
      <c r="G74" s="583"/>
      <c r="H74" s="583"/>
      <c r="I74" s="583"/>
      <c r="J74" s="583"/>
      <c r="K74" s="583"/>
      <c r="L74" s="583"/>
      <c r="M74" s="598"/>
      <c r="N74" s="583"/>
      <c r="O74" s="642"/>
      <c r="P74" s="583"/>
      <c r="Q74" s="583"/>
      <c r="R74" s="583"/>
    </row>
    <row r="75" spans="1:35" s="578" customFormat="1" ht="21.1" customHeight="1" x14ac:dyDescent="0.2">
      <c r="A75" s="593"/>
      <c r="B75" s="593"/>
      <c r="C75" s="593"/>
      <c r="D75" s="593"/>
      <c r="E75" s="583"/>
      <c r="F75" s="583"/>
      <c r="G75" s="583"/>
      <c r="H75" s="583"/>
      <c r="I75" s="583"/>
      <c r="J75" s="583"/>
      <c r="K75" s="583"/>
      <c r="L75" s="583"/>
      <c r="M75" s="583"/>
      <c r="N75" s="583"/>
      <c r="O75" s="583"/>
      <c r="P75" s="583"/>
      <c r="Q75" s="583"/>
      <c r="R75" s="583"/>
    </row>
    <row r="76" spans="1:35" s="578" customFormat="1" ht="14.95" customHeight="1" x14ac:dyDescent="0.2">
      <c r="A76" s="654" t="s">
        <v>64</v>
      </c>
      <c r="B76" s="577"/>
      <c r="C76" s="577"/>
      <c r="D76" s="577"/>
      <c r="AC76" s="621" t="s">
        <v>100</v>
      </c>
      <c r="AD76" s="622"/>
      <c r="AE76" s="622"/>
      <c r="AF76" s="623"/>
      <c r="AG76" s="655"/>
      <c r="AH76" s="656" t="s">
        <v>101</v>
      </c>
      <c r="AI76" s="657"/>
    </row>
    <row r="77" spans="1:35" s="578" customFormat="1" ht="12.75" customHeight="1" x14ac:dyDescent="0.2">
      <c r="A77" s="658" t="s">
        <v>65</v>
      </c>
      <c r="B77" s="2375"/>
      <c r="C77" s="2375"/>
      <c r="D77" s="2375"/>
      <c r="E77" s="2375"/>
      <c r="F77" s="2375"/>
      <c r="G77" s="659" t="s">
        <v>68</v>
      </c>
      <c r="H77" s="2376"/>
      <c r="I77" s="2376"/>
      <c r="J77" s="660"/>
      <c r="K77" s="659"/>
      <c r="L77" s="659" t="s">
        <v>69</v>
      </c>
      <c r="M77" s="1768"/>
      <c r="N77" s="659" t="s">
        <v>70</v>
      </c>
      <c r="O77" s="2377"/>
      <c r="P77" s="2377"/>
      <c r="Q77" s="2377"/>
      <c r="R77" s="659" t="s">
        <v>63</v>
      </c>
      <c r="S77" s="2395"/>
      <c r="T77" s="2395"/>
      <c r="U77" s="2395"/>
      <c r="AC77" s="661" t="s">
        <v>71</v>
      </c>
      <c r="AD77" s="662"/>
      <c r="AE77" s="662"/>
      <c r="AF77" s="657"/>
      <c r="AG77" s="655"/>
      <c r="AH77" s="661" t="s">
        <v>73</v>
      </c>
      <c r="AI77" s="657"/>
    </row>
    <row r="78" spans="1:35" s="578" customFormat="1" ht="12.75" customHeight="1" x14ac:dyDescent="0.2">
      <c r="A78" s="658" t="s">
        <v>66</v>
      </c>
      <c r="B78" s="2375"/>
      <c r="C78" s="2375"/>
      <c r="D78" s="2375"/>
      <c r="E78" s="2375"/>
      <c r="F78" s="2375"/>
      <c r="G78" s="659" t="s">
        <v>68</v>
      </c>
      <c r="H78" s="2376"/>
      <c r="I78" s="2376"/>
      <c r="J78" s="660"/>
      <c r="K78" s="659"/>
      <c r="L78" s="659" t="s">
        <v>69</v>
      </c>
      <c r="M78" s="1768"/>
      <c r="N78" s="659" t="s">
        <v>70</v>
      </c>
      <c r="O78" s="2377"/>
      <c r="P78" s="2377"/>
      <c r="Q78" s="2377"/>
      <c r="R78" s="659" t="s">
        <v>63</v>
      </c>
      <c r="S78" s="2378"/>
      <c r="T78" s="2378"/>
      <c r="U78" s="2378"/>
      <c r="AC78" s="625" t="s">
        <v>72</v>
      </c>
      <c r="AD78" s="626"/>
      <c r="AE78" s="626"/>
      <c r="AF78" s="627"/>
      <c r="AG78" s="655"/>
      <c r="AH78" s="630" t="s">
        <v>74</v>
      </c>
      <c r="AI78" s="632"/>
    </row>
    <row r="79" spans="1:35" s="578" customFormat="1" ht="12.75" customHeight="1" x14ac:dyDescent="0.2">
      <c r="A79" s="658" t="s">
        <v>67</v>
      </c>
      <c r="B79" s="2375"/>
      <c r="C79" s="2375"/>
      <c r="D79" s="2375"/>
      <c r="E79" s="2375"/>
      <c r="F79" s="2375"/>
      <c r="G79" s="659" t="s">
        <v>68</v>
      </c>
      <c r="H79" s="2376"/>
      <c r="I79" s="2376"/>
      <c r="J79" s="660"/>
      <c r="K79" s="659"/>
      <c r="L79" s="659" t="s">
        <v>69</v>
      </c>
      <c r="M79" s="1768"/>
      <c r="N79" s="659" t="s">
        <v>70</v>
      </c>
      <c r="O79" s="2377"/>
      <c r="P79" s="2377"/>
      <c r="Q79" s="2377"/>
      <c r="R79" s="659" t="s">
        <v>63</v>
      </c>
      <c r="S79" s="2378"/>
      <c r="T79" s="2378"/>
      <c r="U79" s="2378"/>
      <c r="AC79" s="967" t="s">
        <v>800</v>
      </c>
      <c r="AD79" s="631"/>
      <c r="AE79" s="631"/>
      <c r="AF79" s="632"/>
      <c r="AG79" s="655"/>
      <c r="AH79" s="626"/>
      <c r="AI79" s="626"/>
    </row>
    <row r="82" spans="1:21" s="579" customFormat="1" ht="14.95" customHeight="1" x14ac:dyDescent="0.2">
      <c r="A82" s="663" t="s">
        <v>65</v>
      </c>
      <c r="B82" s="663" t="s">
        <v>158</v>
      </c>
      <c r="C82" s="2440">
        <f xml:space="preserve"> IF(S77=$AH$78,H77*M77*(O77+1)+(O77+1)^2/2*(H77+M77)*2,0)</f>
        <v>0</v>
      </c>
      <c r="D82" s="2440"/>
      <c r="E82" s="664" t="s">
        <v>223</v>
      </c>
      <c r="G82" s="665"/>
      <c r="H82" s="1772" t="s">
        <v>159</v>
      </c>
      <c r="I82" s="1773">
        <f>H77*M77</f>
        <v>0</v>
      </c>
      <c r="J82" s="664" t="s">
        <v>224</v>
      </c>
      <c r="K82" s="666"/>
      <c r="L82" s="667" t="s">
        <v>160</v>
      </c>
      <c r="M82" s="664"/>
      <c r="N82" s="1773">
        <f>H77*O77</f>
        <v>0</v>
      </c>
      <c r="O82" s="664" t="s">
        <v>224</v>
      </c>
      <c r="P82" s="664"/>
      <c r="Q82" s="664" t="s">
        <v>161</v>
      </c>
      <c r="R82" s="664"/>
      <c r="S82" s="1773">
        <f>M77*O77</f>
        <v>0</v>
      </c>
      <c r="T82" s="664" t="s">
        <v>224</v>
      </c>
      <c r="U82" s="664"/>
    </row>
    <row r="83" spans="1:21" s="579" customFormat="1" ht="14.95" customHeight="1" x14ac:dyDescent="0.2">
      <c r="A83" s="663" t="s">
        <v>66</v>
      </c>
      <c r="B83" s="663" t="s">
        <v>158</v>
      </c>
      <c r="C83" s="2440">
        <f xml:space="preserve"> IF(S78=$AH$78,H78*M78*(O78+1)+(O78+1)^2/2*(H78+M78)*2,0)</f>
        <v>0</v>
      </c>
      <c r="D83" s="2440"/>
      <c r="E83" s="664" t="s">
        <v>223</v>
      </c>
      <c r="G83" s="665"/>
      <c r="H83" s="1772" t="s">
        <v>159</v>
      </c>
      <c r="I83" s="1773">
        <f>H78*M78</f>
        <v>0</v>
      </c>
      <c r="J83" s="664" t="s">
        <v>224</v>
      </c>
      <c r="K83" s="666"/>
      <c r="L83" s="667" t="s">
        <v>160</v>
      </c>
      <c r="M83" s="664"/>
      <c r="N83" s="1773">
        <f>H78*O78</f>
        <v>0</v>
      </c>
      <c r="O83" s="664" t="s">
        <v>224</v>
      </c>
      <c r="P83" s="664"/>
      <c r="Q83" s="664" t="s">
        <v>161</v>
      </c>
      <c r="R83" s="664"/>
      <c r="S83" s="1773">
        <f>M78*O78</f>
        <v>0</v>
      </c>
      <c r="T83" s="664" t="s">
        <v>224</v>
      </c>
      <c r="U83" s="664"/>
    </row>
    <row r="84" spans="1:21" s="579" customFormat="1" ht="14.95" customHeight="1" x14ac:dyDescent="0.2">
      <c r="A84" s="663" t="s">
        <v>67</v>
      </c>
      <c r="B84" s="663" t="s">
        <v>158</v>
      </c>
      <c r="C84" s="2440">
        <f xml:space="preserve"> IF(S79=$AH$78,H79*M79*(O79+1)+(O79+1)^2/2*(H79+M79)*2,0)</f>
        <v>0</v>
      </c>
      <c r="D84" s="2440"/>
      <c r="E84" s="664" t="s">
        <v>223</v>
      </c>
      <c r="G84" s="665"/>
      <c r="H84" s="1772" t="s">
        <v>159</v>
      </c>
      <c r="I84" s="1773">
        <f>H79*M79</f>
        <v>0</v>
      </c>
      <c r="J84" s="664" t="s">
        <v>224</v>
      </c>
      <c r="K84" s="666"/>
      <c r="L84" s="667" t="s">
        <v>160</v>
      </c>
      <c r="M84" s="664"/>
      <c r="N84" s="1773">
        <f>H79*O79</f>
        <v>0</v>
      </c>
      <c r="O84" s="664" t="s">
        <v>224</v>
      </c>
      <c r="P84" s="664"/>
      <c r="Q84" s="664" t="s">
        <v>161</v>
      </c>
      <c r="R84" s="664"/>
      <c r="S84" s="1773">
        <f>M79*O79</f>
        <v>0</v>
      </c>
      <c r="T84" s="664" t="s">
        <v>224</v>
      </c>
      <c r="U84" s="664"/>
    </row>
    <row r="87" spans="1:21" x14ac:dyDescent="0.2">
      <c r="B87" s="561"/>
      <c r="C87" s="561"/>
      <c r="D87" s="561"/>
    </row>
    <row r="88" spans="1:21" x14ac:dyDescent="0.2">
      <c r="B88" s="561"/>
      <c r="C88" s="561"/>
      <c r="D88" s="561"/>
    </row>
    <row r="89" spans="1:21" x14ac:dyDescent="0.2">
      <c r="B89" s="561"/>
      <c r="C89" s="561"/>
      <c r="D89" s="561"/>
    </row>
    <row r="90" spans="1:21" x14ac:dyDescent="0.2">
      <c r="B90" s="561"/>
      <c r="C90" s="561"/>
      <c r="D90" s="561"/>
    </row>
    <row r="91" spans="1:21" x14ac:dyDescent="0.2">
      <c r="B91" s="561"/>
      <c r="C91" s="561"/>
      <c r="D91" s="561"/>
    </row>
    <row r="92" spans="1:21" x14ac:dyDescent="0.2">
      <c r="B92" s="561"/>
      <c r="C92" s="561"/>
      <c r="D92" s="561"/>
    </row>
  </sheetData>
  <sheetProtection algorithmName="SHA-512" hashValue="zWoqOsR8E8ipkTMXCAbxWl+XEs6Lm2Kw6/PhQyVOZ6X4wYZL4tepn8VwBVbGG4sApZl/XGB0MQ/FrCxEu1PC0Q==" saltValue="N8dxqU9uNMOIi/jGHK3Mpw==" spinCount="100000" sheet="1" objects="1" scenarios="1" selectLockedCells="1"/>
  <mergeCells count="83">
    <mergeCell ref="S20:T20"/>
    <mergeCell ref="S35:T35"/>
    <mergeCell ref="P14:Q14"/>
    <mergeCell ref="P15:Q15"/>
    <mergeCell ref="P16:Q16"/>
    <mergeCell ref="P29:Q29"/>
    <mergeCell ref="P30:Q30"/>
    <mergeCell ref="P31:Q31"/>
    <mergeCell ref="S29:U31"/>
    <mergeCell ref="S18:T18"/>
    <mergeCell ref="C82:D82"/>
    <mergeCell ref="C83:D83"/>
    <mergeCell ref="C84:D84"/>
    <mergeCell ref="B78:F78"/>
    <mergeCell ref="H78:I78"/>
    <mergeCell ref="O78:Q78"/>
    <mergeCell ref="S78:U78"/>
    <mergeCell ref="B79:F79"/>
    <mergeCell ref="H79:I79"/>
    <mergeCell ref="O79:Q79"/>
    <mergeCell ref="S79:U79"/>
    <mergeCell ref="S68:U70"/>
    <mergeCell ref="G69:J69"/>
    <mergeCell ref="H70:I70"/>
    <mergeCell ref="S72:T72"/>
    <mergeCell ref="B77:F77"/>
    <mergeCell ref="H77:I77"/>
    <mergeCell ref="O77:Q77"/>
    <mergeCell ref="S77:U77"/>
    <mergeCell ref="G73:J73"/>
    <mergeCell ref="H52:I52"/>
    <mergeCell ref="G58:J58"/>
    <mergeCell ref="AC58:AD58"/>
    <mergeCell ref="A59:B59"/>
    <mergeCell ref="H59:I59"/>
    <mergeCell ref="T59:T67"/>
    <mergeCell ref="A60:B60"/>
    <mergeCell ref="G64:J64"/>
    <mergeCell ref="H65:I65"/>
    <mergeCell ref="S52:U52"/>
    <mergeCell ref="AE51:AF51"/>
    <mergeCell ref="H36:I36"/>
    <mergeCell ref="G39:J39"/>
    <mergeCell ref="H40:I40"/>
    <mergeCell ref="A41:B41"/>
    <mergeCell ref="G43:J43"/>
    <mergeCell ref="H44:I44"/>
    <mergeCell ref="S42:U44"/>
    <mergeCell ref="G47:J47"/>
    <mergeCell ref="H48:I48"/>
    <mergeCell ref="S46:T46"/>
    <mergeCell ref="G51:J51"/>
    <mergeCell ref="S39:U39"/>
    <mergeCell ref="S48:T48"/>
    <mergeCell ref="S38:T38"/>
    <mergeCell ref="A31:B31"/>
    <mergeCell ref="G31:J31"/>
    <mergeCell ref="H32:I32"/>
    <mergeCell ref="S33:T33"/>
    <mergeCell ref="A35:B35"/>
    <mergeCell ref="G35:J35"/>
    <mergeCell ref="P32:Q32"/>
    <mergeCell ref="A26:B26"/>
    <mergeCell ref="G26:J26"/>
    <mergeCell ref="H27:I27"/>
    <mergeCell ref="A28:B28"/>
    <mergeCell ref="A29:B29"/>
    <mergeCell ref="G22:J22"/>
    <mergeCell ref="A23:B23"/>
    <mergeCell ref="H23:I23"/>
    <mergeCell ref="A24:B24"/>
    <mergeCell ref="A20:B20"/>
    <mergeCell ref="G18:J18"/>
    <mergeCell ref="A19:B19"/>
    <mergeCell ref="H19:I19"/>
    <mergeCell ref="W5:AB5"/>
    <mergeCell ref="E6:G6"/>
    <mergeCell ref="J6:T6"/>
    <mergeCell ref="G8:J8"/>
    <mergeCell ref="G14:J14"/>
    <mergeCell ref="S14:U16"/>
    <mergeCell ref="H15:I15"/>
    <mergeCell ref="P17:Q17"/>
  </mergeCells>
  <conditionalFormatting sqref="G14:J14 G15:G16 J15:J16">
    <cfRule type="expression" dxfId="1379" priority="327">
      <formula>$H$15&gt;0</formula>
    </cfRule>
  </conditionalFormatting>
  <conditionalFormatting sqref="G18:J18 G19 G20:H20 J19">
    <cfRule type="expression" dxfId="1378" priority="326">
      <formula>$H$19&gt;0</formula>
    </cfRule>
  </conditionalFormatting>
  <conditionalFormatting sqref="G22:J22 G23 J23 G24:H24">
    <cfRule type="expression" dxfId="1377" priority="325">
      <formula>$H$23&gt;0</formula>
    </cfRule>
  </conditionalFormatting>
  <conditionalFormatting sqref="G31:J31 G32 G33:H33 J32">
    <cfRule type="expression" dxfId="1376" priority="324">
      <formula>$H$32&gt;0</formula>
    </cfRule>
  </conditionalFormatting>
  <conditionalFormatting sqref="G35:J35 G36 G37:H37 J36">
    <cfRule type="expression" dxfId="1375" priority="323">
      <formula>$H$36&gt;0</formula>
    </cfRule>
  </conditionalFormatting>
  <conditionalFormatting sqref="G43:J43 G44 G45:H45 J44">
    <cfRule type="expression" dxfId="1374" priority="322">
      <formula>$H$44&gt;0</formula>
    </cfRule>
  </conditionalFormatting>
  <conditionalFormatting sqref="G69:G71 J70:J71 K70:N70">
    <cfRule type="expression" dxfId="1373" priority="321">
      <formula>$H$70&gt;0</formula>
    </cfRule>
  </conditionalFormatting>
  <conditionalFormatting sqref="R31 O46:O48 O50:O51 O42:O44 S29 O10:O40 S32:U35 O53 O57:O58">
    <cfRule type="expression" dxfId="1372" priority="319">
      <formula>$S$33&gt;0</formula>
    </cfRule>
  </conditionalFormatting>
  <conditionalFormatting sqref="S42:U48 Q40:Q56">
    <cfRule type="expression" dxfId="1371" priority="318">
      <formula>$S$46&gt;0</formula>
    </cfRule>
  </conditionalFormatting>
  <conditionalFormatting sqref="P70:R70 S68:U72 O60:O74">
    <cfRule type="expression" dxfId="1370" priority="317">
      <formula>$S$72&gt;0</formula>
    </cfRule>
  </conditionalFormatting>
  <conditionalFormatting sqref="B43:F43">
    <cfRule type="expression" dxfId="1369" priority="313">
      <formula>$B$43&lt;0</formula>
    </cfRule>
  </conditionalFormatting>
  <conditionalFormatting sqref="B47:F47">
    <cfRule type="expression" dxfId="1368" priority="312">
      <formula>$B$47&lt;0</formula>
    </cfRule>
  </conditionalFormatting>
  <conditionalFormatting sqref="G24:H24">
    <cfRule type="expression" dxfId="1367" priority="311">
      <formula>AND($H$23&gt;0,$J$24=0,$I$24=0)</formula>
    </cfRule>
  </conditionalFormatting>
  <conditionalFormatting sqref="G19:H19 J19">
    <cfRule type="expression" dxfId="1366" priority="310">
      <formula>AND($M$19&gt;0,$H$19=0)</formula>
    </cfRule>
  </conditionalFormatting>
  <conditionalFormatting sqref="G23:H23 J23">
    <cfRule type="expression" dxfId="1365" priority="309">
      <formula>AND($M$23&gt;0,$H$23=0)</formula>
    </cfRule>
  </conditionalFormatting>
  <conditionalFormatting sqref="G33:H33">
    <cfRule type="expression" dxfId="1364" priority="308">
      <formula>AND($H$32&gt;0,$J$33=0,$I$33=0)</formula>
    </cfRule>
  </conditionalFormatting>
  <conditionalFormatting sqref="G32:H32 J32">
    <cfRule type="expression" dxfId="1363" priority="307">
      <formula>AND($M$32&gt;0,$H$32=0)</formula>
    </cfRule>
  </conditionalFormatting>
  <conditionalFormatting sqref="G36:H36 J36">
    <cfRule type="expression" dxfId="1362" priority="306">
      <formula>AND($M$36&gt;0,$H$36=0)</formula>
    </cfRule>
  </conditionalFormatting>
  <conditionalFormatting sqref="G37:H37">
    <cfRule type="expression" dxfId="1361" priority="305">
      <formula>AND($H$36&gt;0,$J$37=0,$I$37=0)</formula>
    </cfRule>
  </conditionalFormatting>
  <conditionalFormatting sqref="G44:H44 J44">
    <cfRule type="expression" dxfId="1360" priority="304">
      <formula>AND($M$45&gt;0,$H$44=0)</formula>
    </cfRule>
  </conditionalFormatting>
  <conditionalFormatting sqref="G45:H45">
    <cfRule type="expression" dxfId="1359" priority="303">
      <formula>AND($H$44&gt;0,$J$45=0,$I$45=0)</formula>
    </cfRule>
  </conditionalFormatting>
  <conditionalFormatting sqref="G59:H59 J59">
    <cfRule type="expression" dxfId="1358" priority="302">
      <formula>AND($M$58&gt;0,$H$59=0)</formula>
    </cfRule>
  </conditionalFormatting>
  <conditionalFormatting sqref="G49:H49">
    <cfRule type="expression" dxfId="1357" priority="301">
      <formula>AND($H$48&gt;0,$J$49=0,$I$49=0)</formula>
    </cfRule>
  </conditionalFormatting>
  <conditionalFormatting sqref="G16 I16:J16">
    <cfRule type="expression" dxfId="1356" priority="300">
      <formula>AND($H$15&gt;0,$H$16=0,$I$16=0)</formula>
    </cfRule>
  </conditionalFormatting>
  <conditionalFormatting sqref="G71 J71">
    <cfRule type="expression" dxfId="1355" priority="299">
      <formula>AND($H$70&gt;0,$H$71=0,$I$71=0)</formula>
    </cfRule>
  </conditionalFormatting>
  <conditionalFormatting sqref="A43:F43">
    <cfRule type="expression" dxfId="1354" priority="296">
      <formula>$B$43&lt;&gt;0</formula>
    </cfRule>
  </conditionalFormatting>
  <conditionalFormatting sqref="A47:F47">
    <cfRule type="expression" dxfId="1353" priority="295">
      <formula>$B$47&lt;&gt;0</formula>
    </cfRule>
  </conditionalFormatting>
  <conditionalFormatting sqref="P58:Q58 S58:T58 T59">
    <cfRule type="expression" dxfId="1352" priority="294">
      <formula>$R$58&gt;0</formula>
    </cfRule>
  </conditionalFormatting>
  <conditionalFormatting sqref="K58:L58 N58">
    <cfRule type="expression" dxfId="1351" priority="293">
      <formula>$M$58&gt;0</formula>
    </cfRule>
  </conditionalFormatting>
  <conditionalFormatting sqref="C35:F35">
    <cfRule type="expression" dxfId="1350" priority="292">
      <formula>$E$35&gt;0</formula>
    </cfRule>
  </conditionalFormatting>
  <conditionalFormatting sqref="E35:F35">
    <cfRule type="expression" dxfId="1349" priority="291">
      <formula>AND($A$35="",$E$35&gt;0)</formula>
    </cfRule>
  </conditionalFormatting>
  <conditionalFormatting sqref="C31:F31">
    <cfRule type="expression" dxfId="1348" priority="290">
      <formula>$E$31&gt;0</formula>
    </cfRule>
  </conditionalFormatting>
  <conditionalFormatting sqref="E31:F31">
    <cfRule type="expression" dxfId="1347" priority="289">
      <formula>AND($A$31="",$E$31&gt;0)</formula>
    </cfRule>
  </conditionalFormatting>
  <conditionalFormatting sqref="A70:F70">
    <cfRule type="expression" dxfId="1346" priority="288">
      <formula>$H$70&gt;0</formula>
    </cfRule>
  </conditionalFormatting>
  <conditionalFormatting sqref="K32:L32 N32">
    <cfRule type="expression" dxfId="1345" priority="287">
      <formula>$M$32&gt;0</formula>
    </cfRule>
  </conditionalFormatting>
  <conditionalFormatting sqref="K43:L43 N43">
    <cfRule type="expression" dxfId="1344" priority="286">
      <formula>$M$43&gt;0</formula>
    </cfRule>
  </conditionalFormatting>
  <conditionalFormatting sqref="K47:L47 N47">
    <cfRule type="expression" dxfId="1343" priority="285">
      <formula>$M$47&gt;0</formula>
    </cfRule>
  </conditionalFormatting>
  <conditionalFormatting sqref="K23:L23 N23">
    <cfRule type="expression" dxfId="1342" priority="284">
      <formula>$M$23&gt;0</formula>
    </cfRule>
  </conditionalFormatting>
  <conditionalFormatting sqref="K19:L19 N19">
    <cfRule type="expression" dxfId="1341" priority="281">
      <formula>$M$19&gt;0</formula>
    </cfRule>
  </conditionalFormatting>
  <conditionalFormatting sqref="K15:N15">
    <cfRule type="expression" dxfId="1340" priority="278">
      <formula>$M$15&gt;0</formula>
    </cfRule>
  </conditionalFormatting>
  <conditionalFormatting sqref="A15:F15">
    <cfRule type="expression" dxfId="1339" priority="277">
      <formula>$H$15&gt;0</formula>
    </cfRule>
  </conditionalFormatting>
  <conditionalFormatting sqref="N10 A10:H10 J10:L10">
    <cfRule type="expression" dxfId="1338" priority="276">
      <formula>$M$10&gt;0</formula>
    </cfRule>
  </conditionalFormatting>
  <conditionalFormatting sqref="A51:F51">
    <cfRule type="expression" dxfId="1337" priority="273">
      <formula>$B$51&lt;&gt;0</formula>
    </cfRule>
  </conditionalFormatting>
  <conditionalFormatting sqref="G60:J60">
    <cfRule type="expression" dxfId="1336" priority="272">
      <formula>AND($H$59&gt;0,$I$60=0,$J$60=0)</formula>
    </cfRule>
  </conditionalFormatting>
  <conditionalFormatting sqref="K60:L60 N60 O60:O74">
    <cfRule type="expression" dxfId="1335" priority="271">
      <formula>$M$60&gt;0</formula>
    </cfRule>
  </conditionalFormatting>
  <conditionalFormatting sqref="D62:N62 C33:F33 C34 C36:C38 C44:C46 C48:C50 C40 C42 O60:O74 C60:C62 C52:C53 C57:C58">
    <cfRule type="expression" dxfId="1334" priority="270">
      <formula>$E$33&gt;0</formula>
    </cfRule>
  </conditionalFormatting>
  <conditionalFormatting sqref="D62:N62 C37:F37 C38 C44:C46 C48:C50 C40 C42 O60:O74 C60:C62 C52:C53 C57:C58">
    <cfRule type="expression" dxfId="1333" priority="269">
      <formula>$E$37&gt;0</formula>
    </cfRule>
  </conditionalFormatting>
  <conditionalFormatting sqref="D62:N62 C45:F45 C46 C48:C50 O60:O74 C60:C62 C52:C53 C57:C58">
    <cfRule type="expression" dxfId="1332" priority="268">
      <formula>$E$45&gt;0</formula>
    </cfRule>
  </conditionalFormatting>
  <conditionalFormatting sqref="D62:N62 C49:F49 C50 O60:O74 C60:C62 C52:C53 C57:C58">
    <cfRule type="expression" dxfId="1331" priority="267">
      <formula>$E$49&gt;0</formula>
    </cfRule>
  </conditionalFormatting>
  <conditionalFormatting sqref="D62:N62 C53:F53 O60:O74 C60:C62 C56:C58 C54">
    <cfRule type="expression" dxfId="1330" priority="266">
      <formula>$E$53&gt;0</formula>
    </cfRule>
  </conditionalFormatting>
  <conditionalFormatting sqref="G58:J58 G59 G60:H60 J59">
    <cfRule type="expression" dxfId="1329" priority="263">
      <formula>$H$59&gt;0</formula>
    </cfRule>
  </conditionalFormatting>
  <conditionalFormatting sqref="G47:J47 G48 G49:H49 J48">
    <cfRule type="expression" dxfId="1328" priority="262">
      <formula>$H$48&gt;0</formula>
    </cfRule>
  </conditionalFormatting>
  <conditionalFormatting sqref="G48:H48 J48">
    <cfRule type="expression" dxfId="1327" priority="261">
      <formula>AND($M$49&gt;0,$H$48=0)</formula>
    </cfRule>
  </conditionalFormatting>
  <conditionalFormatting sqref="K49:L49 N49:P49">
    <cfRule type="expression" dxfId="1326" priority="260">
      <formula>$M$49&gt;0</formula>
    </cfRule>
  </conditionalFormatting>
  <conditionalFormatting sqref="N45:P45 K45:L45">
    <cfRule type="expression" dxfId="1325" priority="259">
      <formula>$M$45&gt;0</formula>
    </cfRule>
  </conditionalFormatting>
  <conditionalFormatting sqref="H20">
    <cfRule type="expression" dxfId="1324" priority="258">
      <formula>AND($H$19&gt;0,$J$20=0,$I$20=0)</formula>
    </cfRule>
  </conditionalFormatting>
  <conditionalFormatting sqref="N19">
    <cfRule type="expression" dxfId="1323" priority="257">
      <formula>AND($H$19&gt;0,$M$19=0)</formula>
    </cfRule>
  </conditionalFormatting>
  <conditionalFormatting sqref="N23">
    <cfRule type="expression" dxfId="1322" priority="256">
      <formula>AND($H$23&gt;0,$M$23=0)</formula>
    </cfRule>
  </conditionalFormatting>
  <conditionalFormatting sqref="N32">
    <cfRule type="expression" dxfId="1321" priority="255">
      <formula>AND($H$32&gt;0,$M$32=0)</formula>
    </cfRule>
  </conditionalFormatting>
  <conditionalFormatting sqref="K36:L36 N36">
    <cfRule type="expression" dxfId="1320" priority="254">
      <formula>$M$36&gt;0</formula>
    </cfRule>
  </conditionalFormatting>
  <conditionalFormatting sqref="N36">
    <cfRule type="expression" dxfId="1319" priority="253">
      <formula>AND($H$36&gt;0,$M$36=0)</formula>
    </cfRule>
  </conditionalFormatting>
  <conditionalFormatting sqref="N45">
    <cfRule type="expression" dxfId="1318" priority="252">
      <formula>AND($H$44&gt;0,$M$45=0)</formula>
    </cfRule>
  </conditionalFormatting>
  <conditionalFormatting sqref="N49">
    <cfRule type="expression" dxfId="1317" priority="251">
      <formula>AND($H$48&gt;0,$M$49=0)</formula>
    </cfRule>
  </conditionalFormatting>
  <conditionalFormatting sqref="N58">
    <cfRule type="expression" dxfId="1316" priority="250">
      <formula>AND(OR($H$59&gt;0,$M$60&gt;0),$M$58=0)</formula>
    </cfRule>
  </conditionalFormatting>
  <conditionalFormatting sqref="N60">
    <cfRule type="expression" dxfId="1315" priority="249">
      <formula>AND(OR($H$59&gt;0,$M$58&gt;0),$M$60=0)</formula>
    </cfRule>
  </conditionalFormatting>
  <conditionalFormatting sqref="J10 H10">
    <cfRule type="expression" dxfId="1314" priority="235">
      <formula>AND($M$10&gt;0,$I$10=0)</formula>
    </cfRule>
  </conditionalFormatting>
  <conditionalFormatting sqref="N73 A73:G73 K73:L73">
    <cfRule type="expression" dxfId="1313" priority="220">
      <formula>$M$73&lt;&gt;0</formula>
    </cfRule>
  </conditionalFormatting>
  <conditionalFormatting sqref="C26:F26">
    <cfRule type="expression" dxfId="1312" priority="219">
      <formula>$E$26&gt;0</formula>
    </cfRule>
  </conditionalFormatting>
  <conditionalFormatting sqref="E26:F26">
    <cfRule type="expression" dxfId="1311" priority="218">
      <formula>AND($A$26="",$E$26&gt;0)</formula>
    </cfRule>
  </conditionalFormatting>
  <conditionalFormatting sqref="K27:L27 N27">
    <cfRule type="expression" dxfId="1310" priority="217">
      <formula>$M$27&gt;0</formula>
    </cfRule>
  </conditionalFormatting>
  <conditionalFormatting sqref="N27">
    <cfRule type="expression" dxfId="1309" priority="216">
      <formula>AND($H$27&gt;0,$M$27=0)</formula>
    </cfRule>
  </conditionalFormatting>
  <conditionalFormatting sqref="G39:J39 G40 G41:H41 J40">
    <cfRule type="expression" dxfId="1308" priority="205">
      <formula>$H$40&gt;0</formula>
    </cfRule>
  </conditionalFormatting>
  <conditionalFormatting sqref="G40:H40 J40">
    <cfRule type="expression" dxfId="1307" priority="204">
      <formula>AND($M$41&gt;0,$H$40=0)</formula>
    </cfRule>
  </conditionalFormatting>
  <conditionalFormatting sqref="G41:H41">
    <cfRule type="expression" dxfId="1306" priority="203">
      <formula>AND($H$40&gt;0,$J$41=0,$I$41=0)</formula>
    </cfRule>
  </conditionalFormatting>
  <conditionalFormatting sqref="N41:P41 K41:L41">
    <cfRule type="expression" dxfId="1305" priority="202">
      <formula>$M$41&gt;0</formula>
    </cfRule>
  </conditionalFormatting>
  <conditionalFormatting sqref="N41">
    <cfRule type="expression" dxfId="1304" priority="201">
      <formula>AND($H$40&gt;0,$M$41=0)</formula>
    </cfRule>
  </conditionalFormatting>
  <conditionalFormatting sqref="K39:L39 N39">
    <cfRule type="expression" dxfId="1303" priority="200">
      <formula>$M$39&gt;0</formula>
    </cfRule>
  </conditionalFormatting>
  <conditionalFormatting sqref="B39:F39">
    <cfRule type="expression" dxfId="1302" priority="199">
      <formula>$B$39&lt;0</formula>
    </cfRule>
  </conditionalFormatting>
  <conditionalFormatting sqref="A39:F39">
    <cfRule type="expression" dxfId="1301" priority="198">
      <formula>$B$39&lt;&gt;0</formula>
    </cfRule>
  </conditionalFormatting>
  <conditionalFormatting sqref="J49">
    <cfRule type="expression" dxfId="1300" priority="196">
      <formula>AND($H$44&gt;0,$J$45=0)</formula>
    </cfRule>
  </conditionalFormatting>
  <conditionalFormatting sqref="H16">
    <cfRule type="expression" dxfId="1299" priority="195">
      <formula>I16&lt;&gt;""</formula>
    </cfRule>
  </conditionalFormatting>
  <conditionalFormatting sqref="I20">
    <cfRule type="expression" dxfId="1298" priority="194">
      <formula>J20&lt;&gt;""</formula>
    </cfRule>
  </conditionalFormatting>
  <conditionalFormatting sqref="I24">
    <cfRule type="expression" dxfId="1297" priority="193">
      <formula>J24&lt;&gt;""</formula>
    </cfRule>
  </conditionalFormatting>
  <conditionalFormatting sqref="I41">
    <cfRule type="expression" dxfId="1296" priority="190">
      <formula>J41&lt;&gt;""</formula>
    </cfRule>
  </conditionalFormatting>
  <conditionalFormatting sqref="I60">
    <cfRule type="expression" dxfId="1295" priority="189">
      <formula>J60&lt;&gt;""</formula>
    </cfRule>
  </conditionalFormatting>
  <conditionalFormatting sqref="I71">
    <cfRule type="expression" dxfId="1294" priority="188">
      <formula>AND($H$59&gt;0,$J$60=0)</formula>
    </cfRule>
  </conditionalFormatting>
  <conditionalFormatting sqref="I45">
    <cfRule type="expression" dxfId="1293" priority="184">
      <formula>J45&lt;&gt;""</formula>
    </cfRule>
  </conditionalFormatting>
  <conditionalFormatting sqref="I49">
    <cfRule type="expression" dxfId="1292" priority="183">
      <formula>J49&lt;&gt;""</formula>
    </cfRule>
  </conditionalFormatting>
  <conditionalFormatting sqref="H71">
    <cfRule type="expression" dxfId="1291" priority="182">
      <formula>I71&lt;&gt;""</formula>
    </cfRule>
  </conditionalFormatting>
  <conditionalFormatting sqref="G51:J51 G52 J52 G53:H53">
    <cfRule type="expression" dxfId="1290" priority="177">
      <formula>$H$52&gt;0</formula>
    </cfRule>
  </conditionalFormatting>
  <conditionalFormatting sqref="G52:H52 J52">
    <cfRule type="expression" dxfId="1289" priority="176">
      <formula>AND($M$52&gt;0,$H$52=0)</formula>
    </cfRule>
  </conditionalFormatting>
  <conditionalFormatting sqref="G53:H53">
    <cfRule type="expression" dxfId="1288" priority="174">
      <formula>AND($H$52&gt;0,$J$53=0,$I$53=0)</formula>
    </cfRule>
  </conditionalFormatting>
  <conditionalFormatting sqref="I53">
    <cfRule type="expression" dxfId="1287" priority="173">
      <formula>J53&lt;&gt;""</formula>
    </cfRule>
  </conditionalFormatting>
  <conditionalFormatting sqref="N52:P52 K52:L52">
    <cfRule type="expression" dxfId="1286" priority="172">
      <formula>$M$52&gt;0</formula>
    </cfRule>
  </conditionalFormatting>
  <conditionalFormatting sqref="N52">
    <cfRule type="expression" dxfId="1285" priority="171">
      <formula>AND($H$52&gt;0,$M$52=0)</formula>
    </cfRule>
  </conditionalFormatting>
  <conditionalFormatting sqref="C19:F19">
    <cfRule type="expression" dxfId="1284" priority="153">
      <formula>$E$19&gt;0</formula>
    </cfRule>
  </conditionalFormatting>
  <conditionalFormatting sqref="E19:F19">
    <cfRule type="expression" dxfId="1283" priority="152">
      <formula>AND($A$19="",$E$19&gt;0)</formula>
    </cfRule>
  </conditionalFormatting>
  <conditionalFormatting sqref="A19:E19">
    <cfRule type="expression" dxfId="1282" priority="151">
      <formula>AND($A$19="Biogas",$D$19&lt;1)</formula>
    </cfRule>
  </conditionalFormatting>
  <conditionalFormatting sqref="A20:E20">
    <cfRule type="expression" dxfId="1281" priority="150">
      <formula>AND($A$19="Biogas",$E$20&gt;0)</formula>
    </cfRule>
  </conditionalFormatting>
  <conditionalFormatting sqref="A20:D20">
    <cfRule type="expression" dxfId="1280" priority="147">
      <formula>AND($A$19="Biogas",$D$19&lt;1)</formula>
    </cfRule>
  </conditionalFormatting>
  <conditionalFormatting sqref="D19">
    <cfRule type="expression" dxfId="1279" priority="144">
      <formula>AND($A$19&lt;&gt;"Biogas",$D$19&lt;1)</formula>
    </cfRule>
    <cfRule type="expression" dxfId="1278" priority="145">
      <formula>$A$19="Biogas"</formula>
    </cfRule>
    <cfRule type="expression" dxfId="1277" priority="146">
      <formula>$E$19&lt;&gt;0</formula>
    </cfRule>
  </conditionalFormatting>
  <conditionalFormatting sqref="C23:F23">
    <cfRule type="expression" dxfId="1276" priority="143">
      <formula>$E$23&gt;0</formula>
    </cfRule>
  </conditionalFormatting>
  <conditionalFormatting sqref="E23:F23">
    <cfRule type="expression" dxfId="1275" priority="142">
      <formula>AND($A$23="",$E$23&gt;0)</formula>
    </cfRule>
  </conditionalFormatting>
  <conditionalFormatting sqref="A23:E23">
    <cfRule type="expression" dxfId="1274" priority="141">
      <formula>AND($A$23="Biogas",$D$23&lt;1)</formula>
    </cfRule>
  </conditionalFormatting>
  <conditionalFormatting sqref="A24:E24">
    <cfRule type="expression" dxfId="1273" priority="140">
      <formula>AND($A$23="Biogas",$E$24&gt;0)</formula>
    </cfRule>
  </conditionalFormatting>
  <conditionalFormatting sqref="E24">
    <cfRule type="expression" dxfId="1272" priority="138">
      <formula>AND($A$23="",$E$23&gt;0)</formula>
    </cfRule>
    <cfRule type="expression" dxfId="1271" priority="139">
      <formula>AND($A$23="Biogas",$D$23&lt;1)</formula>
    </cfRule>
  </conditionalFormatting>
  <conditionalFormatting sqref="A24:D24">
    <cfRule type="expression" dxfId="1270" priority="137">
      <formula>AND($A$23="Biogas",$D$23&lt;1)</formula>
    </cfRule>
  </conditionalFormatting>
  <conditionalFormatting sqref="D23">
    <cfRule type="expression" dxfId="1269" priority="134">
      <formula>AND($A$23&lt;&gt;"Biogas",$D$23&lt;1)</formula>
    </cfRule>
    <cfRule type="expression" dxfId="1268" priority="135">
      <formula>$A$23="Biogas"</formula>
    </cfRule>
    <cfRule type="expression" dxfId="1267" priority="136">
      <formula>$E$23&lt;&gt;0</formula>
    </cfRule>
  </conditionalFormatting>
  <conditionalFormatting sqref="C28:F28">
    <cfRule type="expression" dxfId="1266" priority="133">
      <formula>$E$28&gt;0</formula>
    </cfRule>
  </conditionalFormatting>
  <conditionalFormatting sqref="A28:E28">
    <cfRule type="expression" dxfId="1265" priority="132">
      <formula>AND($A$28="Biogas",$D$28&lt;1)</formula>
    </cfRule>
  </conditionalFormatting>
  <conditionalFormatting sqref="A29:E29">
    <cfRule type="expression" dxfId="1264" priority="131">
      <formula>AND($A$28="Biogas",$E$29&gt;0)</formula>
    </cfRule>
  </conditionalFormatting>
  <conditionalFormatting sqref="A29:D29">
    <cfRule type="expression" dxfId="1263" priority="130">
      <formula>AND($A$28="Biogas",$D$28&lt;1)</formula>
    </cfRule>
  </conditionalFormatting>
  <conditionalFormatting sqref="D28">
    <cfRule type="expression" dxfId="1262" priority="127">
      <formula>AND($A$28&lt;&gt;"Biogas",$D$28&lt;1)</formula>
    </cfRule>
    <cfRule type="expression" dxfId="1261" priority="128">
      <formula>$A$28="Biogas"</formula>
    </cfRule>
    <cfRule type="expression" dxfId="1260" priority="129">
      <formula>$E$28&lt;&gt;0</formula>
    </cfRule>
  </conditionalFormatting>
  <conditionalFormatting sqref="E28:F28">
    <cfRule type="expression" dxfId="1259" priority="126">
      <formula>AND($A$28="",$E$28&gt;0)</formula>
    </cfRule>
  </conditionalFormatting>
  <conditionalFormatting sqref="E29">
    <cfRule type="expression" dxfId="1258" priority="124">
      <formula>AND($A$28="",$E$28&gt;0)</formula>
    </cfRule>
    <cfRule type="expression" dxfId="1257" priority="125">
      <formula>AND($A$28="Biogas",$D$28&lt;1)</formula>
    </cfRule>
  </conditionalFormatting>
  <conditionalFormatting sqref="C59:F59">
    <cfRule type="expression" dxfId="1256" priority="118">
      <formula>$E$59&gt;0</formula>
    </cfRule>
  </conditionalFormatting>
  <conditionalFormatting sqref="E59">
    <cfRule type="expression" dxfId="1255" priority="117">
      <formula>AND($A$59="",$E$59&gt;0)</formula>
    </cfRule>
  </conditionalFormatting>
  <conditionalFormatting sqref="A60:E60">
    <cfRule type="expression" dxfId="1254" priority="115">
      <formula>AND($A$59="Biogas",$E$60&gt;0)</formula>
    </cfRule>
  </conditionalFormatting>
  <conditionalFormatting sqref="E60">
    <cfRule type="expression" dxfId="1253" priority="113">
      <formula>AND($A$59="",$E$59&gt;0)</formula>
    </cfRule>
    <cfRule type="expression" dxfId="1252" priority="114">
      <formula>AND($A$59="Biogas",$D$59&lt;1)</formula>
    </cfRule>
  </conditionalFormatting>
  <conditionalFormatting sqref="A59:E59">
    <cfRule type="expression" dxfId="1251" priority="112">
      <formula>AND($A$59="Biogas",$D$59&lt;1)</formula>
    </cfRule>
  </conditionalFormatting>
  <conditionalFormatting sqref="A60:D60">
    <cfRule type="expression" dxfId="1250" priority="111">
      <formula>AND($A$59="Biogas",$D$59&lt;1)</formula>
    </cfRule>
  </conditionalFormatting>
  <conditionalFormatting sqref="D59">
    <cfRule type="expression" dxfId="1249" priority="108">
      <formula>AND($A$59&lt;&gt;"Biogas",$D$59&lt;1)</formula>
    </cfRule>
    <cfRule type="expression" dxfId="1248" priority="109">
      <formula>$A$59="Biogas"</formula>
    </cfRule>
    <cfRule type="expression" dxfId="1247" priority="110">
      <formula>$E$59&lt;&gt;0</formula>
    </cfRule>
  </conditionalFormatting>
  <conditionalFormatting sqref="I33">
    <cfRule type="expression" dxfId="1246" priority="106">
      <formula>J33&lt;&gt;""</formula>
    </cfRule>
  </conditionalFormatting>
  <conditionalFormatting sqref="I37">
    <cfRule type="expression" dxfId="1245" priority="105">
      <formula>J37&lt;&gt;""</formula>
    </cfRule>
  </conditionalFormatting>
  <conditionalFormatting sqref="C41:F41">
    <cfRule type="expression" dxfId="1244" priority="102">
      <formula>$E$41&gt;0</formula>
    </cfRule>
  </conditionalFormatting>
  <conditionalFormatting sqref="E41:F41">
    <cfRule type="expression" dxfId="1243" priority="101">
      <formula>AND($A$41="",$M$41&gt;0)</formula>
    </cfRule>
  </conditionalFormatting>
  <conditionalFormatting sqref="A67:N67">
    <cfRule type="expression" dxfId="1242" priority="100">
      <formula>$M$67&lt;0</formula>
    </cfRule>
  </conditionalFormatting>
  <conditionalFormatting sqref="A67:H67 J67:N67">
    <cfRule type="expression" dxfId="1241" priority="99">
      <formula>$M$67&lt;&gt;0</formula>
    </cfRule>
  </conditionalFormatting>
  <conditionalFormatting sqref="R16 O46:O48 O50:O51 O42:O44 O10:O40 S14:U20 O53 O57:O58">
    <cfRule type="expression" dxfId="1240" priority="709">
      <formula>$S$18&gt;0</formula>
    </cfRule>
  </conditionalFormatting>
  <conditionalFormatting sqref="E20">
    <cfRule type="expression" dxfId="1239" priority="824">
      <formula>AND($A$28="",$E$28&gt;0)</formula>
    </cfRule>
    <cfRule type="expression" dxfId="1238" priority="825">
      <formula>AND($A$19="Biogas",$D$19&lt;1)</formula>
    </cfRule>
  </conditionalFormatting>
  <conditionalFormatting sqref="G65 J65">
    <cfRule type="expression" dxfId="1237" priority="94">
      <formula>AND($M$65&gt;0,$H$65=0)</formula>
    </cfRule>
  </conditionalFormatting>
  <conditionalFormatting sqref="N65 K65:L65 O60:O74">
    <cfRule type="expression" dxfId="1236" priority="92">
      <formula>($M$65&gt;0)</formula>
    </cfRule>
  </conditionalFormatting>
  <conditionalFormatting sqref="N65">
    <cfRule type="expression" dxfId="1235" priority="93">
      <formula>AND($H$65&gt;0,$M$65=0)</formula>
    </cfRule>
  </conditionalFormatting>
  <conditionalFormatting sqref="G64:J64 G65 J65">
    <cfRule type="expression" dxfId="1234" priority="91">
      <formula>($H$65&gt;0)</formula>
    </cfRule>
  </conditionalFormatting>
  <conditionalFormatting sqref="S52">
    <cfRule type="expression" dxfId="1233" priority="81">
      <formula>AND($S$51&gt;0.99,$S$51&lt;1.01)</formula>
    </cfRule>
  </conditionalFormatting>
  <conditionalFormatting sqref="S50:S51 S53 S57">
    <cfRule type="expression" dxfId="1232" priority="1129">
      <formula>$S$46=0</formula>
    </cfRule>
    <cfRule type="expression" dxfId="1231" priority="1130">
      <formula>AND($S$51&gt;0.99,$S$51&lt;1.01)</formula>
    </cfRule>
  </conditionalFormatting>
  <conditionalFormatting sqref="G26:J26 G27 G28:H28 J27">
    <cfRule type="expression" dxfId="1230" priority="63">
      <formula>$H$27&gt;0</formula>
    </cfRule>
  </conditionalFormatting>
  <conditionalFormatting sqref="G28:H28">
    <cfRule type="expression" dxfId="1229" priority="62">
      <formula>AND($H$27&gt;0,$J$28=0,$I$28=0)</formula>
    </cfRule>
  </conditionalFormatting>
  <conditionalFormatting sqref="G27:H27 J27">
    <cfRule type="expression" dxfId="1228" priority="61">
      <formula>AND($M$27&gt;0,$H$27=0)</formula>
    </cfRule>
  </conditionalFormatting>
  <conditionalFormatting sqref="I28">
    <cfRule type="expression" dxfId="1227" priority="60">
      <formula>J28&lt;&gt;""</formula>
    </cfRule>
  </conditionalFormatting>
  <conditionalFormatting sqref="S37:S38">
    <cfRule type="expression" dxfId="1226" priority="58">
      <formula>($S$18+$S$33)=0</formula>
    </cfRule>
    <cfRule type="expression" dxfId="1225" priority="59">
      <formula>AND($S$38&gt;0.99,$S$38&lt;1.01)</formula>
    </cfRule>
  </conditionalFormatting>
  <conditionalFormatting sqref="S39">
    <cfRule type="expression" dxfId="1224" priority="57">
      <formula>AND($S$38&gt;0.99,$S$38&lt;1.01)</formula>
    </cfRule>
  </conditionalFormatting>
  <conditionalFormatting sqref="M73">
    <cfRule type="expression" dxfId="1223" priority="56">
      <formula>$M$73&gt;SUM($M$60,$M$70)</formula>
    </cfRule>
  </conditionalFormatting>
  <conditionalFormatting sqref="N12 J12:L12 A12:H12">
    <cfRule type="expression" dxfId="1222" priority="55">
      <formula>$M$12&gt;0</formula>
    </cfRule>
  </conditionalFormatting>
  <conditionalFormatting sqref="J12 H12">
    <cfRule type="expression" dxfId="1221" priority="54">
      <formula>AND($M$12&gt;0,$I$12=0)</formula>
    </cfRule>
  </conditionalFormatting>
  <conditionalFormatting sqref="O9">
    <cfRule type="expression" dxfId="1220" priority="51">
      <formula>$S$33&gt;0</formula>
    </cfRule>
  </conditionalFormatting>
  <conditionalFormatting sqref="O9">
    <cfRule type="expression" dxfId="1219" priority="52">
      <formula>$S$18&gt;0</formula>
    </cfRule>
  </conditionalFormatting>
  <conditionalFormatting sqref="N10">
    <cfRule type="expression" dxfId="1218" priority="29">
      <formula>AND($I$10&gt;0,$M$10=0)</formula>
    </cfRule>
  </conditionalFormatting>
  <conditionalFormatting sqref="N12">
    <cfRule type="expression" dxfId="1217" priority="28">
      <formula>AND($I$12&gt;0,$M$12=0)</formula>
    </cfRule>
  </conditionalFormatting>
  <conditionalFormatting sqref="H55 J55">
    <cfRule type="expression" dxfId="1216" priority="24">
      <formula>AND($M$55&gt;0,$I$55=0)</formula>
    </cfRule>
  </conditionalFormatting>
  <conditionalFormatting sqref="A55:H55 J55:L55 N55:P55">
    <cfRule type="expression" dxfId="1215" priority="18">
      <formula>$M$55&gt;0</formula>
    </cfRule>
  </conditionalFormatting>
  <conditionalFormatting sqref="N55">
    <cfRule type="expression" dxfId="1214" priority="10">
      <formula>AND($I$55&gt;0,$M$55=0)</formula>
    </cfRule>
  </conditionalFormatting>
  <conditionalFormatting sqref="C56">
    <cfRule type="expression" dxfId="1213" priority="9">
      <formula>$E$33&gt;0</formula>
    </cfRule>
  </conditionalFormatting>
  <conditionalFormatting sqref="C56">
    <cfRule type="expression" dxfId="1212" priority="8">
      <formula>$E$37&gt;0</formula>
    </cfRule>
  </conditionalFormatting>
  <conditionalFormatting sqref="C56">
    <cfRule type="expression" dxfId="1211" priority="7">
      <formula>$E$45&gt;0</formula>
    </cfRule>
  </conditionalFormatting>
  <conditionalFormatting sqref="C56">
    <cfRule type="expression" dxfId="1210" priority="6">
      <formula>$E$49&gt;0</formula>
    </cfRule>
  </conditionalFormatting>
  <conditionalFormatting sqref="C54">
    <cfRule type="expression" dxfId="1209" priority="5">
      <formula>$E$33&gt;0</formula>
    </cfRule>
  </conditionalFormatting>
  <conditionalFormatting sqref="C54">
    <cfRule type="expression" dxfId="1208" priority="4">
      <formula>$E$37&gt;0</formula>
    </cfRule>
  </conditionalFormatting>
  <conditionalFormatting sqref="C54">
    <cfRule type="expression" dxfId="1207" priority="3">
      <formula>$E$45&gt;0</formula>
    </cfRule>
  </conditionalFormatting>
  <conditionalFormatting sqref="C54">
    <cfRule type="expression" dxfId="1206" priority="2">
      <formula>$E$49&gt;0</formula>
    </cfRule>
  </conditionalFormatting>
  <conditionalFormatting sqref="H67 J67">
    <cfRule type="expression" dxfId="1205" priority="1">
      <formula>AND($M$67&gt;0,$I$67=0)</formula>
    </cfRule>
  </conditionalFormatting>
  <dataValidations count="17">
    <dataValidation type="custom" allowBlank="1" showInputMessage="1" showErrorMessage="1" errorTitle="Netzrückspeisung zu hoch" error="Die Netzrückspeisung darf nicht grösser sein als die Summe der mit WKK und Solarstromanlage erzeugten Elektrizität." sqref="M73">
      <formula1>AF73</formula1>
    </dataValidation>
    <dataValidation type="list" allowBlank="1" showInputMessage="1" showErrorMessage="1" sqref="S77:S79">
      <formula1>$AH$77:$AH$78</formula1>
    </dataValidation>
    <dataValidation type="list" allowBlank="1" showInputMessage="1" showErrorMessage="1" sqref="B77:E79">
      <formula1>$AC$77:$AC$79</formula1>
    </dataValidation>
    <dataValidation type="decimal" allowBlank="1" showInputMessage="1" showErrorMessage="1" error="Wert muss zwischen 400 und 1'500 liegen" sqref="I71">
      <formula1>400</formula1>
      <formula2>1500</formula2>
    </dataValidation>
    <dataValidation type="decimal" operator="greaterThanOrEqual" allowBlank="1" showInputMessage="1" showErrorMessage="1" sqref="I10 I12 H15:I15 H19:I19 H23:I23 H27:I27 H32:I32 H36:I36 H40:I40 H44:I44 H48:I48 H52:I52 H59:I59 H65:I65 H70:I70 I55">
      <formula1>0</formula1>
    </dataValidation>
    <dataValidation type="decimal" allowBlank="1" showInputMessage="1" showErrorMessage="1" error="Wert muss zwischen 5 und 100 liegen" sqref="J53">
      <formula1>5</formula1>
      <formula2>100</formula2>
    </dataValidation>
    <dataValidation type="list" allowBlank="1" showInputMessage="1" showErrorMessage="1" sqref="A23:B23 A59:B59 A19:B19">
      <formula1>Brennstoffe</formula1>
    </dataValidation>
    <dataValidation type="decimal" allowBlank="1" showInputMessage="1" showErrorMessage="1" error="Wert muss zwischen 0.5 und 1.0 liegen" sqref="J20 J24">
      <formula1>0.5</formula1>
      <formula2>1</formula2>
    </dataValidation>
    <dataValidation type="decimal" allowBlank="1" showInputMessage="1" showErrorMessage="1" error="Wert muss zwischen 200 und 800 liegen" sqref="I16">
      <formula1>200</formula1>
      <formula2>800</formula2>
    </dataValidation>
    <dataValidation type="decimal" allowBlank="1" showInputMessage="1" showErrorMessage="1" error="Wert muss zwischen 2.0 und 8.0 liegen" sqref="J37 J33 J28">
      <formula1>2</formula1>
      <formula2>8</formula2>
    </dataValidation>
    <dataValidation type="decimal" allowBlank="1" showErrorMessage="1" error="Wert muss zwischen 0.5 und 1.0 liegen" prompt="Wert muss zwischen 0.5 und 1.0 liegen" sqref="J60">
      <formula1>0.5</formula1>
      <formula2>1</formula2>
    </dataValidation>
    <dataValidation type="decimal" showInputMessage="1" showErrorMessage="1" error="Wert muss im Bereich 5 ... 100% liegen" sqref="C23:D23 C59:D59 C28:D28 C19:D19">
      <formula1>0.05</formula1>
      <formula2>1</formula2>
    </dataValidation>
    <dataValidation type="list" allowBlank="1" showInputMessage="1" showErrorMessage="1" sqref="A28:B28">
      <formula1>Gasbrennstoffe</formula1>
    </dataValidation>
    <dataValidation type="decimal" allowBlank="1" showInputMessage="1" showErrorMessage="1" error="Wert muss zwischen 1.5 und 8.0 liegen" sqref="J45 J49">
      <formula1>1.5</formula1>
      <formula2>8</formula2>
    </dataValidation>
    <dataValidation type="decimal" allowBlank="1" showInputMessage="1" showErrorMessage="1" error="Wert muss zwischen 0.3 und 1.5 liegen" sqref="J41">
      <formula1>0.3</formula1>
      <formula2>1.5</formula2>
    </dataValidation>
    <dataValidation type="list" allowBlank="1" showInputMessage="1" showErrorMessage="1" sqref="A31:B31 A35:B35 A26:B26">
      <formula1>$AC$12:$AC$16</formula1>
    </dataValidation>
    <dataValidation type="list" allowBlank="1" showInputMessage="1" showErrorMessage="1" sqref="A41:B41">
      <formula1>$AC$19:$AC$20</formula1>
    </dataValidation>
  </dataValidations>
  <hyperlinks>
    <hyperlink ref="I2" location="Neu_in_Version" display="i"/>
  </hyperlinks>
  <printOptions horizontalCentered="1"/>
  <pageMargins left="0.70866141732283472" right="0.70866141732283472" top="0.39370078740157483" bottom="0.82677165354330717" header="0.39370078740157483" footer="0.39370078740157483"/>
  <pageSetup paperSize="9" scale="72" orientation="portrait" r:id="rId1"/>
  <headerFooter scaleWithDoc="0">
    <oddFooter>&amp;L&amp;8&amp;G&amp;CSeite &amp;P/&amp;N&amp;6
                                                          &amp;D/&amp;F&amp;R&amp;G</odd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26" id="{7F5390B2-62A0-4C7F-8D06-6DC28E3F8642}">
            <xm:f>EV_Var1!$S$33&gt;0</xm:f>
            <x14:dxf>
              <fill>
                <patternFill>
                  <bgColor theme="9" tint="0.39994506668294322"/>
                </patternFill>
              </fill>
            </x14:dxf>
          </x14:cfRule>
          <xm:sqref>O54</xm:sqref>
        </x14:conditionalFormatting>
        <x14:conditionalFormatting xmlns:xm="http://schemas.microsoft.com/office/excel/2006/main">
          <x14:cfRule type="expression" priority="25" id="{071A4E47-A92A-47B8-9728-E41091A74C7E}">
            <xm:f>EV_Var1!$S$18&gt;0</xm:f>
            <x14:dxf>
              <fill>
                <patternFill>
                  <bgColor theme="9" tint="0.39994506668294322"/>
                </patternFill>
              </fill>
            </x14:dxf>
          </x14:cfRule>
          <xm:sqref>O54</xm:sqref>
        </x14:conditionalFormatting>
        <x14:conditionalFormatting xmlns:xm="http://schemas.microsoft.com/office/excel/2006/main">
          <x14:cfRule type="expression" priority="12" id="{162250CB-1833-4077-91EC-6A309A85689E}">
            <xm:f>EV_Var1!$S$33&gt;0</xm:f>
            <x14:dxf>
              <fill>
                <patternFill>
                  <bgColor theme="9" tint="0.39994506668294322"/>
                </patternFill>
              </fill>
            </x14:dxf>
          </x14:cfRule>
          <xm:sqref>O56</xm:sqref>
        </x14:conditionalFormatting>
        <x14:conditionalFormatting xmlns:xm="http://schemas.microsoft.com/office/excel/2006/main">
          <x14:cfRule type="expression" priority="11" id="{16683DD3-7849-4538-A7EC-5930D9828FD0}">
            <xm:f>EV_Var1!$S$18&gt;0</xm:f>
            <x14:dxf>
              <fill>
                <patternFill>
                  <bgColor theme="9" tint="0.39994506668294322"/>
                </patternFill>
              </fill>
            </x14:dxf>
          </x14:cfRule>
          <xm:sqref>O56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theme="5" tint="0.39997558519241921"/>
  </sheetPr>
  <dimension ref="A1:AJ92"/>
  <sheetViews>
    <sheetView showGridLines="0" showZeros="0" zoomScaleNormal="100" zoomScaleSheetLayoutView="100" workbookViewId="0">
      <pane ySplit="6" topLeftCell="A7" activePane="bottomLeft" state="frozen"/>
      <selection activeCell="E77" sqref="E77:F77"/>
      <selection pane="bottomLeft" activeCell="E6" sqref="E6:G6"/>
    </sheetView>
  </sheetViews>
  <sheetFormatPr baseColWidth="10" defaultColWidth="9.25" defaultRowHeight="12.9" outlineLevelCol="1" x14ac:dyDescent="0.2"/>
  <cols>
    <col min="1" max="1" width="4" style="562" customWidth="1"/>
    <col min="2" max="2" width="9.125" style="562" customWidth="1"/>
    <col min="3" max="3" width="2.625" style="562" customWidth="1"/>
    <col min="4" max="4" width="4.875" style="562" customWidth="1"/>
    <col min="5" max="5" width="9.75" style="561" customWidth="1"/>
    <col min="6" max="6" width="7.75" style="561" customWidth="1"/>
    <col min="7" max="7" width="10.125" style="561" customWidth="1"/>
    <col min="8" max="9" width="6.375" style="561" customWidth="1"/>
    <col min="10" max="10" width="7" style="561" customWidth="1"/>
    <col min="11" max="12" width="2.625" style="561" customWidth="1"/>
    <col min="13" max="13" width="9.75" style="561" customWidth="1"/>
    <col min="14" max="14" width="7.75" style="561" customWidth="1"/>
    <col min="15" max="15" width="2.625" style="561" customWidth="1"/>
    <col min="16" max="16" width="3.75" style="561" customWidth="1"/>
    <col min="17" max="17" width="2.625" style="561" customWidth="1"/>
    <col min="18" max="18" width="7.75" style="561" customWidth="1"/>
    <col min="19" max="19" width="6.75" style="561" customWidth="1"/>
    <col min="20" max="20" width="2.625" style="561" customWidth="1"/>
    <col min="21" max="21" width="6.75" style="561" customWidth="1"/>
    <col min="22" max="22" width="7.75" style="561" customWidth="1"/>
    <col min="23" max="26" width="9.25" style="561" customWidth="1"/>
    <col min="27" max="28" width="9.25" style="561"/>
    <col min="29" max="35" width="9.25" style="561" hidden="1" customWidth="1" outlineLevel="1"/>
    <col min="36" max="36" width="9.25" style="561" collapsed="1"/>
    <col min="37" max="16384" width="9.25" style="561"/>
  </cols>
  <sheetData>
    <row r="1" spans="1:32" ht="56.25" customHeight="1" x14ac:dyDescent="0.2">
      <c r="A1" s="561"/>
      <c r="B1" s="561"/>
      <c r="C1" s="561"/>
      <c r="E1" s="563"/>
      <c r="F1" s="563"/>
      <c r="G1" s="563"/>
      <c r="H1" s="563"/>
      <c r="I1" s="563"/>
      <c r="J1" s="563"/>
      <c r="K1" s="563"/>
      <c r="L1" s="563"/>
      <c r="M1" s="563"/>
      <c r="N1" s="563"/>
      <c r="O1" s="564"/>
      <c r="P1" s="564"/>
      <c r="Q1" s="564"/>
      <c r="R1" s="564"/>
      <c r="S1" s="564"/>
      <c r="T1" s="564"/>
      <c r="U1" s="564"/>
      <c r="V1" s="564"/>
    </row>
    <row r="2" spans="1:32" ht="13.6" customHeight="1" x14ac:dyDescent="0.25">
      <c r="A2" s="1104" t="str">
        <f>CONCATENATE("Variantenvergleich Energiesysteme - Version ",Versionsinfo!$B$4)</f>
        <v>Variantenvergleich Energiesysteme - Version 2.2</v>
      </c>
      <c r="B2" s="561"/>
      <c r="C2" s="561"/>
      <c r="D2" s="563"/>
      <c r="E2" s="563"/>
      <c r="F2" s="563"/>
      <c r="G2" s="563"/>
      <c r="H2" s="1535"/>
      <c r="I2" s="1536" t="s">
        <v>684</v>
      </c>
      <c r="J2" s="564"/>
      <c r="K2" s="564"/>
      <c r="L2" s="564"/>
      <c r="M2" s="565"/>
      <c r="N2" s="566"/>
      <c r="O2" s="564"/>
      <c r="P2" s="564"/>
      <c r="Q2" s="564"/>
      <c r="R2" s="564"/>
      <c r="S2" s="564"/>
      <c r="T2" s="564"/>
      <c r="U2" s="564"/>
      <c r="V2" s="564"/>
    </row>
    <row r="3" spans="1:32" ht="12.75" customHeight="1" x14ac:dyDescent="0.2">
      <c r="A3" s="567" t="s">
        <v>178</v>
      </c>
      <c r="B3" s="561"/>
      <c r="C3" s="561"/>
      <c r="D3" s="561"/>
    </row>
    <row r="4" spans="1:32" ht="18" customHeight="1" x14ac:dyDescent="0.2">
      <c r="A4" s="568"/>
      <c r="B4" s="561"/>
      <c r="C4" s="561"/>
      <c r="D4" s="561"/>
    </row>
    <row r="5" spans="1:32" s="571" customFormat="1" ht="19.55" customHeight="1" x14ac:dyDescent="0.2">
      <c r="A5" s="569" t="s">
        <v>44</v>
      </c>
      <c r="B5" s="570"/>
      <c r="C5" s="570"/>
      <c r="D5" s="570"/>
      <c r="H5" s="572">
        <f>Projektdaten!$C$8</f>
        <v>0</v>
      </c>
      <c r="I5" s="572"/>
      <c r="J5" s="1309"/>
      <c r="K5" s="1309"/>
      <c r="L5" s="1309"/>
      <c r="M5" s="1309"/>
      <c r="N5" s="1309"/>
      <c r="O5" s="1309"/>
      <c r="P5" s="1309"/>
      <c r="Q5" s="1309"/>
      <c r="R5" s="1309"/>
      <c r="S5" s="1309"/>
      <c r="T5" s="1309"/>
      <c r="U5" s="1310">
        <f>Projektdaten!$I$8</f>
        <v>0</v>
      </c>
      <c r="W5" s="2423" t="s">
        <v>192</v>
      </c>
      <c r="X5" s="2423"/>
      <c r="Y5" s="2423"/>
      <c r="Z5" s="2423"/>
      <c r="AA5" s="2423"/>
      <c r="AB5" s="2423"/>
    </row>
    <row r="6" spans="1:32" ht="16.5" customHeight="1" x14ac:dyDescent="0.2">
      <c r="A6" s="573" t="s">
        <v>20</v>
      </c>
      <c r="B6" s="574"/>
      <c r="C6" s="574"/>
      <c r="D6" s="574"/>
      <c r="E6" s="2424"/>
      <c r="F6" s="2424"/>
      <c r="G6" s="2424"/>
      <c r="H6" s="575"/>
      <c r="I6" s="575"/>
      <c r="J6" s="2403"/>
      <c r="K6" s="2404"/>
      <c r="L6" s="2404"/>
      <c r="M6" s="2404"/>
      <c r="N6" s="2404"/>
      <c r="O6" s="2404"/>
      <c r="P6" s="2404"/>
      <c r="Q6" s="2404"/>
      <c r="R6" s="2404"/>
      <c r="S6" s="2404"/>
      <c r="T6" s="2404"/>
      <c r="U6" s="576"/>
    </row>
    <row r="7" spans="1:32" s="578" customFormat="1" ht="18" customHeight="1" x14ac:dyDescent="0.2">
      <c r="A7" s="577"/>
      <c r="B7" s="577"/>
      <c r="C7" s="577"/>
      <c r="D7" s="577"/>
    </row>
    <row r="8" spans="1:32" s="578" customFormat="1" ht="12.75" customHeight="1" x14ac:dyDescent="0.2">
      <c r="A8" s="577"/>
      <c r="B8" s="577"/>
      <c r="C8" s="577"/>
      <c r="D8" s="577"/>
      <c r="E8" s="580" t="s">
        <v>147</v>
      </c>
      <c r="G8" s="2425" t="s">
        <v>236</v>
      </c>
      <c r="H8" s="2425"/>
      <c r="I8" s="2425"/>
      <c r="J8" s="2425"/>
      <c r="M8" s="580" t="s">
        <v>148</v>
      </c>
    </row>
    <row r="9" spans="1:32" s="578" customFormat="1" ht="5.95" customHeight="1" x14ac:dyDescent="0.2">
      <c r="A9" s="581"/>
      <c r="B9" s="577"/>
      <c r="C9" s="577"/>
      <c r="D9" s="577"/>
      <c r="E9" s="582"/>
      <c r="G9" s="582"/>
      <c r="H9" s="582"/>
      <c r="I9" s="582"/>
      <c r="J9" s="582"/>
      <c r="M9" s="582"/>
      <c r="N9" s="583"/>
      <c r="O9" s="592"/>
      <c r="Q9" s="577"/>
      <c r="R9" s="577"/>
    </row>
    <row r="10" spans="1:32" s="578" customFormat="1" ht="12.75" customHeight="1" x14ac:dyDescent="0.2">
      <c r="A10" s="1099" t="s">
        <v>46</v>
      </c>
      <c r="B10" s="584"/>
      <c r="C10" s="584"/>
      <c r="D10" s="584"/>
      <c r="E10" s="585">
        <f>M10</f>
        <v>0</v>
      </c>
      <c r="F10" s="586" t="s">
        <v>5</v>
      </c>
      <c r="G10" s="587"/>
      <c r="H10" s="1100" t="s">
        <v>294</v>
      </c>
      <c r="I10" s="588"/>
      <c r="J10" s="589" t="s">
        <v>62</v>
      </c>
      <c r="K10" s="590"/>
      <c r="L10" s="590"/>
      <c r="M10" s="591"/>
      <c r="N10" s="590" t="s">
        <v>5</v>
      </c>
      <c r="O10" s="594"/>
      <c r="P10" s="583"/>
      <c r="Q10" s="583"/>
      <c r="R10" s="583"/>
      <c r="S10" s="583"/>
      <c r="T10" s="583"/>
      <c r="U10" s="583"/>
    </row>
    <row r="11" spans="1:32" s="578" customFormat="1" ht="12.75" customHeight="1" x14ac:dyDescent="0.2">
      <c r="A11" s="593"/>
      <c r="B11" s="593"/>
      <c r="C11" s="593"/>
      <c r="D11" s="593"/>
      <c r="E11" s="582"/>
      <c r="F11" s="583"/>
      <c r="G11" s="582"/>
      <c r="H11" s="582"/>
      <c r="I11" s="582"/>
      <c r="J11" s="582"/>
      <c r="K11" s="583"/>
      <c r="L11" s="583"/>
      <c r="M11" s="582"/>
      <c r="N11" s="583"/>
      <c r="O11" s="594"/>
      <c r="P11" s="583"/>
      <c r="Q11" s="583"/>
      <c r="R11" s="583"/>
      <c r="S11" s="583"/>
      <c r="T11" s="583"/>
      <c r="U11" s="583"/>
      <c r="AC11" s="621" t="s">
        <v>515</v>
      </c>
      <c r="AD11" s="622"/>
      <c r="AE11" s="622"/>
      <c r="AF11" s="623"/>
    </row>
    <row r="12" spans="1:32" s="578" customFormat="1" ht="12.75" customHeight="1" x14ac:dyDescent="0.2">
      <c r="A12" s="1538" t="str">
        <f>Grunddaten!C55</f>
        <v>Wärmeverbund XY</v>
      </c>
      <c r="B12" s="584"/>
      <c r="C12" s="584"/>
      <c r="D12" s="584"/>
      <c r="E12" s="585">
        <f>M12</f>
        <v>0</v>
      </c>
      <c r="F12" s="586" t="s">
        <v>5</v>
      </c>
      <c r="G12" s="587"/>
      <c r="H12" s="1100" t="s">
        <v>294</v>
      </c>
      <c r="I12" s="588"/>
      <c r="J12" s="589" t="s">
        <v>62</v>
      </c>
      <c r="K12" s="590"/>
      <c r="L12" s="590"/>
      <c r="M12" s="591"/>
      <c r="N12" s="590" t="s">
        <v>5</v>
      </c>
      <c r="O12" s="594"/>
      <c r="P12" s="583"/>
      <c r="Q12" s="583"/>
      <c r="R12" s="583"/>
      <c r="S12" s="583"/>
      <c r="T12" s="583"/>
      <c r="U12" s="583"/>
      <c r="AC12" s="625" t="s">
        <v>78</v>
      </c>
      <c r="AD12" s="626"/>
      <c r="AE12" s="626"/>
      <c r="AF12" s="627"/>
    </row>
    <row r="13" spans="1:32" s="578" customFormat="1" ht="12.75" customHeight="1" thickBot="1" x14ac:dyDescent="0.25">
      <c r="A13" s="593"/>
      <c r="B13" s="593"/>
      <c r="C13" s="593"/>
      <c r="D13" s="593"/>
      <c r="E13" s="582"/>
      <c r="F13" s="583"/>
      <c r="G13" s="582"/>
      <c r="H13" s="582"/>
      <c r="I13" s="582"/>
      <c r="J13" s="582"/>
      <c r="K13" s="583"/>
      <c r="L13" s="583"/>
      <c r="M13" s="582"/>
      <c r="N13" s="583"/>
      <c r="O13" s="594"/>
      <c r="P13" s="1396"/>
      <c r="Q13" s="1396"/>
      <c r="R13" s="583"/>
      <c r="S13" s="583"/>
      <c r="T13" s="583"/>
      <c r="U13" s="583"/>
      <c r="AC13" s="625" t="s">
        <v>79</v>
      </c>
      <c r="AD13" s="626"/>
      <c r="AE13" s="626"/>
      <c r="AF13" s="627"/>
    </row>
    <row r="14" spans="1:32" s="578" customFormat="1" ht="12.75" customHeight="1" x14ac:dyDescent="0.2">
      <c r="A14" s="593"/>
      <c r="B14" s="593"/>
      <c r="C14" s="593"/>
      <c r="D14" s="593"/>
      <c r="E14" s="582"/>
      <c r="F14" s="583"/>
      <c r="G14" s="2420" t="s">
        <v>83</v>
      </c>
      <c r="H14" s="2421"/>
      <c r="I14" s="2421"/>
      <c r="J14" s="2422"/>
      <c r="K14" s="834"/>
      <c r="L14" s="834"/>
      <c r="M14" s="582"/>
      <c r="N14" s="583"/>
      <c r="O14" s="594"/>
      <c r="P14" s="2411" t="s">
        <v>602</v>
      </c>
      <c r="Q14" s="2412"/>
      <c r="R14" s="583"/>
      <c r="S14" s="2420" t="s">
        <v>77</v>
      </c>
      <c r="T14" s="2421"/>
      <c r="U14" s="2422"/>
      <c r="AC14" s="625" t="s">
        <v>80</v>
      </c>
      <c r="AD14" s="626"/>
      <c r="AE14" s="626"/>
      <c r="AF14" s="627"/>
    </row>
    <row r="15" spans="1:32" s="578" customFormat="1" ht="12.75" customHeight="1" x14ac:dyDescent="0.3">
      <c r="A15" s="585" t="s">
        <v>87</v>
      </c>
      <c r="B15" s="585"/>
      <c r="C15" s="585"/>
      <c r="D15" s="585"/>
      <c r="E15" s="585"/>
      <c r="F15" s="595"/>
      <c r="G15" s="596" t="s">
        <v>84</v>
      </c>
      <c r="H15" s="2409"/>
      <c r="I15" s="2383"/>
      <c r="J15" s="597" t="s">
        <v>86</v>
      </c>
      <c r="K15" s="585"/>
      <c r="L15" s="585"/>
      <c r="M15" s="585">
        <f>H15*IF(ISBLANK(I16),H16,I16)</f>
        <v>0</v>
      </c>
      <c r="N15" s="590" t="s">
        <v>5</v>
      </c>
      <c r="O15" s="594"/>
      <c r="P15" s="2413" t="s">
        <v>601</v>
      </c>
      <c r="Q15" s="2414"/>
      <c r="R15" s="583"/>
      <c r="S15" s="2426"/>
      <c r="T15" s="2427"/>
      <c r="U15" s="2428"/>
      <c r="AC15" s="625" t="s">
        <v>89</v>
      </c>
      <c r="AD15" s="626"/>
      <c r="AE15" s="626"/>
      <c r="AF15" s="627"/>
    </row>
    <row r="16" spans="1:32" s="578" customFormat="1" ht="12.75" customHeight="1" thickBot="1" x14ac:dyDescent="0.35">
      <c r="A16" s="593"/>
      <c r="B16" s="593"/>
      <c r="C16" s="593"/>
      <c r="D16" s="593"/>
      <c r="E16" s="598"/>
      <c r="F16" s="583"/>
      <c r="G16" s="599" t="s">
        <v>85</v>
      </c>
      <c r="H16" s="668">
        <f>IF(ISBLANK(H15),0,Grunddaten!H122)</f>
        <v>0</v>
      </c>
      <c r="I16" s="601"/>
      <c r="J16" s="602" t="s">
        <v>88</v>
      </c>
      <c r="K16" s="603"/>
      <c r="L16" s="603"/>
      <c r="M16" s="598"/>
      <c r="N16" s="583"/>
      <c r="O16" s="604"/>
      <c r="P16" s="2410"/>
      <c r="Q16" s="2410"/>
      <c r="R16" s="595"/>
      <c r="S16" s="2429"/>
      <c r="T16" s="2430"/>
      <c r="U16" s="2431"/>
      <c r="AC16" s="630" t="str">
        <f>Grunddaten!$C$55</f>
        <v>Wärmeverbund XY</v>
      </c>
      <c r="AD16" s="631"/>
      <c r="AE16" s="631"/>
      <c r="AF16" s="632"/>
    </row>
    <row r="17" spans="1:32" s="578" customFormat="1" ht="12.75" customHeight="1" thickBot="1" x14ac:dyDescent="0.25">
      <c r="A17" s="593"/>
      <c r="B17" s="593"/>
      <c r="C17" s="593"/>
      <c r="D17" s="593"/>
      <c r="E17" s="582"/>
      <c r="F17" s="583"/>
      <c r="G17" s="582"/>
      <c r="H17" s="582"/>
      <c r="I17" s="582"/>
      <c r="J17" s="582"/>
      <c r="K17" s="583"/>
      <c r="L17" s="583"/>
      <c r="M17" s="582"/>
      <c r="N17" s="583"/>
      <c r="O17" s="594"/>
      <c r="P17" s="2373" t="s">
        <v>641</v>
      </c>
      <c r="Q17" s="2374"/>
      <c r="R17" s="583"/>
      <c r="S17" s="1341" t="s">
        <v>81</v>
      </c>
      <c r="T17" s="606"/>
      <c r="U17" s="607"/>
    </row>
    <row r="18" spans="1:32" s="578" customFormat="1" ht="12.75" customHeight="1" x14ac:dyDescent="0.2">
      <c r="A18" s="593"/>
      <c r="B18" s="593"/>
      <c r="C18" s="593"/>
      <c r="D18" s="593"/>
      <c r="E18" s="582"/>
      <c r="F18" s="583"/>
      <c r="G18" s="2420" t="s">
        <v>58</v>
      </c>
      <c r="H18" s="2421"/>
      <c r="I18" s="2421"/>
      <c r="J18" s="2422"/>
      <c r="K18" s="834"/>
      <c r="L18" s="834"/>
      <c r="M18" s="582"/>
      <c r="N18" s="583"/>
      <c r="O18" s="594"/>
      <c r="P18" s="923"/>
      <c r="Q18" s="923"/>
      <c r="R18" s="583"/>
      <c r="S18" s="2387">
        <f>Projektdaten!I36</f>
        <v>0</v>
      </c>
      <c r="T18" s="2388"/>
      <c r="U18" s="1340" t="s">
        <v>5</v>
      </c>
      <c r="W18" s="1335"/>
      <c r="X18" s="990"/>
      <c r="AC18" s="621" t="s">
        <v>514</v>
      </c>
      <c r="AD18" s="622"/>
      <c r="AE18" s="622"/>
      <c r="AF18" s="623"/>
    </row>
    <row r="19" spans="1:32" s="578" customFormat="1" ht="12.75" customHeight="1" x14ac:dyDescent="0.2">
      <c r="A19" s="2397"/>
      <c r="B19" s="2397"/>
      <c r="C19" s="1101"/>
      <c r="D19" s="1095">
        <v>1</v>
      </c>
      <c r="E19" s="925">
        <f>IF(M19,M19/IF(ISBLANK(J20),I20,J20)*IF(D19,D19,1),0)</f>
        <v>0</v>
      </c>
      <c r="F19" s="930" t="s">
        <v>5</v>
      </c>
      <c r="G19" s="596" t="s">
        <v>61</v>
      </c>
      <c r="H19" s="2383"/>
      <c r="I19" s="2383"/>
      <c r="J19" s="610" t="s">
        <v>62</v>
      </c>
      <c r="K19" s="585"/>
      <c r="L19" s="585"/>
      <c r="M19" s="591"/>
      <c r="N19" s="590" t="s">
        <v>5</v>
      </c>
      <c r="O19" s="594"/>
      <c r="P19" s="923"/>
      <c r="Q19" s="923"/>
      <c r="R19" s="583"/>
      <c r="S19" s="1336" t="s">
        <v>600</v>
      </c>
      <c r="T19" s="1337"/>
      <c r="U19" s="1338"/>
      <c r="AC19" s="625" t="s">
        <v>46</v>
      </c>
      <c r="AD19" s="626"/>
      <c r="AE19" s="626"/>
      <c r="AF19" s="627"/>
    </row>
    <row r="20" spans="1:32" s="578" customFormat="1" ht="12.75" customHeight="1" thickBot="1" x14ac:dyDescent="0.25">
      <c r="A20" s="2400" t="str">
        <f>IF(AND(A19="Biogas",D19&lt;1),"Erdgas","")</f>
        <v/>
      </c>
      <c r="B20" s="2400"/>
      <c r="C20" s="1096"/>
      <c r="D20" s="1096">
        <f>IF(A19="Biogas",IF(D19,1-D19,0),0)</f>
        <v>0</v>
      </c>
      <c r="E20" s="949">
        <f>IF(AND(A19="Biogas",D19&lt;1),M19/IF(ISBLANK(J20),I20,J20)*D20,0)</f>
        <v>0</v>
      </c>
      <c r="F20" s="923"/>
      <c r="G20" s="611"/>
      <c r="H20" s="612" t="s">
        <v>57</v>
      </c>
      <c r="I20" s="600">
        <f>IF(ISBLANK(H19),0,IFERROR(HLOOKUP(A19,Grunddaten!H121:Y125,4,FALSE),Grunddaten!H124))</f>
        <v>0</v>
      </c>
      <c r="J20" s="613"/>
      <c r="K20" s="603"/>
      <c r="L20" s="603"/>
      <c r="M20" s="598"/>
      <c r="N20" s="583"/>
      <c r="O20" s="594"/>
      <c r="P20" s="923"/>
      <c r="Q20" s="923"/>
      <c r="R20" s="583"/>
      <c r="S20" s="2389">
        <f>S18*(1+P16)</f>
        <v>0</v>
      </c>
      <c r="T20" s="2390"/>
      <c r="U20" s="946" t="s">
        <v>5</v>
      </c>
      <c r="AC20" s="630" t="s">
        <v>516</v>
      </c>
      <c r="AD20" s="631"/>
      <c r="AE20" s="631"/>
      <c r="AF20" s="632"/>
    </row>
    <row r="21" spans="1:32" s="578" customFormat="1" ht="12.75" customHeight="1" thickBot="1" x14ac:dyDescent="0.25">
      <c r="A21" s="593"/>
      <c r="B21" s="593"/>
      <c r="C21" s="593"/>
      <c r="D21" s="593"/>
      <c r="E21" s="582"/>
      <c r="F21" s="583"/>
      <c r="G21" s="582"/>
      <c r="H21" s="582"/>
      <c r="I21" s="582"/>
      <c r="J21" s="582"/>
      <c r="K21" s="583"/>
      <c r="L21" s="583"/>
      <c r="M21" s="582"/>
      <c r="N21" s="583"/>
      <c r="O21" s="594"/>
      <c r="P21" s="923"/>
      <c r="Q21" s="923"/>
      <c r="R21" s="583"/>
      <c r="AC21" s="626"/>
      <c r="AD21" s="626"/>
      <c r="AE21" s="626"/>
      <c r="AF21" s="626"/>
    </row>
    <row r="22" spans="1:32" s="578" customFormat="1" ht="12.75" customHeight="1" x14ac:dyDescent="0.2">
      <c r="A22" s="593"/>
      <c r="B22" s="593"/>
      <c r="C22" s="593"/>
      <c r="D22" s="593"/>
      <c r="E22" s="582"/>
      <c r="F22" s="583"/>
      <c r="G22" s="2420" t="s">
        <v>59</v>
      </c>
      <c r="H22" s="2421"/>
      <c r="I22" s="2421"/>
      <c r="J22" s="2422"/>
      <c r="K22" s="834"/>
      <c r="L22" s="834"/>
      <c r="M22" s="582"/>
      <c r="N22" s="583"/>
      <c r="O22" s="594"/>
      <c r="P22" s="923"/>
      <c r="Q22" s="923"/>
      <c r="R22" s="583"/>
      <c r="S22" s="583"/>
      <c r="T22" s="583"/>
      <c r="U22" s="583"/>
      <c r="W22" s="609"/>
      <c r="AC22" s="957" t="s">
        <v>589</v>
      </c>
      <c r="AD22" s="958"/>
      <c r="AE22" s="958"/>
      <c r="AF22" s="959"/>
    </row>
    <row r="23" spans="1:32" s="578" customFormat="1" ht="12.75" customHeight="1" x14ac:dyDescent="0.2">
      <c r="A23" s="2397"/>
      <c r="B23" s="2397"/>
      <c r="C23" s="1101"/>
      <c r="D23" s="1095">
        <v>1</v>
      </c>
      <c r="E23" s="925">
        <f>IF(M23,M23/IF(ISBLANK(J24),I24,J24)*IF(D23,D23,1),0)</f>
        <v>0</v>
      </c>
      <c r="F23" s="930" t="s">
        <v>5</v>
      </c>
      <c r="G23" s="596" t="s">
        <v>61</v>
      </c>
      <c r="H23" s="2383"/>
      <c r="I23" s="2383"/>
      <c r="J23" s="610" t="s">
        <v>62</v>
      </c>
      <c r="K23" s="585"/>
      <c r="L23" s="585"/>
      <c r="M23" s="591"/>
      <c r="N23" s="590" t="s">
        <v>5</v>
      </c>
      <c r="O23" s="594"/>
      <c r="P23" s="923"/>
      <c r="Q23" s="923"/>
      <c r="R23" s="583"/>
      <c r="S23" s="583"/>
      <c r="T23" s="583"/>
      <c r="U23" s="583"/>
      <c r="W23" s="615"/>
      <c r="AC23" s="961" t="str">
        <f>G26</f>
        <v>Gasmotorwärmepumpe</v>
      </c>
      <c r="AD23" s="962"/>
      <c r="AE23" s="962"/>
      <c r="AF23" s="1290">
        <f>ROUND(IF(E26=0,0,H27*(1-1/IF(ISBLANK(J28),I28,J28))),0)</f>
        <v>0</v>
      </c>
    </row>
    <row r="24" spans="1:32" s="578" customFormat="1" ht="12.75" customHeight="1" thickBot="1" x14ac:dyDescent="0.25">
      <c r="A24" s="2400" t="str">
        <f>IF(AND(A23="Biogas",D23&lt;1),"Erdgas","")</f>
        <v/>
      </c>
      <c r="B24" s="2400"/>
      <c r="C24" s="1096"/>
      <c r="D24" s="1096">
        <f>IF(A23="Biogas",IF(D23,1-D23,0),0)</f>
        <v>0</v>
      </c>
      <c r="E24" s="949">
        <f>IF(AND(A23="Biogas",D23&lt;1),M23/IF(ISBLANK(J24),I24,J24)*D24,0)</f>
        <v>0</v>
      </c>
      <c r="F24" s="923"/>
      <c r="G24" s="611"/>
      <c r="H24" s="612" t="s">
        <v>57</v>
      </c>
      <c r="I24" s="600">
        <f>IF(ISBLANK(H23),0,IFERROR(HLOOKUP(A23,Grunddaten!H121:Y125,4,FALSE),Grunddaten!H124))</f>
        <v>0</v>
      </c>
      <c r="J24" s="613"/>
      <c r="K24" s="603"/>
      <c r="L24" s="603"/>
      <c r="M24" s="598"/>
      <c r="N24" s="583"/>
      <c r="O24" s="594"/>
      <c r="P24" s="923"/>
      <c r="Q24" s="923"/>
      <c r="R24" s="583"/>
      <c r="S24" s="583"/>
      <c r="T24" s="583"/>
      <c r="U24" s="583"/>
      <c r="AC24" s="961" t="str">
        <f>G31</f>
        <v>Wärmepumpe 1</v>
      </c>
      <c r="AD24" s="962"/>
      <c r="AE24" s="962"/>
      <c r="AF24" s="1290">
        <f>ROUND(IF(E31=0,0,H32*(1-1/IF(ISBLANK(J33),I33,J33))),0)</f>
        <v>0</v>
      </c>
    </row>
    <row r="25" spans="1:32" s="578" customFormat="1" ht="12.75" customHeight="1" thickBot="1" x14ac:dyDescent="0.25">
      <c r="A25" s="616"/>
      <c r="B25" s="616"/>
      <c r="C25" s="617"/>
      <c r="D25" s="617"/>
      <c r="E25" s="618"/>
      <c r="F25" s="583"/>
      <c r="G25" s="582"/>
      <c r="H25" s="582"/>
      <c r="I25" s="582"/>
      <c r="J25" s="582"/>
      <c r="K25" s="603"/>
      <c r="L25" s="603"/>
      <c r="M25" s="598"/>
      <c r="N25" s="583"/>
      <c r="O25" s="594"/>
      <c r="P25" s="923"/>
      <c r="Q25" s="923"/>
      <c r="R25" s="583"/>
      <c r="S25" s="583"/>
      <c r="T25" s="583"/>
      <c r="U25" s="583"/>
      <c r="AC25" s="967" t="str">
        <f>G35</f>
        <v>Wärmepumpe 2</v>
      </c>
      <c r="AD25" s="968"/>
      <c r="AE25" s="968"/>
      <c r="AF25" s="1291">
        <f>ROUND(IF(E35=0,0,H36*(1-1/IF(ISBLANK(J37),I37,J37))),0)</f>
        <v>0</v>
      </c>
    </row>
    <row r="26" spans="1:32" s="578" customFormat="1" ht="12.75" customHeight="1" x14ac:dyDescent="0.2">
      <c r="A26" s="2397"/>
      <c r="B26" s="2397"/>
      <c r="C26" s="619"/>
      <c r="D26" s="619"/>
      <c r="E26" s="620">
        <f>M27-E28-E29</f>
        <v>0</v>
      </c>
      <c r="F26" s="590" t="s">
        <v>5</v>
      </c>
      <c r="G26" s="2420" t="s">
        <v>304</v>
      </c>
      <c r="H26" s="2421"/>
      <c r="I26" s="2421"/>
      <c r="J26" s="2422"/>
      <c r="K26" s="603"/>
      <c r="L26" s="603"/>
      <c r="M26" s="598"/>
      <c r="N26" s="583"/>
      <c r="O26" s="594"/>
      <c r="P26" s="923"/>
      <c r="Q26" s="923"/>
      <c r="R26" s="583"/>
      <c r="S26" s="583"/>
      <c r="T26" s="583"/>
      <c r="U26" s="583"/>
    </row>
    <row r="27" spans="1:32" s="578" customFormat="1" ht="12.75" customHeight="1" x14ac:dyDescent="0.2">
      <c r="A27" s="616"/>
      <c r="B27" s="616"/>
      <c r="C27" s="617"/>
      <c r="D27" s="617"/>
      <c r="E27" s="618"/>
      <c r="F27" s="583"/>
      <c r="G27" s="596" t="s">
        <v>61</v>
      </c>
      <c r="H27" s="2383"/>
      <c r="I27" s="2383"/>
      <c r="J27" s="610" t="s">
        <v>62</v>
      </c>
      <c r="K27" s="585"/>
      <c r="L27" s="585"/>
      <c r="M27" s="591"/>
      <c r="N27" s="590" t="s">
        <v>5</v>
      </c>
      <c r="O27" s="594"/>
      <c r="P27" s="923"/>
      <c r="Q27" s="923"/>
      <c r="R27" s="583"/>
      <c r="S27" s="583"/>
      <c r="T27" s="583"/>
      <c r="U27" s="583"/>
      <c r="AC27" s="957" t="s">
        <v>591</v>
      </c>
      <c r="AD27" s="958"/>
      <c r="AE27" s="958"/>
      <c r="AF27" s="959"/>
    </row>
    <row r="28" spans="1:32" s="578" customFormat="1" ht="12.75" customHeight="1" thickBot="1" x14ac:dyDescent="0.25">
      <c r="A28" s="2397"/>
      <c r="B28" s="2397"/>
      <c r="C28" s="1101"/>
      <c r="D28" s="1095">
        <v>1</v>
      </c>
      <c r="E28" s="925">
        <f>IF(M27,M27/IF(ISBLANK(J28),I28,J28)*IF(D28,D28,1),0)</f>
        <v>0</v>
      </c>
      <c r="F28" s="930" t="s">
        <v>5</v>
      </c>
      <c r="G28" s="611"/>
      <c r="H28" s="612" t="s">
        <v>76</v>
      </c>
      <c r="I28" s="600">
        <f>IF(ISBLANK(H27),0,IFERROR(HLOOKUP(A26,Grunddaten!H126:Y130,2,FALSE),Grunddaten!H127))</f>
        <v>0</v>
      </c>
      <c r="J28" s="613"/>
      <c r="K28" s="583"/>
      <c r="L28" s="583"/>
      <c r="M28" s="582"/>
      <c r="N28" s="583"/>
      <c r="O28" s="594"/>
      <c r="P28" s="923"/>
      <c r="Q28" s="923"/>
      <c r="R28" s="583"/>
      <c r="T28" s="758"/>
      <c r="U28" s="758"/>
      <c r="V28" s="644"/>
      <c r="AC28" s="961" t="s">
        <v>611</v>
      </c>
      <c r="AD28" s="962"/>
      <c r="AE28" s="962"/>
      <c r="AF28" s="1290">
        <f>I10</f>
        <v>0</v>
      </c>
    </row>
    <row r="29" spans="1:32" s="578" customFormat="1" ht="12.75" customHeight="1" x14ac:dyDescent="0.2">
      <c r="A29" s="2400" t="str">
        <f>IF(AND(A28="Biogas",D28&lt;1),"Erdgas","")</f>
        <v/>
      </c>
      <c r="B29" s="2400"/>
      <c r="C29" s="1096"/>
      <c r="D29" s="1096">
        <f>IF(A28="Biogas",IF(D28,1-D28,0),0)</f>
        <v>0</v>
      </c>
      <c r="E29" s="949">
        <f>IF(AND(A28="Biogas",D28&lt;1),M27/IF(ISBLANK(J28),I28,J28)*D29,0)</f>
        <v>0</v>
      </c>
      <c r="F29" s="923"/>
      <c r="G29" s="582"/>
      <c r="H29" s="582"/>
      <c r="I29" s="582"/>
      <c r="J29" s="582"/>
      <c r="K29" s="583"/>
      <c r="L29" s="583"/>
      <c r="M29" s="582"/>
      <c r="N29" s="583"/>
      <c r="O29" s="594"/>
      <c r="P29" s="2411" t="s">
        <v>602</v>
      </c>
      <c r="Q29" s="2415"/>
      <c r="R29" s="583"/>
      <c r="S29" s="2420" t="s">
        <v>603</v>
      </c>
      <c r="T29" s="2421"/>
      <c r="U29" s="2422"/>
      <c r="AC29" s="967" t="s">
        <v>305</v>
      </c>
      <c r="AD29" s="968"/>
      <c r="AE29" s="968"/>
      <c r="AF29" s="1291">
        <f>IF(AND(H40&gt;0,A41=AC19),H40/IF(J41,J41,I41),0)</f>
        <v>0</v>
      </c>
    </row>
    <row r="30" spans="1:32" s="578" customFormat="1" ht="12.75" customHeight="1" thickBot="1" x14ac:dyDescent="0.25">
      <c r="A30" s="616"/>
      <c r="B30" s="616"/>
      <c r="C30" s="617"/>
      <c r="D30" s="617"/>
      <c r="E30" s="618"/>
      <c r="F30" s="583"/>
      <c r="G30" s="582"/>
      <c r="H30" s="582"/>
      <c r="I30" s="582"/>
      <c r="J30" s="582"/>
      <c r="K30" s="583"/>
      <c r="L30" s="583"/>
      <c r="M30" s="582"/>
      <c r="N30" s="583"/>
      <c r="O30" s="594"/>
      <c r="P30" s="2413" t="s">
        <v>601</v>
      </c>
      <c r="Q30" s="2414"/>
      <c r="R30" s="583"/>
      <c r="S30" s="2426"/>
      <c r="T30" s="2427"/>
      <c r="U30" s="2428"/>
      <c r="AC30" s="967" t="s">
        <v>592</v>
      </c>
      <c r="AD30" s="968"/>
      <c r="AE30" s="968"/>
      <c r="AF30" s="1291">
        <f>ROUNDUP(SUM(AF28:AF29),-1)</f>
        <v>0</v>
      </c>
    </row>
    <row r="31" spans="1:32" s="578" customFormat="1" ht="12.75" customHeight="1" x14ac:dyDescent="0.2">
      <c r="A31" s="2397"/>
      <c r="B31" s="2397"/>
      <c r="C31" s="619"/>
      <c r="D31" s="619"/>
      <c r="E31" s="620">
        <f>M32-E33</f>
        <v>0</v>
      </c>
      <c r="F31" s="590" t="s">
        <v>5</v>
      </c>
      <c r="G31" s="2420" t="s">
        <v>75</v>
      </c>
      <c r="H31" s="2421"/>
      <c r="I31" s="2421"/>
      <c r="J31" s="2422"/>
      <c r="K31" s="834"/>
      <c r="L31" s="834"/>
      <c r="M31" s="582"/>
      <c r="N31" s="583"/>
      <c r="O31" s="604"/>
      <c r="P31" s="2410"/>
      <c r="Q31" s="2410"/>
      <c r="R31" s="595"/>
      <c r="S31" s="2429"/>
      <c r="T31" s="2430"/>
      <c r="U31" s="2431"/>
    </row>
    <row r="32" spans="1:32" s="578" customFormat="1" ht="12.75" customHeight="1" x14ac:dyDescent="0.2">
      <c r="A32" s="593"/>
      <c r="B32" s="593"/>
      <c r="C32" s="593"/>
      <c r="D32" s="593"/>
      <c r="E32" s="624"/>
      <c r="F32" s="583"/>
      <c r="G32" s="596" t="s">
        <v>61</v>
      </c>
      <c r="H32" s="2383"/>
      <c r="I32" s="2383"/>
      <c r="J32" s="610" t="s">
        <v>62</v>
      </c>
      <c r="K32" s="585"/>
      <c r="L32" s="585"/>
      <c r="M32" s="591"/>
      <c r="N32" s="590" t="s">
        <v>5</v>
      </c>
      <c r="O32" s="594"/>
      <c r="P32" s="2373" t="s">
        <v>641</v>
      </c>
      <c r="Q32" s="2374"/>
      <c r="R32" s="583"/>
      <c r="S32" s="1341" t="s">
        <v>81</v>
      </c>
      <c r="T32" s="606"/>
      <c r="U32" s="607"/>
    </row>
    <row r="33" spans="1:29" s="578" customFormat="1" ht="12.75" customHeight="1" thickBot="1" x14ac:dyDescent="0.25">
      <c r="A33" s="593"/>
      <c r="B33" s="593"/>
      <c r="C33" s="628"/>
      <c r="D33" s="584"/>
      <c r="E33" s="620">
        <f>IF(M32,M32/IF(ISBLANK(J33),I33,J33),0)</f>
        <v>0</v>
      </c>
      <c r="F33" s="590" t="s">
        <v>5</v>
      </c>
      <c r="G33" s="611"/>
      <c r="H33" s="612" t="s">
        <v>76</v>
      </c>
      <c r="I33" s="600">
        <f>IF(ISBLANK(H32),0,IFERROR(HLOOKUP(A31,Grunddaten!H126:Y130,3,FALSE),Grunddaten!H128))</f>
        <v>0</v>
      </c>
      <c r="J33" s="613"/>
      <c r="K33" s="603"/>
      <c r="L33" s="603"/>
      <c r="M33" s="598"/>
      <c r="N33" s="583"/>
      <c r="O33" s="594"/>
      <c r="P33" s="583"/>
      <c r="Q33" s="583"/>
      <c r="R33" s="583"/>
      <c r="S33" s="2387">
        <f>Projektdaten!I38</f>
        <v>0</v>
      </c>
      <c r="T33" s="2388"/>
      <c r="U33" s="1340" t="s">
        <v>5</v>
      </c>
      <c r="W33" s="1335"/>
      <c r="X33" s="990"/>
    </row>
    <row r="34" spans="1:29" s="578" customFormat="1" ht="12.75" customHeight="1" thickBot="1" x14ac:dyDescent="0.25">
      <c r="A34" s="593"/>
      <c r="B34" s="593"/>
      <c r="C34" s="629"/>
      <c r="D34" s="593"/>
      <c r="E34" s="624"/>
      <c r="F34" s="583"/>
      <c r="G34" s="582"/>
      <c r="H34" s="582"/>
      <c r="I34" s="582"/>
      <c r="J34" s="582"/>
      <c r="K34" s="583"/>
      <c r="L34" s="583"/>
      <c r="M34" s="582"/>
      <c r="N34" s="583"/>
      <c r="O34" s="594"/>
      <c r="P34" s="583"/>
      <c r="Q34" s="583"/>
      <c r="R34" s="583"/>
      <c r="S34" s="1336" t="s">
        <v>600</v>
      </c>
      <c r="T34" s="1337"/>
      <c r="U34" s="1338"/>
    </row>
    <row r="35" spans="1:29" s="578" customFormat="1" ht="12.75" customHeight="1" thickBot="1" x14ac:dyDescent="0.25">
      <c r="A35" s="2397"/>
      <c r="B35" s="2397"/>
      <c r="C35" s="619"/>
      <c r="D35" s="619"/>
      <c r="E35" s="620">
        <f>M36-E37</f>
        <v>0</v>
      </c>
      <c r="F35" s="590" t="s">
        <v>5</v>
      </c>
      <c r="G35" s="2432" t="s">
        <v>82</v>
      </c>
      <c r="H35" s="2433"/>
      <c r="I35" s="2433"/>
      <c r="J35" s="2434"/>
      <c r="K35" s="834"/>
      <c r="L35" s="834"/>
      <c r="M35" s="582"/>
      <c r="N35" s="583"/>
      <c r="O35" s="594"/>
      <c r="P35" s="583"/>
      <c r="Q35" s="583"/>
      <c r="R35" s="583"/>
      <c r="S35" s="2389">
        <f>S33*(1+P31)</f>
        <v>0</v>
      </c>
      <c r="T35" s="2390"/>
      <c r="U35" s="946" t="s">
        <v>5</v>
      </c>
    </row>
    <row r="36" spans="1:29" s="578" customFormat="1" ht="12.75" customHeight="1" x14ac:dyDescent="0.2">
      <c r="A36" s="593"/>
      <c r="B36" s="593"/>
      <c r="C36" s="629"/>
      <c r="D36" s="593"/>
      <c r="E36" s="624"/>
      <c r="F36" s="583"/>
      <c r="G36" s="596" t="s">
        <v>61</v>
      </c>
      <c r="H36" s="2383"/>
      <c r="I36" s="2383"/>
      <c r="J36" s="610" t="s">
        <v>62</v>
      </c>
      <c r="K36" s="585"/>
      <c r="L36" s="585"/>
      <c r="M36" s="591"/>
      <c r="N36" s="590" t="s">
        <v>5</v>
      </c>
      <c r="O36" s="594"/>
      <c r="P36" s="583"/>
      <c r="Q36" s="583"/>
      <c r="R36" s="583"/>
      <c r="T36" s="583"/>
      <c r="U36" s="583"/>
      <c r="AC36" s="634"/>
    </row>
    <row r="37" spans="1:29" s="578" customFormat="1" ht="12.75" customHeight="1" thickBot="1" x14ac:dyDescent="0.25">
      <c r="A37" s="593"/>
      <c r="B37" s="593"/>
      <c r="C37" s="635"/>
      <c r="D37" s="584"/>
      <c r="E37" s="620">
        <f>IF(M36,M36/IF(ISBLANK(J37),I37,J37),0)</f>
        <v>0</v>
      </c>
      <c r="F37" s="590" t="s">
        <v>5</v>
      </c>
      <c r="G37" s="611"/>
      <c r="H37" s="612" t="s">
        <v>76</v>
      </c>
      <c r="I37" s="600">
        <f>IF(ISBLANK(H36),0,IFERROR(HLOOKUP(A35,Grunddaten!H126:Y130,3,FALSE),Grunddaten!H128))</f>
        <v>0</v>
      </c>
      <c r="J37" s="613"/>
      <c r="K37" s="603"/>
      <c r="L37" s="603"/>
      <c r="M37" s="598"/>
      <c r="N37" s="583"/>
      <c r="O37" s="594"/>
      <c r="P37" s="583"/>
      <c r="Q37" s="583"/>
      <c r="R37" s="583"/>
      <c r="S37" s="966" t="s">
        <v>99</v>
      </c>
      <c r="T37" s="923"/>
      <c r="U37" s="923"/>
      <c r="AC37" s="634"/>
    </row>
    <row r="38" spans="1:29" s="578" customFormat="1" ht="12.75" customHeight="1" thickBot="1" x14ac:dyDescent="0.25">
      <c r="A38" s="593"/>
      <c r="B38" s="593"/>
      <c r="C38" s="629"/>
      <c r="D38" s="593"/>
      <c r="E38" s="582"/>
      <c r="F38" s="583"/>
      <c r="G38" s="582"/>
      <c r="H38" s="582"/>
      <c r="I38" s="582"/>
      <c r="J38" s="582"/>
      <c r="K38" s="583"/>
      <c r="L38" s="583"/>
      <c r="M38" s="582"/>
      <c r="N38" s="583"/>
      <c r="O38" s="594"/>
      <c r="P38" s="583"/>
      <c r="Q38" s="583"/>
      <c r="R38" s="583"/>
      <c r="S38" s="2392" t="e">
        <f>ROUND((M10+M12+M15+M19+M23+M27+M32+M36+M39+M43+M47+M58+R58)/(S20+S35),2)</f>
        <v>#DIV/0!</v>
      </c>
      <c r="T38" s="2392"/>
      <c r="U38" s="923"/>
    </row>
    <row r="39" spans="1:29" s="578" customFormat="1" ht="12.75" customHeight="1" x14ac:dyDescent="0.2">
      <c r="A39" s="590"/>
      <c r="B39" s="585">
        <f>M41+E41-M39</f>
        <v>0</v>
      </c>
      <c r="C39" s="636" t="s">
        <v>5</v>
      </c>
      <c r="D39" s="584"/>
      <c r="E39" s="584"/>
      <c r="F39" s="637" t="s">
        <v>91</v>
      </c>
      <c r="G39" s="2420" t="s">
        <v>305</v>
      </c>
      <c r="H39" s="2421"/>
      <c r="I39" s="2421"/>
      <c r="J39" s="2422"/>
      <c r="K39" s="638" t="s">
        <v>146</v>
      </c>
      <c r="L39" s="585"/>
      <c r="M39" s="591"/>
      <c r="N39" s="590" t="s">
        <v>5</v>
      </c>
      <c r="O39" s="594"/>
      <c r="P39" s="583"/>
      <c r="Q39" s="583"/>
      <c r="R39" s="583"/>
      <c r="S39" s="2393">
        <f>ROUND((M10+M12+M15+M19+M23+M27+M32+M36+M39+M43+M47+M58+R58)-(S20+S35),-2)</f>
        <v>0</v>
      </c>
      <c r="T39" s="2393"/>
      <c r="U39" s="2393"/>
    </row>
    <row r="40" spans="1:29" s="578" customFormat="1" ht="12.75" customHeight="1" x14ac:dyDescent="0.2">
      <c r="A40" s="639"/>
      <c r="B40" s="593"/>
      <c r="C40" s="629"/>
      <c r="D40" s="593"/>
      <c r="E40" s="582"/>
      <c r="F40" s="583"/>
      <c r="G40" s="596" t="s">
        <v>61</v>
      </c>
      <c r="H40" s="2383"/>
      <c r="I40" s="2383"/>
      <c r="J40" s="610" t="s">
        <v>62</v>
      </c>
      <c r="K40" s="583"/>
      <c r="L40" s="583"/>
      <c r="M40" s="582"/>
      <c r="N40" s="583"/>
      <c r="O40" s="594"/>
      <c r="P40" s="583"/>
      <c r="Q40" s="592"/>
      <c r="R40" s="583"/>
      <c r="S40" s="583"/>
      <c r="T40" s="583"/>
      <c r="U40" s="583"/>
    </row>
    <row r="41" spans="1:29" s="578" customFormat="1" ht="12.75" customHeight="1" thickBot="1" x14ac:dyDescent="0.25">
      <c r="A41" s="2379"/>
      <c r="B41" s="2379"/>
      <c r="C41" s="585"/>
      <c r="D41" s="585"/>
      <c r="E41" s="585">
        <f>IF(M41,M41/IF(ISBLANK(J41),I41,J41),0)</f>
        <v>0</v>
      </c>
      <c r="F41" s="590" t="s">
        <v>5</v>
      </c>
      <c r="G41" s="611"/>
      <c r="H41" s="612" t="s">
        <v>76</v>
      </c>
      <c r="I41" s="600">
        <f>IF(ISBLANK(H40),0,Grunddaten!H130)</f>
        <v>0</v>
      </c>
      <c r="J41" s="613"/>
      <c r="K41" s="590"/>
      <c r="L41" s="590"/>
      <c r="M41" s="591"/>
      <c r="N41" s="587" t="s">
        <v>5</v>
      </c>
      <c r="O41" s="590"/>
      <c r="P41" s="590"/>
      <c r="Q41" s="640"/>
      <c r="R41" s="583"/>
      <c r="S41" s="583"/>
      <c r="T41" s="583"/>
      <c r="U41" s="583"/>
    </row>
    <row r="42" spans="1:29" s="578" customFormat="1" ht="12.75" customHeight="1" thickBot="1" x14ac:dyDescent="0.25">
      <c r="A42" s="583"/>
      <c r="B42" s="641"/>
      <c r="C42" s="629"/>
      <c r="D42" s="593"/>
      <c r="E42" s="582"/>
      <c r="F42" s="583"/>
      <c r="G42" s="582"/>
      <c r="H42" s="582"/>
      <c r="I42" s="582"/>
      <c r="J42" s="582"/>
      <c r="K42" s="834"/>
      <c r="L42" s="834"/>
      <c r="M42" s="582"/>
      <c r="N42" s="583"/>
      <c r="O42" s="594"/>
      <c r="P42" s="583"/>
      <c r="Q42" s="594"/>
      <c r="R42" s="1400" t="s">
        <v>602</v>
      </c>
      <c r="S42" s="2420" t="s">
        <v>56</v>
      </c>
      <c r="T42" s="2421"/>
      <c r="U42" s="2422"/>
    </row>
    <row r="43" spans="1:29" s="578" customFormat="1" ht="12.75" customHeight="1" x14ac:dyDescent="0.2">
      <c r="A43" s="590"/>
      <c r="B43" s="585">
        <f>M45+E45-M43</f>
        <v>0</v>
      </c>
      <c r="C43" s="636" t="s">
        <v>5</v>
      </c>
      <c r="D43" s="584"/>
      <c r="E43" s="584"/>
      <c r="F43" s="637" t="s">
        <v>91</v>
      </c>
      <c r="G43" s="2420" t="s">
        <v>90</v>
      </c>
      <c r="H43" s="2421"/>
      <c r="I43" s="2421"/>
      <c r="J43" s="2422"/>
      <c r="K43" s="638" t="s">
        <v>146</v>
      </c>
      <c r="L43" s="585"/>
      <c r="M43" s="591"/>
      <c r="N43" s="590" t="s">
        <v>5</v>
      </c>
      <c r="O43" s="594"/>
      <c r="P43" s="583"/>
      <c r="Q43" s="594"/>
      <c r="R43" s="1400" t="s">
        <v>601</v>
      </c>
      <c r="S43" s="2426"/>
      <c r="T43" s="2427"/>
      <c r="U43" s="2428"/>
    </row>
    <row r="44" spans="1:29" s="578" customFormat="1" ht="12.75" customHeight="1" x14ac:dyDescent="0.2">
      <c r="A44" s="583"/>
      <c r="B44" s="593"/>
      <c r="C44" s="629"/>
      <c r="D44" s="593"/>
      <c r="E44" s="582"/>
      <c r="F44" s="583"/>
      <c r="G44" s="596" t="s">
        <v>61</v>
      </c>
      <c r="H44" s="2383"/>
      <c r="I44" s="2383"/>
      <c r="J44" s="610" t="s">
        <v>62</v>
      </c>
      <c r="K44" s="583"/>
      <c r="L44" s="583"/>
      <c r="M44" s="598"/>
      <c r="N44" s="583"/>
      <c r="O44" s="642"/>
      <c r="P44" s="583"/>
      <c r="Q44" s="594"/>
      <c r="R44" s="1398"/>
      <c r="S44" s="2426"/>
      <c r="T44" s="2427"/>
      <c r="U44" s="2428"/>
    </row>
    <row r="45" spans="1:29" s="578" customFormat="1" ht="12.75" customHeight="1" thickBot="1" x14ac:dyDescent="0.25">
      <c r="A45" s="593"/>
      <c r="B45" s="593"/>
      <c r="C45" s="635"/>
      <c r="D45" s="584"/>
      <c r="E45" s="585">
        <f>IF(M45,M45/IF(ISBLANK(J45),I45,J45),0)</f>
        <v>0</v>
      </c>
      <c r="F45" s="590" t="s">
        <v>5</v>
      </c>
      <c r="G45" s="611"/>
      <c r="H45" s="612" t="s">
        <v>76</v>
      </c>
      <c r="I45" s="600">
        <f>IF(ISBLANK(H44),0,Grunddaten!H129)</f>
        <v>0</v>
      </c>
      <c r="J45" s="613"/>
      <c r="K45" s="590"/>
      <c r="L45" s="590"/>
      <c r="M45" s="591"/>
      <c r="N45" s="587" t="s">
        <v>5</v>
      </c>
      <c r="O45" s="590"/>
      <c r="P45" s="590"/>
      <c r="Q45" s="640"/>
      <c r="R45" s="1397" t="s">
        <v>641</v>
      </c>
      <c r="S45" s="1336" t="s">
        <v>81</v>
      </c>
      <c r="T45" s="944"/>
      <c r="U45" s="945"/>
    </row>
    <row r="46" spans="1:29" s="578" customFormat="1" ht="12.75" customHeight="1" thickBot="1" x14ac:dyDescent="0.25">
      <c r="A46" s="583"/>
      <c r="B46" s="593"/>
      <c r="C46" s="629"/>
      <c r="D46" s="593"/>
      <c r="E46" s="582"/>
      <c r="F46" s="583"/>
      <c r="G46" s="582"/>
      <c r="H46" s="582"/>
      <c r="I46" s="582"/>
      <c r="J46" s="582"/>
      <c r="K46" s="583"/>
      <c r="L46" s="583"/>
      <c r="M46" s="582"/>
      <c r="N46" s="583"/>
      <c r="O46" s="592"/>
      <c r="P46" s="583"/>
      <c r="Q46" s="594"/>
      <c r="R46" s="583"/>
      <c r="S46" s="2387">
        <f>Projektdaten!I40</f>
        <v>0</v>
      </c>
      <c r="T46" s="2388"/>
      <c r="U46" s="1334" t="s">
        <v>5</v>
      </c>
    </row>
    <row r="47" spans="1:29" s="578" customFormat="1" ht="12.75" customHeight="1" x14ac:dyDescent="0.2">
      <c r="A47" s="590"/>
      <c r="B47" s="585">
        <f>M49+E49-M47</f>
        <v>0</v>
      </c>
      <c r="C47" s="636" t="s">
        <v>5</v>
      </c>
      <c r="D47" s="584"/>
      <c r="E47" s="584"/>
      <c r="F47" s="637" t="s">
        <v>91</v>
      </c>
      <c r="G47" s="2420" t="s">
        <v>177</v>
      </c>
      <c r="H47" s="2421"/>
      <c r="I47" s="2421"/>
      <c r="J47" s="2422"/>
      <c r="K47" s="638" t="s">
        <v>146</v>
      </c>
      <c r="L47" s="585"/>
      <c r="M47" s="591"/>
      <c r="N47" s="590" t="s">
        <v>5</v>
      </c>
      <c r="O47" s="594"/>
      <c r="P47" s="583"/>
      <c r="Q47" s="594"/>
      <c r="S47" s="1336" t="s">
        <v>600</v>
      </c>
      <c r="T47" s="944"/>
      <c r="U47" s="945"/>
    </row>
    <row r="48" spans="1:29" s="578" customFormat="1" ht="12.75" customHeight="1" thickBot="1" x14ac:dyDescent="0.25">
      <c r="A48" s="583"/>
      <c r="B48" s="593"/>
      <c r="C48" s="629"/>
      <c r="D48" s="593"/>
      <c r="E48" s="582"/>
      <c r="F48" s="583"/>
      <c r="G48" s="596" t="s">
        <v>61</v>
      </c>
      <c r="H48" s="2383"/>
      <c r="I48" s="2383"/>
      <c r="J48" s="610" t="s">
        <v>62</v>
      </c>
      <c r="K48" s="583"/>
      <c r="L48" s="583"/>
      <c r="M48" s="598"/>
      <c r="N48" s="583"/>
      <c r="O48" s="642"/>
      <c r="P48" s="583"/>
      <c r="Q48" s="594"/>
      <c r="R48" s="583"/>
      <c r="S48" s="2389">
        <f>S46*(1+R44)</f>
        <v>0</v>
      </c>
      <c r="T48" s="2390"/>
      <c r="U48" s="946" t="s">
        <v>5</v>
      </c>
    </row>
    <row r="49" spans="1:32" s="578" customFormat="1" ht="12.75" customHeight="1" thickBot="1" x14ac:dyDescent="0.25">
      <c r="A49" s="593"/>
      <c r="B49" s="593"/>
      <c r="C49" s="635"/>
      <c r="D49" s="584"/>
      <c r="E49" s="585">
        <f>IF(M49,M49/IF(ISBLANK(J49),I49,J49),0)</f>
        <v>0</v>
      </c>
      <c r="F49" s="590" t="s">
        <v>5</v>
      </c>
      <c r="G49" s="611"/>
      <c r="H49" s="612" t="s">
        <v>76</v>
      </c>
      <c r="I49" s="600">
        <f>IF(ISBLANK(H48),0,Grunddaten!H129)</f>
        <v>0</v>
      </c>
      <c r="J49" s="613"/>
      <c r="K49" s="590"/>
      <c r="L49" s="590"/>
      <c r="M49" s="591"/>
      <c r="N49" s="587" t="s">
        <v>5</v>
      </c>
      <c r="O49" s="590"/>
      <c r="P49" s="590"/>
      <c r="Q49" s="640"/>
      <c r="R49" s="583"/>
    </row>
    <row r="50" spans="1:32" s="578" customFormat="1" ht="12.75" customHeight="1" thickBot="1" x14ac:dyDescent="0.25">
      <c r="A50" s="593"/>
      <c r="B50" s="593"/>
      <c r="C50" s="629"/>
      <c r="D50" s="593"/>
      <c r="E50" s="582"/>
      <c r="F50" s="583"/>
      <c r="G50" s="582"/>
      <c r="H50" s="582"/>
      <c r="I50" s="582"/>
      <c r="J50" s="582"/>
      <c r="K50" s="583"/>
      <c r="L50" s="583"/>
      <c r="M50" s="582"/>
      <c r="N50" s="583"/>
      <c r="O50" s="592"/>
      <c r="P50" s="583"/>
      <c r="Q50" s="594"/>
      <c r="R50" s="583"/>
      <c r="S50" s="966" t="s">
        <v>99</v>
      </c>
      <c r="T50" s="918"/>
      <c r="U50" s="918"/>
    </row>
    <row r="51" spans="1:32" s="578" customFormat="1" ht="12.75" customHeight="1" x14ac:dyDescent="0.2">
      <c r="A51" s="590"/>
      <c r="B51" s="585">
        <f>M52+E53</f>
        <v>0</v>
      </c>
      <c r="C51" s="636" t="s">
        <v>5</v>
      </c>
      <c r="D51" s="584"/>
      <c r="E51" s="584"/>
      <c r="F51" s="637" t="s">
        <v>91</v>
      </c>
      <c r="G51" s="2420" t="s">
        <v>149</v>
      </c>
      <c r="H51" s="2421"/>
      <c r="I51" s="2421"/>
      <c r="J51" s="2422"/>
      <c r="K51" s="583"/>
      <c r="L51" s="583"/>
      <c r="M51" s="582"/>
      <c r="N51" s="583"/>
      <c r="O51" s="594"/>
      <c r="P51" s="583"/>
      <c r="Q51" s="594"/>
      <c r="S51" s="1343" t="e">
        <f>ROUND((M41+M45+M49+M52+M55)/S48,2)</f>
        <v>#DIV/0!</v>
      </c>
      <c r="T51" s="923"/>
      <c r="U51" s="923"/>
      <c r="AE51" s="2435"/>
      <c r="AF51" s="2436"/>
    </row>
    <row r="52" spans="1:32" s="578" customFormat="1" ht="12.75" customHeight="1" x14ac:dyDescent="0.2">
      <c r="A52" s="593"/>
      <c r="B52" s="593"/>
      <c r="C52" s="629"/>
      <c r="D52" s="593"/>
      <c r="E52" s="582"/>
      <c r="F52" s="583"/>
      <c r="G52" s="596" t="s">
        <v>61</v>
      </c>
      <c r="H52" s="2383"/>
      <c r="I52" s="2383"/>
      <c r="J52" s="610" t="s">
        <v>62</v>
      </c>
      <c r="K52" s="590"/>
      <c r="L52" s="590"/>
      <c r="M52" s="591"/>
      <c r="N52" s="587" t="s">
        <v>5</v>
      </c>
      <c r="O52" s="590"/>
      <c r="P52" s="590"/>
      <c r="Q52" s="640"/>
      <c r="S52" s="2393">
        <f>ROUND((M41+M45+M49+M52+M55)-S48,-2)</f>
        <v>0</v>
      </c>
      <c r="T52" s="2393"/>
      <c r="U52" s="2393"/>
    </row>
    <row r="53" spans="1:32" s="578" customFormat="1" ht="12.75" customHeight="1" thickBot="1" x14ac:dyDescent="0.25">
      <c r="A53" s="593"/>
      <c r="B53" s="593"/>
      <c r="C53" s="635"/>
      <c r="D53" s="584"/>
      <c r="E53" s="585">
        <f>IF(M52,M52/IF(ISBLANK(J53),I53,J53),0)</f>
        <v>0</v>
      </c>
      <c r="F53" s="590" t="s">
        <v>5</v>
      </c>
      <c r="G53" s="611"/>
      <c r="H53" s="612" t="s">
        <v>76</v>
      </c>
      <c r="I53" s="600">
        <f>IF(ISBLANK(H52),0,Grunddaten!H131)</f>
        <v>0</v>
      </c>
      <c r="J53" s="613"/>
      <c r="K53" s="583"/>
      <c r="L53" s="583"/>
      <c r="M53" s="582"/>
      <c r="N53" s="583"/>
      <c r="O53" s="594"/>
      <c r="P53" s="583"/>
      <c r="Q53" s="594"/>
      <c r="R53" s="583"/>
      <c r="S53" s="633"/>
      <c r="T53" s="583"/>
      <c r="U53" s="583"/>
    </row>
    <row r="54" spans="1:32" s="918" customFormat="1" ht="12.75" customHeight="1" x14ac:dyDescent="0.2">
      <c r="A54" s="932"/>
      <c r="B54" s="932"/>
      <c r="C54" s="629"/>
      <c r="D54" s="932"/>
      <c r="E54" s="922"/>
      <c r="F54" s="923"/>
      <c r="G54" s="922"/>
      <c r="H54" s="922"/>
      <c r="I54" s="922"/>
      <c r="J54" s="922"/>
      <c r="K54" s="923"/>
      <c r="L54" s="923"/>
      <c r="M54" s="922"/>
      <c r="N54" s="923"/>
      <c r="O54" s="933"/>
      <c r="P54" s="923"/>
      <c r="Q54" s="933"/>
      <c r="R54" s="923"/>
      <c r="S54" s="923"/>
      <c r="T54" s="923"/>
      <c r="U54" s="923"/>
    </row>
    <row r="55" spans="1:32" s="918" customFormat="1" ht="12.75" customHeight="1" x14ac:dyDescent="0.2">
      <c r="A55" s="1687" t="str">
        <f>Grunddaten!C56</f>
        <v>Kälteverbund XY</v>
      </c>
      <c r="B55" s="924"/>
      <c r="C55" s="924"/>
      <c r="D55" s="924"/>
      <c r="E55" s="925">
        <f>M55</f>
        <v>0</v>
      </c>
      <c r="F55" s="926" t="s">
        <v>5</v>
      </c>
      <c r="G55" s="927"/>
      <c r="H55" s="928" t="s">
        <v>294</v>
      </c>
      <c r="I55" s="588"/>
      <c r="J55" s="929" t="s">
        <v>62</v>
      </c>
      <c r="K55" s="930"/>
      <c r="L55" s="930"/>
      <c r="M55" s="591"/>
      <c r="N55" s="930" t="s">
        <v>5</v>
      </c>
      <c r="O55" s="930"/>
      <c r="P55" s="930"/>
      <c r="Q55" s="977"/>
      <c r="R55" s="923"/>
      <c r="S55" s="923"/>
      <c r="T55" s="923"/>
      <c r="U55" s="923"/>
    </row>
    <row r="56" spans="1:32" s="918" customFormat="1" ht="5.95" customHeight="1" x14ac:dyDescent="0.2">
      <c r="A56" s="1688"/>
      <c r="B56" s="980"/>
      <c r="C56" s="629"/>
      <c r="D56" s="980"/>
      <c r="E56" s="922"/>
      <c r="F56" s="1689"/>
      <c r="G56" s="981"/>
      <c r="H56" s="922"/>
      <c r="I56" s="922"/>
      <c r="J56" s="922"/>
      <c r="K56" s="956"/>
      <c r="L56" s="956"/>
      <c r="M56" s="922"/>
      <c r="N56" s="956"/>
      <c r="O56" s="933"/>
      <c r="P56" s="956"/>
      <c r="Q56" s="979"/>
      <c r="R56" s="923"/>
      <c r="S56" s="923"/>
      <c r="T56" s="923"/>
      <c r="U56" s="923"/>
    </row>
    <row r="57" spans="1:32" s="578" customFormat="1" ht="12.75" customHeight="1" thickBot="1" x14ac:dyDescent="0.25">
      <c r="A57" s="593"/>
      <c r="B57" s="593"/>
      <c r="C57" s="629"/>
      <c r="D57" s="643"/>
      <c r="E57" s="582"/>
      <c r="F57" s="644"/>
      <c r="G57" s="645"/>
      <c r="H57" s="582"/>
      <c r="I57" s="582"/>
      <c r="J57" s="582"/>
      <c r="K57" s="583"/>
      <c r="L57" s="583"/>
      <c r="M57" s="582"/>
      <c r="N57" s="582"/>
      <c r="O57" s="594"/>
      <c r="P57" s="582"/>
      <c r="Q57" s="646"/>
      <c r="R57" s="582"/>
      <c r="S57" s="633"/>
      <c r="T57" s="583"/>
      <c r="U57" s="583"/>
    </row>
    <row r="58" spans="1:32" s="578" customFormat="1" ht="12.75" customHeight="1" x14ac:dyDescent="0.2">
      <c r="A58" s="593"/>
      <c r="B58" s="593"/>
      <c r="C58" s="629"/>
      <c r="D58" s="593"/>
      <c r="E58" s="582"/>
      <c r="F58" s="583"/>
      <c r="G58" s="2420" t="s">
        <v>174</v>
      </c>
      <c r="H58" s="2421"/>
      <c r="I58" s="2421"/>
      <c r="J58" s="2422"/>
      <c r="K58" s="585"/>
      <c r="L58" s="585"/>
      <c r="M58" s="591"/>
      <c r="N58" s="590" t="s">
        <v>5</v>
      </c>
      <c r="O58" s="642"/>
      <c r="P58" s="590"/>
      <c r="Q58" s="590"/>
      <c r="R58" s="591"/>
      <c r="S58" s="587" t="s">
        <v>5</v>
      </c>
      <c r="T58" s="647"/>
      <c r="U58" s="583"/>
      <c r="AC58" s="2435"/>
      <c r="AD58" s="2436"/>
    </row>
    <row r="59" spans="1:32" s="578" customFormat="1" ht="12.75" customHeight="1" x14ac:dyDescent="0.2">
      <c r="A59" s="2397"/>
      <c r="B59" s="2397"/>
      <c r="C59" s="1101"/>
      <c r="D59" s="1095">
        <v>1</v>
      </c>
      <c r="E59" s="925">
        <f>IF(M58,(M58+M60)/IF(ISBLANK(J60),I60,J60)*IF(D59,D59,1),0)</f>
        <v>0</v>
      </c>
      <c r="F59" s="930" t="s">
        <v>5</v>
      </c>
      <c r="G59" s="596" t="s">
        <v>175</v>
      </c>
      <c r="H59" s="2383"/>
      <c r="I59" s="2383"/>
      <c r="J59" s="610" t="s">
        <v>62</v>
      </c>
      <c r="K59" s="644"/>
      <c r="L59" s="603"/>
      <c r="M59" s="598"/>
      <c r="N59" s="583"/>
      <c r="O59" s="583"/>
      <c r="P59" s="583"/>
      <c r="Q59" s="583"/>
      <c r="R59" s="582"/>
      <c r="S59" s="583"/>
      <c r="T59" s="2437" t="s">
        <v>98</v>
      </c>
      <c r="U59" s="583"/>
    </row>
    <row r="60" spans="1:32" s="578" customFormat="1" ht="12.75" customHeight="1" thickBot="1" x14ac:dyDescent="0.25">
      <c r="A60" s="2400" t="str">
        <f>IF(AND(A59="Biogas",D59&lt;1),"Erdgas","")</f>
        <v/>
      </c>
      <c r="B60" s="2400"/>
      <c r="C60" s="1097"/>
      <c r="D60" s="1096">
        <f>IF(A59="Biogas",IF(D59,1-D59,0),0)</f>
        <v>0</v>
      </c>
      <c r="E60" s="949">
        <f>IF(AND(A59="Biogas",D59&lt;1),(M58+M60)/IF(ISBLANK(J60),I60,J60)*D60,0)</f>
        <v>0</v>
      </c>
      <c r="F60" s="923"/>
      <c r="G60" s="611"/>
      <c r="H60" s="612" t="s">
        <v>176</v>
      </c>
      <c r="I60" s="600">
        <f>IF(ISBLANK(H59),0,IFERROR(HLOOKUP(A59,Grunddaten!H121:Y125,5,FALSE),Grunddaten!H125))</f>
        <v>0</v>
      </c>
      <c r="J60" s="613"/>
      <c r="K60" s="585"/>
      <c r="L60" s="585"/>
      <c r="M60" s="591"/>
      <c r="N60" s="590" t="s">
        <v>5</v>
      </c>
      <c r="O60" s="592"/>
      <c r="P60" s="644"/>
      <c r="Q60" s="644"/>
      <c r="R60" s="646"/>
      <c r="S60" s="583"/>
      <c r="T60" s="2437"/>
      <c r="U60" s="583"/>
    </row>
    <row r="61" spans="1:32" s="578" customFormat="1" ht="12.75" customHeight="1" x14ac:dyDescent="0.2">
      <c r="A61" s="593"/>
      <c r="B61" s="593"/>
      <c r="C61" s="629"/>
      <c r="D61" s="593"/>
      <c r="E61" s="582"/>
      <c r="F61" s="583"/>
      <c r="G61" s="648"/>
      <c r="H61" s="649"/>
      <c r="I61" s="649"/>
      <c r="J61" s="650"/>
      <c r="K61" s="644"/>
      <c r="L61" s="644"/>
      <c r="M61" s="646"/>
      <c r="N61" s="646"/>
      <c r="O61" s="594"/>
      <c r="P61" s="646"/>
      <c r="Q61" s="646"/>
      <c r="R61" s="646"/>
      <c r="S61" s="583"/>
      <c r="T61" s="2437"/>
      <c r="U61" s="583"/>
    </row>
    <row r="62" spans="1:32" s="578" customFormat="1" ht="12.75" customHeight="1" x14ac:dyDescent="0.2">
      <c r="A62" s="593"/>
      <c r="B62" s="593"/>
      <c r="C62" s="651"/>
      <c r="D62" s="584"/>
      <c r="E62" s="590"/>
      <c r="F62" s="590"/>
      <c r="G62" s="590"/>
      <c r="H62" s="590"/>
      <c r="I62" s="590"/>
      <c r="J62" s="590"/>
      <c r="K62" s="590"/>
      <c r="L62" s="590"/>
      <c r="M62" s="585">
        <f>E33+E37+E45+E49+E53</f>
        <v>0</v>
      </c>
      <c r="N62" s="587" t="s">
        <v>5</v>
      </c>
      <c r="O62" s="640"/>
      <c r="P62" s="644"/>
      <c r="Q62" s="644"/>
      <c r="R62" s="644"/>
      <c r="S62" s="583"/>
      <c r="T62" s="2437"/>
      <c r="U62" s="583"/>
    </row>
    <row r="63" spans="1:32" s="578" customFormat="1" ht="12.75" customHeight="1" thickBot="1" x14ac:dyDescent="0.25">
      <c r="A63" s="593"/>
      <c r="B63" s="593"/>
      <c r="C63" s="593"/>
      <c r="D63" s="593"/>
      <c r="E63" s="582"/>
      <c r="F63" s="583"/>
      <c r="G63" s="982"/>
      <c r="H63" s="982"/>
      <c r="I63" s="982"/>
      <c r="J63" s="982"/>
      <c r="K63" s="956"/>
      <c r="L63" s="956"/>
      <c r="M63" s="922"/>
      <c r="N63" s="1339"/>
      <c r="O63" s="594"/>
      <c r="P63" s="644"/>
      <c r="Q63" s="644"/>
      <c r="R63" s="644"/>
      <c r="S63" s="583"/>
      <c r="T63" s="2437"/>
      <c r="U63" s="583"/>
    </row>
    <row r="64" spans="1:32" s="578" customFormat="1" ht="12.75" customHeight="1" x14ac:dyDescent="0.2">
      <c r="A64" s="593"/>
      <c r="B64" s="593"/>
      <c r="C64" s="593"/>
      <c r="D64" s="593"/>
      <c r="E64" s="582"/>
      <c r="F64" s="583"/>
      <c r="G64" s="2380" t="s">
        <v>604</v>
      </c>
      <c r="H64" s="2381"/>
      <c r="I64" s="2381"/>
      <c r="J64" s="2382"/>
      <c r="K64" s="956"/>
      <c r="L64" s="956"/>
      <c r="M64" s="922"/>
      <c r="N64" s="1339"/>
      <c r="O64" s="594"/>
      <c r="P64" s="644"/>
      <c r="Q64" s="644"/>
      <c r="R64" s="644"/>
      <c r="S64" s="583"/>
      <c r="T64" s="2437"/>
      <c r="U64" s="583"/>
    </row>
    <row r="65" spans="1:35" s="578" customFormat="1" ht="12.75" customHeight="1" thickBot="1" x14ac:dyDescent="0.25">
      <c r="A65" s="593"/>
      <c r="B65" s="593"/>
      <c r="C65" s="593"/>
      <c r="D65" s="593"/>
      <c r="E65" s="582"/>
      <c r="F65" s="583"/>
      <c r="G65" s="939" t="s">
        <v>61</v>
      </c>
      <c r="H65" s="2391"/>
      <c r="I65" s="2391"/>
      <c r="J65" s="988" t="s">
        <v>62</v>
      </c>
      <c r="K65" s="930"/>
      <c r="L65" s="930"/>
      <c r="M65" s="591"/>
      <c r="N65" s="927" t="s">
        <v>5</v>
      </c>
      <c r="O65" s="640"/>
      <c r="P65" s="644"/>
      <c r="Q65" s="644"/>
      <c r="R65" s="644"/>
      <c r="S65" s="583"/>
      <c r="T65" s="2437"/>
      <c r="U65" s="583"/>
    </row>
    <row r="66" spans="1:35" s="578" customFormat="1" ht="12.75" customHeight="1" x14ac:dyDescent="0.2">
      <c r="A66" s="593"/>
      <c r="B66" s="593"/>
      <c r="C66" s="593"/>
      <c r="D66" s="593"/>
      <c r="E66" s="582"/>
      <c r="F66" s="583"/>
      <c r="G66" s="922"/>
      <c r="H66" s="922"/>
      <c r="I66" s="922"/>
      <c r="J66" s="922"/>
      <c r="K66" s="923"/>
      <c r="L66" s="923"/>
      <c r="M66" s="922"/>
      <c r="N66" s="923"/>
      <c r="O66" s="594"/>
      <c r="P66" s="644"/>
      <c r="Q66" s="644"/>
      <c r="R66" s="644"/>
      <c r="S66" s="583"/>
      <c r="T66" s="2437"/>
      <c r="U66" s="583"/>
    </row>
    <row r="67" spans="1:35" s="578" customFormat="1" ht="12.75" customHeight="1" thickBot="1" x14ac:dyDescent="0.25">
      <c r="A67" s="1099" t="s">
        <v>94</v>
      </c>
      <c r="B67" s="584"/>
      <c r="C67" s="584"/>
      <c r="D67" s="584"/>
      <c r="E67" s="585">
        <f>M67</f>
        <v>0</v>
      </c>
      <c r="F67" s="586" t="s">
        <v>5</v>
      </c>
      <c r="G67" s="590"/>
      <c r="H67" s="1100" t="s">
        <v>596</v>
      </c>
      <c r="I67" s="1298"/>
      <c r="J67" s="589" t="s">
        <v>62</v>
      </c>
      <c r="K67" s="590"/>
      <c r="L67" s="590"/>
      <c r="M67" s="585">
        <f>S72+M62+M65+M73-M60-M70</f>
        <v>0</v>
      </c>
      <c r="N67" s="590" t="s">
        <v>5</v>
      </c>
      <c r="O67" s="629"/>
      <c r="P67" s="644"/>
      <c r="Q67" s="644"/>
      <c r="R67" s="644"/>
      <c r="S67" s="583"/>
      <c r="T67" s="2438"/>
      <c r="U67" s="583"/>
    </row>
    <row r="68" spans="1:35" s="578" customFormat="1" ht="12.75" customHeight="1" thickBot="1" x14ac:dyDescent="0.25">
      <c r="A68" s="593"/>
      <c r="B68" s="593"/>
      <c r="C68" s="593"/>
      <c r="D68" s="593"/>
      <c r="E68" s="582"/>
      <c r="F68" s="583"/>
      <c r="G68" s="582"/>
      <c r="H68" s="582"/>
      <c r="I68" s="582"/>
      <c r="J68" s="582"/>
      <c r="K68" s="583"/>
      <c r="L68" s="583"/>
      <c r="M68" s="582"/>
      <c r="N68" s="583"/>
      <c r="O68" s="594"/>
      <c r="P68" s="583"/>
      <c r="Q68" s="583"/>
      <c r="R68" s="583"/>
      <c r="S68" s="2420" t="s">
        <v>92</v>
      </c>
      <c r="T68" s="2421"/>
      <c r="U68" s="2422"/>
    </row>
    <row r="69" spans="1:35" s="578" customFormat="1" ht="12.75" customHeight="1" x14ac:dyDescent="0.2">
      <c r="A69" s="593"/>
      <c r="B69" s="593"/>
      <c r="C69" s="593"/>
      <c r="D69" s="593"/>
      <c r="E69" s="582"/>
      <c r="F69" s="583"/>
      <c r="G69" s="2420" t="s">
        <v>95</v>
      </c>
      <c r="H69" s="2421"/>
      <c r="I69" s="2421"/>
      <c r="J69" s="2422"/>
      <c r="K69" s="834"/>
      <c r="L69" s="834"/>
      <c r="M69" s="582"/>
      <c r="N69" s="583"/>
      <c r="O69" s="594"/>
      <c r="P69" s="583"/>
      <c r="Q69" s="583"/>
      <c r="R69" s="583"/>
      <c r="S69" s="2426"/>
      <c r="T69" s="2427"/>
      <c r="U69" s="2428"/>
    </row>
    <row r="70" spans="1:35" s="578" customFormat="1" ht="12.75" customHeight="1" x14ac:dyDescent="0.3">
      <c r="A70" s="1402" t="s">
        <v>93</v>
      </c>
      <c r="B70" s="619"/>
      <c r="C70" s="619"/>
      <c r="D70" s="619"/>
      <c r="E70" s="585"/>
      <c r="F70" s="595"/>
      <c r="G70" s="596" t="s">
        <v>61</v>
      </c>
      <c r="H70" s="2383"/>
      <c r="I70" s="2383"/>
      <c r="J70" s="597" t="s">
        <v>96</v>
      </c>
      <c r="K70" s="652"/>
      <c r="L70" s="652"/>
      <c r="M70" s="585">
        <f>H70*IF(ISBLANK(I71),H71,I71)</f>
        <v>0</v>
      </c>
      <c r="N70" s="590" t="s">
        <v>5</v>
      </c>
      <c r="O70" s="604"/>
      <c r="P70" s="590"/>
      <c r="Q70" s="590"/>
      <c r="R70" s="590"/>
      <c r="S70" s="2426"/>
      <c r="T70" s="2427"/>
      <c r="U70" s="2428"/>
    </row>
    <row r="71" spans="1:35" s="578" customFormat="1" ht="12.75" customHeight="1" thickBot="1" x14ac:dyDescent="0.25">
      <c r="A71" s="593"/>
      <c r="B71" s="593"/>
      <c r="C71" s="593"/>
      <c r="D71" s="593"/>
      <c r="E71" s="598"/>
      <c r="F71" s="583"/>
      <c r="G71" s="599" t="s">
        <v>85</v>
      </c>
      <c r="H71" s="668">
        <f>IF(ISBLANK(H70),0,Grunddaten!H123)</f>
        <v>0</v>
      </c>
      <c r="I71" s="1357"/>
      <c r="J71" s="653" t="s">
        <v>97</v>
      </c>
      <c r="K71" s="603"/>
      <c r="L71" s="603"/>
      <c r="M71" s="598"/>
      <c r="N71" s="583"/>
      <c r="O71" s="594"/>
      <c r="P71" s="583"/>
      <c r="Q71" s="583"/>
      <c r="R71" s="583"/>
      <c r="S71" s="605" t="s">
        <v>81</v>
      </c>
      <c r="T71" s="606"/>
      <c r="U71" s="607"/>
    </row>
    <row r="72" spans="1:35" s="578" customFormat="1" ht="12.75" customHeight="1" thickBot="1" x14ac:dyDescent="0.25">
      <c r="A72" s="593"/>
      <c r="B72" s="593"/>
      <c r="C72" s="593"/>
      <c r="D72" s="593"/>
      <c r="E72" s="598"/>
      <c r="F72" s="583"/>
      <c r="G72" s="583"/>
      <c r="H72" s="583"/>
      <c r="I72" s="583"/>
      <c r="J72" s="583"/>
      <c r="K72" s="583"/>
      <c r="L72" s="583"/>
      <c r="M72" s="598"/>
      <c r="N72" s="583"/>
      <c r="O72" s="594"/>
      <c r="P72" s="583"/>
      <c r="Q72" s="583"/>
      <c r="R72" s="583"/>
      <c r="S72" s="2389">
        <f>Projektdaten!I42</f>
        <v>0</v>
      </c>
      <c r="T72" s="2390"/>
      <c r="U72" s="608" t="s">
        <v>5</v>
      </c>
    </row>
    <row r="73" spans="1:35" s="578" customFormat="1" ht="12.75" customHeight="1" x14ac:dyDescent="0.2">
      <c r="A73" s="584"/>
      <c r="B73" s="584"/>
      <c r="C73" s="584"/>
      <c r="D73" s="584"/>
      <c r="E73" s="585">
        <f>M73</f>
        <v>0</v>
      </c>
      <c r="F73" s="590" t="s">
        <v>5</v>
      </c>
      <c r="G73" s="2439" t="s">
        <v>303</v>
      </c>
      <c r="H73" s="2439"/>
      <c r="I73" s="2439"/>
      <c r="J73" s="2439"/>
      <c r="K73" s="590"/>
      <c r="L73" s="590"/>
      <c r="M73" s="591"/>
      <c r="N73" s="587" t="s">
        <v>5</v>
      </c>
      <c r="O73" s="640"/>
      <c r="P73" s="583"/>
      <c r="Q73" s="583"/>
      <c r="R73" s="583"/>
      <c r="AC73" s="1090" t="s">
        <v>555</v>
      </c>
      <c r="AD73" s="958"/>
      <c r="AE73" s="958"/>
      <c r="AF73" s="1091" t="b">
        <f>IF(M73&lt;=(M60+M70),TRUE,FALSE)</f>
        <v>1</v>
      </c>
    </row>
    <row r="74" spans="1:35" s="578" customFormat="1" ht="5.95" customHeight="1" x14ac:dyDescent="0.2">
      <c r="A74" s="593"/>
      <c r="B74" s="593"/>
      <c r="C74" s="593"/>
      <c r="D74" s="593"/>
      <c r="E74" s="598"/>
      <c r="F74" s="583"/>
      <c r="G74" s="583"/>
      <c r="H74" s="583"/>
      <c r="I74" s="583"/>
      <c r="J74" s="583"/>
      <c r="K74" s="583"/>
      <c r="L74" s="583"/>
      <c r="M74" s="598"/>
      <c r="N74" s="583"/>
      <c r="O74" s="642"/>
      <c r="P74" s="583"/>
      <c r="Q74" s="583"/>
      <c r="R74" s="583"/>
    </row>
    <row r="75" spans="1:35" s="578" customFormat="1" ht="21.1" customHeight="1" x14ac:dyDescent="0.2">
      <c r="A75" s="593"/>
      <c r="B75" s="593"/>
      <c r="C75" s="593"/>
      <c r="D75" s="593"/>
      <c r="E75" s="583"/>
      <c r="F75" s="583"/>
      <c r="G75" s="583"/>
      <c r="H75" s="583"/>
      <c r="I75" s="583"/>
      <c r="J75" s="583"/>
      <c r="K75" s="583"/>
      <c r="L75" s="583"/>
      <c r="M75" s="583"/>
      <c r="N75" s="583"/>
      <c r="O75" s="583"/>
      <c r="P75" s="583"/>
      <c r="Q75" s="583"/>
      <c r="R75" s="583"/>
    </row>
    <row r="76" spans="1:35" s="578" customFormat="1" ht="14.95" customHeight="1" x14ac:dyDescent="0.2">
      <c r="A76" s="654" t="s">
        <v>64</v>
      </c>
      <c r="B76" s="577"/>
      <c r="C76" s="577"/>
      <c r="D76" s="577"/>
      <c r="AC76" s="621" t="s">
        <v>100</v>
      </c>
      <c r="AD76" s="622"/>
      <c r="AE76" s="622"/>
      <c r="AF76" s="623"/>
      <c r="AG76" s="655"/>
      <c r="AH76" s="656" t="s">
        <v>101</v>
      </c>
      <c r="AI76" s="657"/>
    </row>
    <row r="77" spans="1:35" s="578" customFormat="1" ht="12.75" customHeight="1" x14ac:dyDescent="0.2">
      <c r="A77" s="658" t="s">
        <v>65</v>
      </c>
      <c r="B77" s="2375"/>
      <c r="C77" s="2375"/>
      <c r="D77" s="2375"/>
      <c r="E77" s="2375"/>
      <c r="F77" s="2375"/>
      <c r="G77" s="659" t="s">
        <v>68</v>
      </c>
      <c r="H77" s="2376"/>
      <c r="I77" s="2376"/>
      <c r="J77" s="660"/>
      <c r="K77" s="659"/>
      <c r="L77" s="659" t="s">
        <v>69</v>
      </c>
      <c r="M77" s="1768"/>
      <c r="N77" s="659" t="s">
        <v>70</v>
      </c>
      <c r="O77" s="2377"/>
      <c r="P77" s="2377"/>
      <c r="Q77" s="2377"/>
      <c r="R77" s="659" t="s">
        <v>63</v>
      </c>
      <c r="S77" s="2395"/>
      <c r="T77" s="2395"/>
      <c r="U77" s="2395"/>
      <c r="AC77" s="661" t="s">
        <v>71</v>
      </c>
      <c r="AD77" s="662"/>
      <c r="AE77" s="662"/>
      <c r="AF77" s="657"/>
      <c r="AG77" s="655"/>
      <c r="AH77" s="661" t="s">
        <v>73</v>
      </c>
      <c r="AI77" s="657"/>
    </row>
    <row r="78" spans="1:35" s="578" customFormat="1" ht="12.75" customHeight="1" x14ac:dyDescent="0.2">
      <c r="A78" s="658" t="s">
        <v>66</v>
      </c>
      <c r="B78" s="2375"/>
      <c r="C78" s="2375"/>
      <c r="D78" s="2375"/>
      <c r="E78" s="2375"/>
      <c r="F78" s="2375"/>
      <c r="G78" s="659" t="s">
        <v>68</v>
      </c>
      <c r="H78" s="2376"/>
      <c r="I78" s="2376"/>
      <c r="J78" s="660"/>
      <c r="K78" s="659"/>
      <c r="L78" s="659" t="s">
        <v>69</v>
      </c>
      <c r="M78" s="1768"/>
      <c r="N78" s="659" t="s">
        <v>70</v>
      </c>
      <c r="O78" s="2377"/>
      <c r="P78" s="2377"/>
      <c r="Q78" s="2377"/>
      <c r="R78" s="659" t="s">
        <v>63</v>
      </c>
      <c r="S78" s="2378"/>
      <c r="T78" s="2378"/>
      <c r="U78" s="2378"/>
      <c r="AC78" s="625" t="s">
        <v>72</v>
      </c>
      <c r="AD78" s="626"/>
      <c r="AE78" s="626"/>
      <c r="AF78" s="627"/>
      <c r="AG78" s="655"/>
      <c r="AH78" s="630" t="s">
        <v>74</v>
      </c>
      <c r="AI78" s="632"/>
    </row>
    <row r="79" spans="1:35" s="578" customFormat="1" ht="12.75" customHeight="1" x14ac:dyDescent="0.2">
      <c r="A79" s="658" t="s">
        <v>67</v>
      </c>
      <c r="B79" s="2375"/>
      <c r="C79" s="2375"/>
      <c r="D79" s="2375"/>
      <c r="E79" s="2375"/>
      <c r="F79" s="2375"/>
      <c r="G79" s="659" t="s">
        <v>68</v>
      </c>
      <c r="H79" s="2376"/>
      <c r="I79" s="2376"/>
      <c r="J79" s="660"/>
      <c r="K79" s="659"/>
      <c r="L79" s="659" t="s">
        <v>69</v>
      </c>
      <c r="M79" s="1768"/>
      <c r="N79" s="659" t="s">
        <v>70</v>
      </c>
      <c r="O79" s="2377"/>
      <c r="P79" s="2377"/>
      <c r="Q79" s="2377"/>
      <c r="R79" s="659" t="s">
        <v>63</v>
      </c>
      <c r="S79" s="2378"/>
      <c r="T79" s="2378"/>
      <c r="U79" s="2378"/>
      <c r="AC79" s="967" t="s">
        <v>800</v>
      </c>
      <c r="AD79" s="631"/>
      <c r="AE79" s="631"/>
      <c r="AF79" s="632"/>
      <c r="AG79" s="655"/>
      <c r="AH79" s="626"/>
      <c r="AI79" s="626"/>
    </row>
    <row r="82" spans="1:21" s="579" customFormat="1" ht="14.95" customHeight="1" x14ac:dyDescent="0.2">
      <c r="A82" s="663" t="s">
        <v>65</v>
      </c>
      <c r="B82" s="663" t="s">
        <v>158</v>
      </c>
      <c r="C82" s="2440">
        <f xml:space="preserve"> IF(S77=$AH$78,H77*M77*(O77+1)+(O77+1)^2/2*(H77+M77)*2,0)</f>
        <v>0</v>
      </c>
      <c r="D82" s="2440"/>
      <c r="E82" s="664" t="s">
        <v>223</v>
      </c>
      <c r="G82" s="665"/>
      <c r="H82" s="1772" t="s">
        <v>159</v>
      </c>
      <c r="I82" s="1773">
        <f>H77*M77</f>
        <v>0</v>
      </c>
      <c r="J82" s="664" t="s">
        <v>224</v>
      </c>
      <c r="K82" s="666"/>
      <c r="L82" s="667" t="s">
        <v>160</v>
      </c>
      <c r="M82" s="664"/>
      <c r="N82" s="1773">
        <f>H77*O77</f>
        <v>0</v>
      </c>
      <c r="O82" s="664" t="s">
        <v>224</v>
      </c>
      <c r="P82" s="664"/>
      <c r="Q82" s="664" t="s">
        <v>161</v>
      </c>
      <c r="R82" s="664"/>
      <c r="S82" s="1773">
        <f>M77*O77</f>
        <v>0</v>
      </c>
      <c r="T82" s="664" t="s">
        <v>224</v>
      </c>
      <c r="U82" s="664"/>
    </row>
    <row r="83" spans="1:21" s="579" customFormat="1" ht="14.95" customHeight="1" x14ac:dyDescent="0.2">
      <c r="A83" s="663" t="s">
        <v>66</v>
      </c>
      <c r="B83" s="663" t="s">
        <v>158</v>
      </c>
      <c r="C83" s="2440">
        <f xml:space="preserve"> IF(S78=$AH$78,H78*M78*(O78+1)+(O78+1)^2/2*(H78+M78)*2,0)</f>
        <v>0</v>
      </c>
      <c r="D83" s="2440"/>
      <c r="E83" s="664" t="s">
        <v>223</v>
      </c>
      <c r="G83" s="665"/>
      <c r="H83" s="1772" t="s">
        <v>159</v>
      </c>
      <c r="I83" s="1773">
        <f>H78*M78</f>
        <v>0</v>
      </c>
      <c r="J83" s="664" t="s">
        <v>224</v>
      </c>
      <c r="K83" s="666"/>
      <c r="L83" s="667" t="s">
        <v>160</v>
      </c>
      <c r="M83" s="664"/>
      <c r="N83" s="1773">
        <f>H78*O78</f>
        <v>0</v>
      </c>
      <c r="O83" s="664" t="s">
        <v>224</v>
      </c>
      <c r="P83" s="664"/>
      <c r="Q83" s="664" t="s">
        <v>161</v>
      </c>
      <c r="R83" s="664"/>
      <c r="S83" s="1773">
        <f>M78*O78</f>
        <v>0</v>
      </c>
      <c r="T83" s="664" t="s">
        <v>224</v>
      </c>
      <c r="U83" s="664"/>
    </row>
    <row r="84" spans="1:21" s="579" customFormat="1" ht="14.95" customHeight="1" x14ac:dyDescent="0.2">
      <c r="A84" s="663" t="s">
        <v>67</v>
      </c>
      <c r="B84" s="663" t="s">
        <v>158</v>
      </c>
      <c r="C84" s="2440">
        <f xml:space="preserve"> IF(S79=$AH$78,H79*M79*(O79+1)+(O79+1)^2/2*(H79+M79)*2,0)</f>
        <v>0</v>
      </c>
      <c r="D84" s="2440"/>
      <c r="E84" s="664" t="s">
        <v>223</v>
      </c>
      <c r="G84" s="665"/>
      <c r="H84" s="1772" t="s">
        <v>159</v>
      </c>
      <c r="I84" s="1773">
        <f>H79*M79</f>
        <v>0</v>
      </c>
      <c r="J84" s="664" t="s">
        <v>224</v>
      </c>
      <c r="K84" s="666"/>
      <c r="L84" s="667" t="s">
        <v>160</v>
      </c>
      <c r="M84" s="664"/>
      <c r="N84" s="1773">
        <f>H79*O79</f>
        <v>0</v>
      </c>
      <c r="O84" s="664" t="s">
        <v>224</v>
      </c>
      <c r="P84" s="664"/>
      <c r="Q84" s="664" t="s">
        <v>161</v>
      </c>
      <c r="R84" s="664"/>
      <c r="S84" s="1773">
        <f>M79*O79</f>
        <v>0</v>
      </c>
      <c r="T84" s="664" t="s">
        <v>224</v>
      </c>
      <c r="U84" s="664"/>
    </row>
    <row r="87" spans="1:21" x14ac:dyDescent="0.2">
      <c r="B87" s="561"/>
      <c r="C87" s="561"/>
      <c r="D87" s="561"/>
    </row>
    <row r="88" spans="1:21" x14ac:dyDescent="0.2">
      <c r="B88" s="561"/>
      <c r="C88" s="561"/>
      <c r="D88" s="561"/>
    </row>
    <row r="89" spans="1:21" x14ac:dyDescent="0.2">
      <c r="B89" s="561"/>
      <c r="C89" s="561"/>
      <c r="D89" s="561"/>
    </row>
    <row r="90" spans="1:21" x14ac:dyDescent="0.2">
      <c r="B90" s="561"/>
      <c r="C90" s="561"/>
      <c r="D90" s="561"/>
    </row>
    <row r="91" spans="1:21" x14ac:dyDescent="0.2">
      <c r="B91" s="561"/>
      <c r="C91" s="561"/>
      <c r="D91" s="561"/>
    </row>
    <row r="92" spans="1:21" x14ac:dyDescent="0.2">
      <c r="B92" s="561"/>
      <c r="C92" s="561"/>
      <c r="D92" s="561"/>
    </row>
  </sheetData>
  <sheetProtection algorithmName="SHA-512" hashValue="kfw60Roip0/S/5ZHZVntaGEyyixqV58e/JNAI9fznYZgbHOuxM517ldCkWVQPQwN3gy2u8ZmaFBHEPAUBTqTnw==" saltValue="vexTL5JBXFQSFisv6/pKQw==" spinCount="100000" sheet="1" objects="1" scenarios="1" selectLockedCells="1"/>
  <mergeCells count="83">
    <mergeCell ref="S35:T35"/>
    <mergeCell ref="P14:Q14"/>
    <mergeCell ref="P15:Q15"/>
    <mergeCell ref="P16:Q16"/>
    <mergeCell ref="P29:Q29"/>
    <mergeCell ref="P30:Q30"/>
    <mergeCell ref="P31:Q31"/>
    <mergeCell ref="S29:U31"/>
    <mergeCell ref="S33:T33"/>
    <mergeCell ref="P32:Q32"/>
    <mergeCell ref="A20:B20"/>
    <mergeCell ref="W5:AB5"/>
    <mergeCell ref="E6:G6"/>
    <mergeCell ref="J6:T6"/>
    <mergeCell ref="G8:J8"/>
    <mergeCell ref="G14:J14"/>
    <mergeCell ref="S14:U16"/>
    <mergeCell ref="H15:I15"/>
    <mergeCell ref="S18:T18"/>
    <mergeCell ref="G18:J18"/>
    <mergeCell ref="A19:B19"/>
    <mergeCell ref="H19:I19"/>
    <mergeCell ref="S20:T20"/>
    <mergeCell ref="P17:Q17"/>
    <mergeCell ref="G22:J22"/>
    <mergeCell ref="A23:B23"/>
    <mergeCell ref="H23:I23"/>
    <mergeCell ref="A24:B24"/>
    <mergeCell ref="A35:B35"/>
    <mergeCell ref="G35:J35"/>
    <mergeCell ref="A26:B26"/>
    <mergeCell ref="G26:J26"/>
    <mergeCell ref="H27:I27"/>
    <mergeCell ref="A28:B28"/>
    <mergeCell ref="A29:B29"/>
    <mergeCell ref="A31:B31"/>
    <mergeCell ref="G31:J31"/>
    <mergeCell ref="H32:I32"/>
    <mergeCell ref="AE51:AF51"/>
    <mergeCell ref="H36:I36"/>
    <mergeCell ref="G39:J39"/>
    <mergeCell ref="H40:I40"/>
    <mergeCell ref="A41:B41"/>
    <mergeCell ref="G43:J43"/>
    <mergeCell ref="H44:I44"/>
    <mergeCell ref="S42:U44"/>
    <mergeCell ref="G47:J47"/>
    <mergeCell ref="H48:I48"/>
    <mergeCell ref="S46:T46"/>
    <mergeCell ref="G51:J51"/>
    <mergeCell ref="S38:T38"/>
    <mergeCell ref="S39:U39"/>
    <mergeCell ref="S52:U52"/>
    <mergeCell ref="S48:T48"/>
    <mergeCell ref="H52:I52"/>
    <mergeCell ref="G58:J58"/>
    <mergeCell ref="AC58:AD58"/>
    <mergeCell ref="A59:B59"/>
    <mergeCell ref="H59:I59"/>
    <mergeCell ref="T59:T67"/>
    <mergeCell ref="A60:B60"/>
    <mergeCell ref="G64:J64"/>
    <mergeCell ref="H65:I65"/>
    <mergeCell ref="S68:U70"/>
    <mergeCell ref="G69:J69"/>
    <mergeCell ref="H70:I70"/>
    <mergeCell ref="S72:T72"/>
    <mergeCell ref="B77:F77"/>
    <mergeCell ref="H77:I77"/>
    <mergeCell ref="O77:Q77"/>
    <mergeCell ref="S77:U77"/>
    <mergeCell ref="G73:J73"/>
    <mergeCell ref="O78:Q78"/>
    <mergeCell ref="S78:U78"/>
    <mergeCell ref="B79:F79"/>
    <mergeCell ref="H79:I79"/>
    <mergeCell ref="O79:Q79"/>
    <mergeCell ref="S79:U79"/>
    <mergeCell ref="C82:D82"/>
    <mergeCell ref="C83:D83"/>
    <mergeCell ref="C84:D84"/>
    <mergeCell ref="B78:F78"/>
    <mergeCell ref="H78:I78"/>
  </mergeCells>
  <conditionalFormatting sqref="G14:J14 G15:G16 J15:J16">
    <cfRule type="expression" dxfId="1200" priority="282">
      <formula>$H$15&gt;0</formula>
    </cfRule>
  </conditionalFormatting>
  <conditionalFormatting sqref="G18:J18 G19 G20:H20 J19">
    <cfRule type="expression" dxfId="1199" priority="281">
      <formula>$H$19&gt;0</formula>
    </cfRule>
  </conditionalFormatting>
  <conditionalFormatting sqref="G22:J22 G23 J23 G24:H24">
    <cfRule type="expression" dxfId="1198" priority="280">
      <formula>$H$23&gt;0</formula>
    </cfRule>
  </conditionalFormatting>
  <conditionalFormatting sqref="G31:J31 G32 G33:H33 J32">
    <cfRule type="expression" dxfId="1197" priority="279">
      <formula>$H$32&gt;0</formula>
    </cfRule>
  </conditionalFormatting>
  <conditionalFormatting sqref="G35:J35 G36 G37:H37 J36">
    <cfRule type="expression" dxfId="1196" priority="278">
      <formula>$H$36&gt;0</formula>
    </cfRule>
  </conditionalFormatting>
  <conditionalFormatting sqref="G43:J43 G44 G45:H45 J44">
    <cfRule type="expression" dxfId="1195" priority="277">
      <formula>$H$44&gt;0</formula>
    </cfRule>
  </conditionalFormatting>
  <conditionalFormatting sqref="G69:G71 J70:J71 K70:N70">
    <cfRule type="expression" dxfId="1194" priority="276">
      <formula>$H$70&gt;0</formula>
    </cfRule>
  </conditionalFormatting>
  <conditionalFormatting sqref="R31 O46:O48 O50:O51 O42:O44 S29 O10:O40 O53 S32:U35 O57:O58">
    <cfRule type="expression" dxfId="1193" priority="274">
      <formula>$S$33&gt;0</formula>
    </cfRule>
  </conditionalFormatting>
  <conditionalFormatting sqref="S42:U48 Q40:Q56">
    <cfRule type="expression" dxfId="1192" priority="273">
      <formula>$S$46&gt;0</formula>
    </cfRule>
  </conditionalFormatting>
  <conditionalFormatting sqref="P70:R70 S68:U72 O60:O74">
    <cfRule type="expression" dxfId="1191" priority="272">
      <formula>$S$72&gt;0</formula>
    </cfRule>
  </conditionalFormatting>
  <conditionalFormatting sqref="B43:F43">
    <cfRule type="expression" dxfId="1190" priority="268">
      <formula>$B$43&lt;0</formula>
    </cfRule>
  </conditionalFormatting>
  <conditionalFormatting sqref="B47:F47">
    <cfRule type="expression" dxfId="1189" priority="267">
      <formula>$B$47&lt;0</formula>
    </cfRule>
  </conditionalFormatting>
  <conditionalFormatting sqref="G24:H24">
    <cfRule type="expression" dxfId="1188" priority="266">
      <formula>AND($H$23&gt;0,$J$24=0,$I$24=0)</formula>
    </cfRule>
  </conditionalFormatting>
  <conditionalFormatting sqref="G19:H19 J19">
    <cfRule type="expression" dxfId="1187" priority="265">
      <formula>AND($M$19&gt;0,$H$19=0)</formula>
    </cfRule>
  </conditionalFormatting>
  <conditionalFormatting sqref="G23:H23 J23">
    <cfRule type="expression" dxfId="1186" priority="264">
      <formula>AND($M$23&gt;0,$H$23=0)</formula>
    </cfRule>
  </conditionalFormatting>
  <conditionalFormatting sqref="G33:H33">
    <cfRule type="expression" dxfId="1185" priority="263">
      <formula>AND($H$32&gt;0,$J$33=0,$I$33=0)</formula>
    </cfRule>
  </conditionalFormatting>
  <conditionalFormatting sqref="G32:H32 J32">
    <cfRule type="expression" dxfId="1184" priority="262">
      <formula>AND($M$32&gt;0,$H$32=0)</formula>
    </cfRule>
  </conditionalFormatting>
  <conditionalFormatting sqref="G36:H36 J36">
    <cfRule type="expression" dxfId="1183" priority="261">
      <formula>AND($M$36&gt;0,$H$36=0)</formula>
    </cfRule>
  </conditionalFormatting>
  <conditionalFormatting sqref="G37:H37">
    <cfRule type="expression" dxfId="1182" priority="260">
      <formula>AND($H$36&gt;0,$J$37=0,$I$37=0)</formula>
    </cfRule>
  </conditionalFormatting>
  <conditionalFormatting sqref="G44:H44 J44">
    <cfRule type="expression" dxfId="1181" priority="259">
      <formula>AND($M$45&gt;0,$H$44=0)</formula>
    </cfRule>
  </conditionalFormatting>
  <conditionalFormatting sqref="G45:H45">
    <cfRule type="expression" dxfId="1180" priority="258">
      <formula>AND($H$44&gt;0,$J$45=0,$I$45=0)</formula>
    </cfRule>
  </conditionalFormatting>
  <conditionalFormatting sqref="G59:H59 J59">
    <cfRule type="expression" dxfId="1179" priority="257">
      <formula>AND($M$58&gt;0,$H$59=0)</formula>
    </cfRule>
  </conditionalFormatting>
  <conditionalFormatting sqref="G49:H49">
    <cfRule type="expression" dxfId="1178" priority="256">
      <formula>AND($H$48&gt;0,$J$49=0,$I$49=0)</formula>
    </cfRule>
  </conditionalFormatting>
  <conditionalFormatting sqref="G16 I16:J16">
    <cfRule type="expression" dxfId="1177" priority="255">
      <formula>AND($H$15&gt;0,$H$16=0,$I$16=0)</formula>
    </cfRule>
  </conditionalFormatting>
  <conditionalFormatting sqref="G71 J71">
    <cfRule type="expression" dxfId="1176" priority="254">
      <formula>AND($H$70&gt;0,$H$71=0,$I$71=0)</formula>
    </cfRule>
  </conditionalFormatting>
  <conditionalFormatting sqref="A43:F43">
    <cfRule type="expression" dxfId="1175" priority="251">
      <formula>$B$43&lt;&gt;0</formula>
    </cfRule>
  </conditionalFormatting>
  <conditionalFormatting sqref="A47:F47">
    <cfRule type="expression" dxfId="1174" priority="250">
      <formula>$B$47&lt;&gt;0</formula>
    </cfRule>
  </conditionalFormatting>
  <conditionalFormatting sqref="P58:Q58 S58:T58 T59">
    <cfRule type="expression" dxfId="1173" priority="249">
      <formula>$R$58&gt;0</formula>
    </cfRule>
  </conditionalFormatting>
  <conditionalFormatting sqref="K58:L58 N58">
    <cfRule type="expression" dxfId="1172" priority="248">
      <formula>$M$58&gt;0</formula>
    </cfRule>
  </conditionalFormatting>
  <conditionalFormatting sqref="C35:F35">
    <cfRule type="expression" dxfId="1171" priority="247">
      <formula>$E$35&gt;0</formula>
    </cfRule>
  </conditionalFormatting>
  <conditionalFormatting sqref="E35:F35">
    <cfRule type="expression" dxfId="1170" priority="246">
      <formula>AND($A$35="",$E$35&gt;0)</formula>
    </cfRule>
  </conditionalFormatting>
  <conditionalFormatting sqref="C31:F31">
    <cfRule type="expression" dxfId="1169" priority="245">
      <formula>$E$31&gt;0</formula>
    </cfRule>
  </conditionalFormatting>
  <conditionalFormatting sqref="E31:F31">
    <cfRule type="expression" dxfId="1168" priority="244">
      <formula>AND($A$31="",$E$31&gt;0)</formula>
    </cfRule>
  </conditionalFormatting>
  <conditionalFormatting sqref="A70:F70">
    <cfRule type="expression" dxfId="1167" priority="243">
      <formula>$H$70&gt;0</formula>
    </cfRule>
  </conditionalFormatting>
  <conditionalFormatting sqref="K32:L32 N32">
    <cfRule type="expression" dxfId="1166" priority="242">
      <formula>$M$32&gt;0</formula>
    </cfRule>
  </conditionalFormatting>
  <conditionalFormatting sqref="K43:L43 N43">
    <cfRule type="expression" dxfId="1165" priority="241">
      <formula>$M$43&gt;0</formula>
    </cfRule>
  </conditionalFormatting>
  <conditionalFormatting sqref="K47:L47 N47">
    <cfRule type="expression" dxfId="1164" priority="240">
      <formula>$M$47&gt;0</formula>
    </cfRule>
  </conditionalFormatting>
  <conditionalFormatting sqref="K23:L23 N23">
    <cfRule type="expression" dxfId="1163" priority="239">
      <formula>$M$23&gt;0</formula>
    </cfRule>
  </conditionalFormatting>
  <conditionalFormatting sqref="K19:L19 N19">
    <cfRule type="expression" dxfId="1162" priority="236">
      <formula>$M$19&gt;0</formula>
    </cfRule>
  </conditionalFormatting>
  <conditionalFormatting sqref="K15:N15">
    <cfRule type="expression" dxfId="1161" priority="233">
      <formula>$M$15&gt;0</formula>
    </cfRule>
  </conditionalFormatting>
  <conditionalFormatting sqref="A15:F15">
    <cfRule type="expression" dxfId="1160" priority="232">
      <formula>$H$15&gt;0</formula>
    </cfRule>
  </conditionalFormatting>
  <conditionalFormatting sqref="N10 A10:H10 J10:L10">
    <cfRule type="expression" dxfId="1159" priority="231">
      <formula>$M$10&gt;0</formula>
    </cfRule>
  </conditionalFormatting>
  <conditionalFormatting sqref="A51:F51">
    <cfRule type="expression" dxfId="1158" priority="228">
      <formula>$B$51&lt;&gt;0</formula>
    </cfRule>
  </conditionalFormatting>
  <conditionalFormatting sqref="G60:J60">
    <cfRule type="expression" dxfId="1157" priority="227">
      <formula>AND($H$59&gt;0,$I$60=0,$J$60=0)</formula>
    </cfRule>
  </conditionalFormatting>
  <conditionalFormatting sqref="K60:L60 N60 O60:O74">
    <cfRule type="expression" dxfId="1156" priority="226">
      <formula>$M$60&gt;0</formula>
    </cfRule>
  </conditionalFormatting>
  <conditionalFormatting sqref="D62:N62 C33:F33 C34 C36:C38 C44:C46 C48:C50 C40 C42 O60:O74 C52:C53 C60:C62 C57:C58">
    <cfRule type="expression" dxfId="1155" priority="225">
      <formula>$E$33&gt;0</formula>
    </cfRule>
  </conditionalFormatting>
  <conditionalFormatting sqref="D62:N62 C37:F37 C38 C44:C46 C48:C50 C40 C42 O60:O74 C52:C53 C60:C62 C57:C58">
    <cfRule type="expression" dxfId="1154" priority="224">
      <formula>$E$37&gt;0</formula>
    </cfRule>
  </conditionalFormatting>
  <conditionalFormatting sqref="D62:N62 C45:F45 C46 C48:C50 O60:O74 C52:C53 C60:C62 C57:C58">
    <cfRule type="expression" dxfId="1153" priority="223">
      <formula>$E$45&gt;0</formula>
    </cfRule>
  </conditionalFormatting>
  <conditionalFormatting sqref="D62:N62 C49:F49 C50 O60:O74 C52:C53 C60:C62 C57:C58">
    <cfRule type="expression" dxfId="1152" priority="222">
      <formula>$E$49&gt;0</formula>
    </cfRule>
  </conditionalFormatting>
  <conditionalFormatting sqref="D62:N62 C53:F53 O60:O74 C57:C58 C60:C62">
    <cfRule type="expression" dxfId="1151" priority="221">
      <formula>$E$53&gt;0</formula>
    </cfRule>
  </conditionalFormatting>
  <conditionalFormatting sqref="G58:J58 G59 G60:H60 J59">
    <cfRule type="expression" dxfId="1150" priority="218">
      <formula>$H$59&gt;0</formula>
    </cfRule>
  </conditionalFormatting>
  <conditionalFormatting sqref="G47:J47 G48 G49:H49 J48">
    <cfRule type="expression" dxfId="1149" priority="217">
      <formula>$H$48&gt;0</formula>
    </cfRule>
  </conditionalFormatting>
  <conditionalFormatting sqref="G48:H48 J48">
    <cfRule type="expression" dxfId="1148" priority="216">
      <formula>AND($M$49&gt;0,$H$48=0)</formula>
    </cfRule>
  </conditionalFormatting>
  <conditionalFormatting sqref="K49:L49 N49:P49">
    <cfRule type="expression" dxfId="1147" priority="215">
      <formula>$M$49&gt;0</formula>
    </cfRule>
  </conditionalFormatting>
  <conditionalFormatting sqref="N45:P45 K45:L45">
    <cfRule type="expression" dxfId="1146" priority="214">
      <formula>$M$45&gt;0</formula>
    </cfRule>
  </conditionalFormatting>
  <conditionalFormatting sqref="H20">
    <cfRule type="expression" dxfId="1145" priority="213">
      <formula>AND($H$19&gt;0,$J$20=0,$I$20=0)</formula>
    </cfRule>
  </conditionalFormatting>
  <conditionalFormatting sqref="N19">
    <cfRule type="expression" dxfId="1144" priority="212">
      <formula>AND($H$19&gt;0,$M$19=0)</formula>
    </cfRule>
  </conditionalFormatting>
  <conditionalFormatting sqref="N23">
    <cfRule type="expression" dxfId="1143" priority="211">
      <formula>AND($H$23&gt;0,$M$23=0)</formula>
    </cfRule>
  </conditionalFormatting>
  <conditionalFormatting sqref="N32">
    <cfRule type="expression" dxfId="1142" priority="210">
      <formula>AND($H$32&gt;0,$M$32=0)</formula>
    </cfRule>
  </conditionalFormatting>
  <conditionalFormatting sqref="K36:L36 N36">
    <cfRule type="expression" dxfId="1141" priority="209">
      <formula>$M$36&gt;0</formula>
    </cfRule>
  </conditionalFormatting>
  <conditionalFormatting sqref="N36">
    <cfRule type="expression" dxfId="1140" priority="208">
      <formula>AND($H$36&gt;0,$M$36=0)</formula>
    </cfRule>
  </conditionalFormatting>
  <conditionalFormatting sqref="N45">
    <cfRule type="expression" dxfId="1139" priority="207">
      <formula>AND($H$44&gt;0,$M$45=0)</formula>
    </cfRule>
  </conditionalFormatting>
  <conditionalFormatting sqref="N49">
    <cfRule type="expression" dxfId="1138" priority="206">
      <formula>AND($H$48&gt;0,$M$49=0)</formula>
    </cfRule>
  </conditionalFormatting>
  <conditionalFormatting sqref="N58">
    <cfRule type="expression" dxfId="1137" priority="205">
      <formula>AND(OR($H$59&gt;0,$M$60&gt;0),$M$58=0)</formula>
    </cfRule>
  </conditionalFormatting>
  <conditionalFormatting sqref="N60">
    <cfRule type="expression" dxfId="1136" priority="204">
      <formula>AND(OR($H$59&gt;0,$M$58&gt;0),$M$60=0)</formula>
    </cfRule>
  </conditionalFormatting>
  <conditionalFormatting sqref="J10 H10">
    <cfRule type="expression" dxfId="1135" priority="190">
      <formula>AND($M$10&gt;0,$I$10=0)</formula>
    </cfRule>
  </conditionalFormatting>
  <conditionalFormatting sqref="N73 A73:G73 K73:L73">
    <cfRule type="expression" dxfId="1134" priority="175">
      <formula>$M$73&lt;&gt;0</formula>
    </cfRule>
  </conditionalFormatting>
  <conditionalFormatting sqref="C26:F26">
    <cfRule type="expression" dxfId="1133" priority="174">
      <formula>$E$26&gt;0</formula>
    </cfRule>
  </conditionalFormatting>
  <conditionalFormatting sqref="E26:F26">
    <cfRule type="expression" dxfId="1132" priority="173">
      <formula>AND($A$26="",$E$26&gt;0)</formula>
    </cfRule>
  </conditionalFormatting>
  <conditionalFormatting sqref="K27:L27 N27">
    <cfRule type="expression" dxfId="1131" priority="172">
      <formula>$M$27&gt;0</formula>
    </cfRule>
  </conditionalFormatting>
  <conditionalFormatting sqref="N27">
    <cfRule type="expression" dxfId="1130" priority="171">
      <formula>AND($H$27&gt;0,$M$27=0)</formula>
    </cfRule>
  </conditionalFormatting>
  <conditionalFormatting sqref="G39:J39 G40 G41:H41 J40">
    <cfRule type="expression" dxfId="1129" priority="160">
      <formula>$H$40&gt;0</formula>
    </cfRule>
  </conditionalFormatting>
  <conditionalFormatting sqref="G40:H40 J40">
    <cfRule type="expression" dxfId="1128" priority="159">
      <formula>AND($M$41&gt;0,$H$40=0)</formula>
    </cfRule>
  </conditionalFormatting>
  <conditionalFormatting sqref="G41:H41">
    <cfRule type="expression" dxfId="1127" priority="158">
      <formula>AND($H$40&gt;0,$J$41=0,$I$41=0)</formula>
    </cfRule>
  </conditionalFormatting>
  <conditionalFormatting sqref="N41:P41 K41:L41">
    <cfRule type="expression" dxfId="1126" priority="157">
      <formula>$M$41&gt;0</formula>
    </cfRule>
  </conditionalFormatting>
  <conditionalFormatting sqref="N41">
    <cfRule type="expression" dxfId="1125" priority="156">
      <formula>AND($H$40&gt;0,$M$41=0)</formula>
    </cfRule>
  </conditionalFormatting>
  <conditionalFormatting sqref="K39:L39 N39">
    <cfRule type="expression" dxfId="1124" priority="155">
      <formula>$M$39&gt;0</formula>
    </cfRule>
  </conditionalFormatting>
  <conditionalFormatting sqref="B39:F39">
    <cfRule type="expression" dxfId="1123" priority="154">
      <formula>$B$39&lt;0</formula>
    </cfRule>
  </conditionalFormatting>
  <conditionalFormatting sqref="A39:F39">
    <cfRule type="expression" dxfId="1122" priority="153">
      <formula>$B$39&lt;&gt;0</formula>
    </cfRule>
  </conditionalFormatting>
  <conditionalFormatting sqref="J49">
    <cfRule type="expression" dxfId="1121" priority="151">
      <formula>AND($H$44&gt;0,$J$45=0)</formula>
    </cfRule>
  </conditionalFormatting>
  <conditionalFormatting sqref="H16">
    <cfRule type="expression" dxfId="1120" priority="150">
      <formula>I16&lt;&gt;""</formula>
    </cfRule>
  </conditionalFormatting>
  <conditionalFormatting sqref="I20">
    <cfRule type="expression" dxfId="1119" priority="149">
      <formula>J20&lt;&gt;""</formula>
    </cfRule>
  </conditionalFormatting>
  <conditionalFormatting sqref="I24">
    <cfRule type="expression" dxfId="1118" priority="148">
      <formula>J24&lt;&gt;""</formula>
    </cfRule>
  </conditionalFormatting>
  <conditionalFormatting sqref="I41">
    <cfRule type="expression" dxfId="1117" priority="145">
      <formula>J41&lt;&gt;""</formula>
    </cfRule>
  </conditionalFormatting>
  <conditionalFormatting sqref="I60">
    <cfRule type="expression" dxfId="1116" priority="144">
      <formula>J60&lt;&gt;""</formula>
    </cfRule>
  </conditionalFormatting>
  <conditionalFormatting sqref="I71">
    <cfRule type="expression" dxfId="1115" priority="143">
      <formula>AND($H$59&gt;0,$J$60=0)</formula>
    </cfRule>
  </conditionalFormatting>
  <conditionalFormatting sqref="I45">
    <cfRule type="expression" dxfId="1114" priority="139">
      <formula>J45&lt;&gt;""</formula>
    </cfRule>
  </conditionalFormatting>
  <conditionalFormatting sqref="I49">
    <cfRule type="expression" dxfId="1113" priority="138">
      <formula>J49&lt;&gt;""</formula>
    </cfRule>
  </conditionalFormatting>
  <conditionalFormatting sqref="H71">
    <cfRule type="expression" dxfId="1112" priority="137">
      <formula>I71&lt;&gt;""</formula>
    </cfRule>
  </conditionalFormatting>
  <conditionalFormatting sqref="G51:J51 G52 J52 G53:H53">
    <cfRule type="expression" dxfId="1111" priority="132">
      <formula>$H$52&gt;0</formula>
    </cfRule>
  </conditionalFormatting>
  <conditionalFormatting sqref="G52:H52 J52">
    <cfRule type="expression" dxfId="1110" priority="131">
      <formula>AND($M$52&gt;0,$H$52=0)</formula>
    </cfRule>
  </conditionalFormatting>
  <conditionalFormatting sqref="G53:H53">
    <cfRule type="expression" dxfId="1109" priority="129">
      <formula>AND($H$52&gt;0,$J$53=0,$I$53=0)</formula>
    </cfRule>
  </conditionalFormatting>
  <conditionalFormatting sqref="I53">
    <cfRule type="expression" dxfId="1108" priority="128">
      <formula>J53&lt;&gt;""</formula>
    </cfRule>
  </conditionalFormatting>
  <conditionalFormatting sqref="N52:P52 K52:L52">
    <cfRule type="expression" dxfId="1107" priority="127">
      <formula>$M$52&gt;0</formula>
    </cfRule>
  </conditionalFormatting>
  <conditionalFormatting sqref="N52">
    <cfRule type="expression" dxfId="1106" priority="126">
      <formula>AND($H$52&gt;0,$M$52=0)</formula>
    </cfRule>
  </conditionalFormatting>
  <conditionalFormatting sqref="G26:J26 G27 G28:H28 J27">
    <cfRule type="expression" dxfId="1105" priority="120">
      <formula>$H$27&gt;0</formula>
    </cfRule>
  </conditionalFormatting>
  <conditionalFormatting sqref="G28:H28">
    <cfRule type="expression" dxfId="1104" priority="119">
      <formula>AND($H$27&gt;0,$J$28=0,$I$28=0)</formula>
    </cfRule>
  </conditionalFormatting>
  <conditionalFormatting sqref="G27:H27 J27">
    <cfRule type="expression" dxfId="1103" priority="118">
      <formula>AND($M$27&gt;0,$H$27=0)</formula>
    </cfRule>
  </conditionalFormatting>
  <conditionalFormatting sqref="C19:F19">
    <cfRule type="expression" dxfId="1102" priority="108">
      <formula>$E$19&gt;0</formula>
    </cfRule>
  </conditionalFormatting>
  <conditionalFormatting sqref="E19:F19">
    <cfRule type="expression" dxfId="1101" priority="107">
      <formula>AND($A$19="",$E$19&gt;0)</formula>
    </cfRule>
  </conditionalFormatting>
  <conditionalFormatting sqref="A19:E19">
    <cfRule type="expression" dxfId="1100" priority="106">
      <formula>AND($A$19="Biogas",$D$19&lt;1)</formula>
    </cfRule>
  </conditionalFormatting>
  <conditionalFormatting sqref="A20:E20">
    <cfRule type="expression" dxfId="1099" priority="105">
      <formula>AND($A$19="Biogas",$E$20&gt;0)</formula>
    </cfRule>
  </conditionalFormatting>
  <conditionalFormatting sqref="A20:D20">
    <cfRule type="expression" dxfId="1098" priority="102">
      <formula>AND($A$19="Biogas",$D$19&lt;1)</formula>
    </cfRule>
  </conditionalFormatting>
  <conditionalFormatting sqref="D19">
    <cfRule type="expression" dxfId="1097" priority="99">
      <formula>AND($A$19&lt;&gt;"Biogas",$D$19&lt;1)</formula>
    </cfRule>
    <cfRule type="expression" dxfId="1096" priority="100">
      <formula>$A$19="Biogas"</formula>
    </cfRule>
    <cfRule type="expression" dxfId="1095" priority="101">
      <formula>$E$19&lt;&gt;0</formula>
    </cfRule>
  </conditionalFormatting>
  <conditionalFormatting sqref="C23:F23">
    <cfRule type="expression" dxfId="1094" priority="98">
      <formula>$E$23&gt;0</formula>
    </cfRule>
  </conditionalFormatting>
  <conditionalFormatting sqref="E23:F23">
    <cfRule type="expression" dxfId="1093" priority="97">
      <formula>AND($A$23="",$E$23&gt;0)</formula>
    </cfRule>
  </conditionalFormatting>
  <conditionalFormatting sqref="A23:E23">
    <cfRule type="expression" dxfId="1092" priority="96">
      <formula>AND($A$23="Biogas",$D$23&lt;1)</formula>
    </cfRule>
  </conditionalFormatting>
  <conditionalFormatting sqref="A24:E24">
    <cfRule type="expression" dxfId="1091" priority="95">
      <formula>AND($A$23="Biogas",$E$24&gt;0)</formula>
    </cfRule>
  </conditionalFormatting>
  <conditionalFormatting sqref="E24">
    <cfRule type="expression" dxfId="1090" priority="93">
      <formula>AND($A$23="",$E$23&gt;0)</formula>
    </cfRule>
    <cfRule type="expression" dxfId="1089" priority="94">
      <formula>AND($A$23="Biogas",$D$23&lt;1)</formula>
    </cfRule>
  </conditionalFormatting>
  <conditionalFormatting sqref="A24:D24">
    <cfRule type="expression" dxfId="1088" priority="92">
      <formula>AND($A$23="Biogas",$D$23&lt;1)</formula>
    </cfRule>
  </conditionalFormatting>
  <conditionalFormatting sqref="D23">
    <cfRule type="expression" dxfId="1087" priority="89">
      <formula>AND($A$23&lt;&gt;"Biogas",$D$23&lt;1)</formula>
    </cfRule>
    <cfRule type="expression" dxfId="1086" priority="90">
      <formula>$A$23="Biogas"</formula>
    </cfRule>
    <cfRule type="expression" dxfId="1085" priority="91">
      <formula>$E$23&lt;&gt;0</formula>
    </cfRule>
  </conditionalFormatting>
  <conditionalFormatting sqref="C28:F28">
    <cfRule type="expression" dxfId="1084" priority="88">
      <formula>$E$28&gt;0</formula>
    </cfRule>
  </conditionalFormatting>
  <conditionalFormatting sqref="A28:E28">
    <cfRule type="expression" dxfId="1083" priority="87">
      <formula>AND($A$28="Biogas",$D$28&lt;1)</formula>
    </cfRule>
  </conditionalFormatting>
  <conditionalFormatting sqref="A29:E29">
    <cfRule type="expression" dxfId="1082" priority="86">
      <formula>AND($A$28="Biogas",$E$29&gt;0)</formula>
    </cfRule>
  </conditionalFormatting>
  <conditionalFormatting sqref="A29:D29">
    <cfRule type="expression" dxfId="1081" priority="85">
      <formula>AND($A$28="Biogas",$D$28&lt;1)</formula>
    </cfRule>
  </conditionalFormatting>
  <conditionalFormatting sqref="D28">
    <cfRule type="expression" dxfId="1080" priority="82">
      <formula>AND($A$28&lt;&gt;"Biogas",$D$28&lt;1)</formula>
    </cfRule>
    <cfRule type="expression" dxfId="1079" priority="83">
      <formula>$A$28="Biogas"</formula>
    </cfRule>
    <cfRule type="expression" dxfId="1078" priority="84">
      <formula>$E$28&lt;&gt;0</formula>
    </cfRule>
  </conditionalFormatting>
  <conditionalFormatting sqref="E28:F28">
    <cfRule type="expression" dxfId="1077" priority="81">
      <formula>AND($A$28="",$E$28&gt;0)</formula>
    </cfRule>
  </conditionalFormatting>
  <conditionalFormatting sqref="E29">
    <cfRule type="expression" dxfId="1076" priority="79">
      <formula>AND($A$28="",$E$28&gt;0)</formula>
    </cfRule>
    <cfRule type="expression" dxfId="1075" priority="80">
      <formula>AND($A$28="Biogas",$D$28&lt;1)</formula>
    </cfRule>
  </conditionalFormatting>
  <conditionalFormatting sqref="C59:F59">
    <cfRule type="expression" dxfId="1074" priority="73">
      <formula>$E$59&gt;0</formula>
    </cfRule>
  </conditionalFormatting>
  <conditionalFormatting sqref="E59">
    <cfRule type="expression" dxfId="1073" priority="72">
      <formula>AND($A$59="",$E$59&gt;0)</formula>
    </cfRule>
  </conditionalFormatting>
  <conditionalFormatting sqref="A60:E60">
    <cfRule type="expression" dxfId="1072" priority="70">
      <formula>AND($A$59="Biogas",$E$60&gt;0)</formula>
    </cfRule>
  </conditionalFormatting>
  <conditionalFormatting sqref="E60">
    <cfRule type="expression" dxfId="1071" priority="68">
      <formula>AND($A$59="",$E$59&gt;0)</formula>
    </cfRule>
    <cfRule type="expression" dxfId="1070" priority="69">
      <formula>AND($A$59="Biogas",$D$59&lt;1)</formula>
    </cfRule>
  </conditionalFormatting>
  <conditionalFormatting sqref="A59:E59">
    <cfRule type="expression" dxfId="1069" priority="67">
      <formula>AND($A$59="Biogas",$D$59&lt;1)</formula>
    </cfRule>
  </conditionalFormatting>
  <conditionalFormatting sqref="A60:D60">
    <cfRule type="expression" dxfId="1068" priority="66">
      <formula>AND($A$59="Biogas",$D$59&lt;1)</formula>
    </cfRule>
  </conditionalFormatting>
  <conditionalFormatting sqref="D59">
    <cfRule type="expression" dxfId="1067" priority="63">
      <formula>AND($A$59&lt;&gt;"Biogas",$D$59&lt;1)</formula>
    </cfRule>
    <cfRule type="expression" dxfId="1066" priority="64">
      <formula>$A$59="Biogas"</formula>
    </cfRule>
    <cfRule type="expression" dxfId="1065" priority="65">
      <formula>$E$59&lt;&gt;0</formula>
    </cfRule>
  </conditionalFormatting>
  <conditionalFormatting sqref="I28">
    <cfRule type="expression" dxfId="1064" priority="62">
      <formula>J28&lt;&gt;""</formula>
    </cfRule>
  </conditionalFormatting>
  <conditionalFormatting sqref="I33">
    <cfRule type="expression" dxfId="1063" priority="61">
      <formula>J33&lt;&gt;""</formula>
    </cfRule>
  </conditionalFormatting>
  <conditionalFormatting sqref="I37">
    <cfRule type="expression" dxfId="1062" priority="60">
      <formula>J37&lt;&gt;""</formula>
    </cfRule>
  </conditionalFormatting>
  <conditionalFormatting sqref="C41:F41">
    <cfRule type="expression" dxfId="1061" priority="59">
      <formula>$E$41&gt;0</formula>
    </cfRule>
  </conditionalFormatting>
  <conditionalFormatting sqref="E41:F41">
    <cfRule type="expression" dxfId="1060" priority="58">
      <formula>AND($A$41="",$M$41&gt;0)</formula>
    </cfRule>
  </conditionalFormatting>
  <conditionalFormatting sqref="A67:N67">
    <cfRule type="expression" dxfId="1059" priority="57">
      <formula>$M$67&lt;0</formula>
    </cfRule>
  </conditionalFormatting>
  <conditionalFormatting sqref="A67:H67 J67:N67">
    <cfRule type="expression" dxfId="1058" priority="56">
      <formula>$M$67&lt;&gt;0</formula>
    </cfRule>
  </conditionalFormatting>
  <conditionalFormatting sqref="E20">
    <cfRule type="expression" dxfId="1057" priority="900">
      <formula>AND($A$28="",$E$28&gt;0)</formula>
    </cfRule>
    <cfRule type="expression" dxfId="1056" priority="901">
      <formula>AND($A$19="Biogas",$D$19&lt;1)</formula>
    </cfRule>
  </conditionalFormatting>
  <conditionalFormatting sqref="R16 O46:O48 O50:O51 O42:O44 O10:O40 O53 S14:U20 O57:O58">
    <cfRule type="expression" dxfId="1055" priority="902">
      <formula>$S$18&gt;0</formula>
    </cfRule>
  </conditionalFormatting>
  <conditionalFormatting sqref="G65 J65">
    <cfRule type="expression" dxfId="1054" priority="51">
      <formula>AND($M$65&gt;0,$H$65=0)</formula>
    </cfRule>
  </conditionalFormatting>
  <conditionalFormatting sqref="N65 K65:L65">
    <cfRule type="expression" dxfId="1053" priority="49">
      <formula>($M$65&gt;0)</formula>
    </cfRule>
  </conditionalFormatting>
  <conditionalFormatting sqref="N65">
    <cfRule type="expression" dxfId="1052" priority="50">
      <formula>AND($H$65&gt;0,$M$65=0)</formula>
    </cfRule>
  </conditionalFormatting>
  <conditionalFormatting sqref="G64:J64 G65 J65">
    <cfRule type="expression" dxfId="1051" priority="48">
      <formula>($H$65&gt;0)</formula>
    </cfRule>
  </conditionalFormatting>
  <conditionalFormatting sqref="S37:S38">
    <cfRule type="expression" dxfId="1050" priority="44">
      <formula>($S$18+$S$33)=0</formula>
    </cfRule>
    <cfRule type="expression" dxfId="1049" priority="45">
      <formula>AND($S$38&gt;0.99,$S$38&lt;1.01)</formula>
    </cfRule>
  </conditionalFormatting>
  <conditionalFormatting sqref="S39">
    <cfRule type="expression" dxfId="1048" priority="43">
      <formula>AND($S$38&gt;0.99,$S$38&lt;1.01)</formula>
    </cfRule>
  </conditionalFormatting>
  <conditionalFormatting sqref="S52">
    <cfRule type="expression" dxfId="1047" priority="37">
      <formula>AND($S$51&gt;0.99,$S$51&lt;1.01)</formula>
    </cfRule>
  </conditionalFormatting>
  <conditionalFormatting sqref="S50:S51 S53 S57">
    <cfRule type="expression" dxfId="1046" priority="1093">
      <formula>$S$46=0</formula>
    </cfRule>
    <cfRule type="expression" dxfId="1045" priority="1094">
      <formula>AND($S$51&gt;0.99,$S$51&lt;1.01)</formula>
    </cfRule>
  </conditionalFormatting>
  <conditionalFormatting sqref="M73">
    <cfRule type="expression" dxfId="1044" priority="31">
      <formula>$M$73&gt;SUM($M$60,$M$70)</formula>
    </cfRule>
  </conditionalFormatting>
  <conditionalFormatting sqref="N12 J12:L12 A12:H12">
    <cfRule type="expression" dxfId="1043" priority="30">
      <formula>$M$12&gt;0</formula>
    </cfRule>
  </conditionalFormatting>
  <conditionalFormatting sqref="J12 H12">
    <cfRule type="expression" dxfId="1042" priority="29">
      <formula>AND($M$12&gt;0,$I$12=0)</formula>
    </cfRule>
  </conditionalFormatting>
  <conditionalFormatting sqref="O9">
    <cfRule type="expression" dxfId="1041" priority="27">
      <formula>$S$33&gt;0</formula>
    </cfRule>
  </conditionalFormatting>
  <conditionalFormatting sqref="O9">
    <cfRule type="expression" dxfId="1040" priority="28">
      <formula>$S$18&gt;0</formula>
    </cfRule>
  </conditionalFormatting>
  <conditionalFormatting sqref="N10">
    <cfRule type="expression" dxfId="1039" priority="26">
      <formula>AND($I$10&gt;0,$M$10=0)</formula>
    </cfRule>
  </conditionalFormatting>
  <conditionalFormatting sqref="N12">
    <cfRule type="expression" dxfId="1038" priority="25">
      <formula>AND($I$12&gt;0,$M$12=0)</formula>
    </cfRule>
  </conditionalFormatting>
  <conditionalFormatting sqref="H55 J55">
    <cfRule type="expression" dxfId="1037" priority="21">
      <formula>AND($M$55&gt;0,$I$55=0)</formula>
    </cfRule>
  </conditionalFormatting>
  <conditionalFormatting sqref="A55:H55 J55:L55 N55:P55">
    <cfRule type="expression" dxfId="1036" priority="15">
      <formula>$M$55&gt;0</formula>
    </cfRule>
  </conditionalFormatting>
  <conditionalFormatting sqref="N55">
    <cfRule type="expression" dxfId="1035" priority="7">
      <formula>AND($I$55&gt;0,$M$55=0)</formula>
    </cfRule>
  </conditionalFormatting>
  <conditionalFormatting sqref="C54 C56">
    <cfRule type="expression" dxfId="1034" priority="6">
      <formula>$E$33&gt;0</formula>
    </cfRule>
  </conditionalFormatting>
  <conditionalFormatting sqref="C54 C56">
    <cfRule type="expression" dxfId="1033" priority="5">
      <formula>$E$37&gt;0</formula>
    </cfRule>
  </conditionalFormatting>
  <conditionalFormatting sqref="C54 C56">
    <cfRule type="expression" dxfId="1032" priority="4">
      <formula>$E$45&gt;0</formula>
    </cfRule>
  </conditionalFormatting>
  <conditionalFormatting sqref="C54 C56">
    <cfRule type="expression" dxfId="1031" priority="3">
      <formula>$E$49&gt;0</formula>
    </cfRule>
  </conditionalFormatting>
  <conditionalFormatting sqref="C54 C56">
    <cfRule type="expression" dxfId="1030" priority="2">
      <formula>$E$53&gt;0</formula>
    </cfRule>
  </conditionalFormatting>
  <conditionalFormatting sqref="H67 J67">
    <cfRule type="expression" dxfId="1029" priority="1">
      <formula>AND($M$67&gt;0,$I$67=0)</formula>
    </cfRule>
  </conditionalFormatting>
  <dataValidations count="17">
    <dataValidation type="custom" allowBlank="1" showInputMessage="1" showErrorMessage="1" errorTitle="Netzrückspeisung zu hoch" error="Die Netzrückspeisung darf nicht grösser sein als die Summe der mit WKK und Solarstromanlage erzeugten Elektrizität." sqref="M73">
      <formula1>AF73</formula1>
    </dataValidation>
    <dataValidation type="list" allowBlank="1" showInputMessage="1" showErrorMessage="1" sqref="B77:E79">
      <formula1>$AC$77:$AC$79</formula1>
    </dataValidation>
    <dataValidation type="list" allowBlank="1" showInputMessage="1" showErrorMessage="1" sqref="S77:S79">
      <formula1>$AH$77:$AH$78</formula1>
    </dataValidation>
    <dataValidation type="decimal" allowBlank="1" showInputMessage="1" showErrorMessage="1" error="Wert muss zwischen 400 und 1'500 liegen" sqref="I71">
      <formula1>400</formula1>
      <formula2>1500</formula2>
    </dataValidation>
    <dataValidation type="decimal" allowBlank="1" showInputMessage="1" showErrorMessage="1" error="Wert muss zwischen 2.0 und 8.0 liegen" sqref="J33 J37 J28">
      <formula1>2</formula1>
      <formula2>8</formula2>
    </dataValidation>
    <dataValidation type="decimal" allowBlank="1" showInputMessage="1" showErrorMessage="1" error="Wert muss zwischen 1.5 und 8.0 liegen" sqref="J45 J49">
      <formula1>1.5</formula1>
      <formula2>8</formula2>
    </dataValidation>
    <dataValidation type="list" allowBlank="1" showInputMessage="1" showErrorMessage="1" sqref="A28:B28">
      <formula1>Gasbrennstoffe</formula1>
    </dataValidation>
    <dataValidation type="decimal" showInputMessage="1" showErrorMessage="1" error="Wert muss im Bereich 5 ... 100% liegen" sqref="C23:D23 C59:D59 C28:D28 C19:D19">
      <formula1>0.05</formula1>
      <formula2>1</formula2>
    </dataValidation>
    <dataValidation type="decimal" allowBlank="1" showErrorMessage="1" error="Wert muss zwischen 0.5 und 1.0 liegen" prompt="Wert muss zwischen 0.5 und 1.0 liegen" sqref="J60">
      <formula1>0.5</formula1>
      <formula2>1</formula2>
    </dataValidation>
    <dataValidation type="decimal" allowBlank="1" showInputMessage="1" showErrorMessage="1" error="Wert muss zwischen 200 und 800 liegen" sqref="I16">
      <formula1>200</formula1>
      <formula2>800</formula2>
    </dataValidation>
    <dataValidation type="decimal" allowBlank="1" showInputMessage="1" showErrorMessage="1" error="Wert muss zwischen 0.5 und 1.0 liegen" sqref="J20 J24">
      <formula1>0.5</formula1>
      <formula2>1</formula2>
    </dataValidation>
    <dataValidation type="list" allowBlank="1" showInputMessage="1" showErrorMessage="1" sqref="A23:B23 A59:B59 A19:B19">
      <formula1>Brennstoffe</formula1>
    </dataValidation>
    <dataValidation type="decimal" allowBlank="1" showInputMessage="1" showErrorMessage="1" error="Wert muss zwischen 5 und 100 liegen" sqref="J53">
      <formula1>5</formula1>
      <formula2>100</formula2>
    </dataValidation>
    <dataValidation type="decimal" allowBlank="1" showInputMessage="1" showErrorMessage="1" error="Wert muss zwischen 0.3 und 1.5 liegen" sqref="J41">
      <formula1>0.3</formula1>
      <formula2>1.5</formula2>
    </dataValidation>
    <dataValidation type="list" allowBlank="1" showInputMessage="1" showErrorMessage="1" sqref="A26:B26 A31:B31 A35:B35">
      <formula1>$AC$12:$AC$16</formula1>
    </dataValidation>
    <dataValidation type="list" allowBlank="1" showInputMessage="1" showErrorMessage="1" sqref="A41:B41">
      <formula1>$AC$19:$AC$20</formula1>
    </dataValidation>
    <dataValidation type="decimal" operator="greaterThanOrEqual" allowBlank="1" showInputMessage="1" showErrorMessage="1" sqref="I10 I12 H15:I15 H19:I19 H23:I23 H27:I27 H32:I32 H36:I36 H40:I40 H44:I44 H48:I48 H52:I52 H59:I59 H65:I65 I67 H70:I70 I55">
      <formula1>0</formula1>
    </dataValidation>
  </dataValidations>
  <hyperlinks>
    <hyperlink ref="I2" location="Neu_in_Version" display="i"/>
  </hyperlinks>
  <printOptions horizontalCentered="1"/>
  <pageMargins left="0.70866141732283472" right="0.70866141732283472" top="0.39370078740157483" bottom="0.82677165354330717" header="0.39370078740157483" footer="0.39370078740157483"/>
  <pageSetup paperSize="9" scale="72" orientation="portrait" r:id="rId1"/>
  <headerFooter scaleWithDoc="0">
    <oddFooter>&amp;L&amp;8&amp;G&amp;CSeite &amp;P/&amp;N&amp;6
                                                          &amp;D/&amp;F&amp;R&amp;G</odd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23" id="{E8B9DB20-BF2C-4114-BBA0-C95886014ED4}">
            <xm:f>EV_Var1!$S$33&gt;0</xm:f>
            <x14:dxf>
              <fill>
                <patternFill>
                  <bgColor theme="9" tint="0.39994506668294322"/>
                </patternFill>
              </fill>
            </x14:dxf>
          </x14:cfRule>
          <xm:sqref>O54</xm:sqref>
        </x14:conditionalFormatting>
        <x14:conditionalFormatting xmlns:xm="http://schemas.microsoft.com/office/excel/2006/main">
          <x14:cfRule type="expression" priority="22" id="{79589CD0-C7D0-48C5-BE4B-4DAE8C4E1626}">
            <xm:f>EV_Var1!$S$18&gt;0</xm:f>
            <x14:dxf>
              <fill>
                <patternFill>
                  <bgColor theme="9" tint="0.39994506668294322"/>
                </patternFill>
              </fill>
            </x14:dxf>
          </x14:cfRule>
          <xm:sqref>O54</xm:sqref>
        </x14:conditionalFormatting>
        <x14:conditionalFormatting xmlns:xm="http://schemas.microsoft.com/office/excel/2006/main">
          <x14:cfRule type="expression" priority="9" id="{04496708-D406-41EC-BED0-125CEE461D76}">
            <xm:f>EV_Var1!$S$33&gt;0</xm:f>
            <x14:dxf>
              <fill>
                <patternFill>
                  <bgColor theme="9" tint="0.39994506668294322"/>
                </patternFill>
              </fill>
            </x14:dxf>
          </x14:cfRule>
          <xm:sqref>O56</xm:sqref>
        </x14:conditionalFormatting>
        <x14:conditionalFormatting xmlns:xm="http://schemas.microsoft.com/office/excel/2006/main">
          <x14:cfRule type="expression" priority="8" id="{4C6D6BE8-75EB-4255-A4C0-D60877959C97}">
            <xm:f>EV_Var1!$S$18&gt;0</xm:f>
            <x14:dxf>
              <fill>
                <patternFill>
                  <bgColor theme="9" tint="0.39994506668294322"/>
                </patternFill>
              </fill>
            </x14:dxf>
          </x14:cfRule>
          <xm:sqref>O56</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5" tint="0.39997558519241921"/>
  </sheetPr>
  <dimension ref="A1:AJ92"/>
  <sheetViews>
    <sheetView showGridLines="0" showZeros="0" zoomScaleNormal="100" zoomScaleSheetLayoutView="100" workbookViewId="0">
      <pane ySplit="6" topLeftCell="A7" activePane="bottomLeft" state="frozen"/>
      <selection activeCell="E77" sqref="E77:F77"/>
      <selection pane="bottomLeft" activeCell="E6" sqref="E6:G6"/>
    </sheetView>
  </sheetViews>
  <sheetFormatPr baseColWidth="10" defaultColWidth="9.25" defaultRowHeight="12.9" outlineLevelCol="1" x14ac:dyDescent="0.2"/>
  <cols>
    <col min="1" max="1" width="4" style="562" customWidth="1"/>
    <col min="2" max="2" width="9.125" style="562" customWidth="1"/>
    <col min="3" max="3" width="2.625" style="562" customWidth="1"/>
    <col min="4" max="4" width="4.875" style="562" customWidth="1"/>
    <col min="5" max="5" width="9.75" style="561" customWidth="1"/>
    <col min="6" max="6" width="7.75" style="561" customWidth="1"/>
    <col min="7" max="7" width="10.125" style="561" customWidth="1"/>
    <col min="8" max="9" width="6.375" style="561" customWidth="1"/>
    <col min="10" max="10" width="7" style="561" customWidth="1"/>
    <col min="11" max="12" width="2.625" style="561" customWidth="1"/>
    <col min="13" max="13" width="9.75" style="561" customWidth="1"/>
    <col min="14" max="14" width="7.75" style="561" customWidth="1"/>
    <col min="15" max="15" width="2.625" style="561" customWidth="1"/>
    <col min="16" max="16" width="3.75" style="561" customWidth="1"/>
    <col min="17" max="17" width="2.625" style="561" customWidth="1"/>
    <col min="18" max="18" width="7.75" style="561" customWidth="1"/>
    <col min="19" max="19" width="6.75" style="561" customWidth="1"/>
    <col min="20" max="20" width="2.625" style="561" customWidth="1"/>
    <col min="21" max="21" width="6.75" style="561" customWidth="1"/>
    <col min="22" max="22" width="7.75" style="561" customWidth="1"/>
    <col min="23" max="26" width="9.25" style="561" customWidth="1"/>
    <col min="27" max="28" width="9.25" style="561"/>
    <col min="29" max="35" width="9.25" style="561" hidden="1" customWidth="1" outlineLevel="1"/>
    <col min="36" max="36" width="9.25" style="561" collapsed="1"/>
    <col min="37" max="16384" width="9.25" style="561"/>
  </cols>
  <sheetData>
    <row r="1" spans="1:32" ht="56.25" customHeight="1" x14ac:dyDescent="0.2">
      <c r="A1" s="561"/>
      <c r="B1" s="561"/>
      <c r="C1" s="561"/>
      <c r="E1" s="563"/>
      <c r="F1" s="563"/>
      <c r="G1" s="563"/>
      <c r="H1" s="563"/>
      <c r="I1" s="563"/>
      <c r="J1" s="563"/>
      <c r="K1" s="563"/>
      <c r="L1" s="563"/>
      <c r="M1" s="563"/>
      <c r="N1" s="563"/>
      <c r="O1" s="564"/>
      <c r="P1" s="564"/>
      <c r="Q1" s="564"/>
      <c r="R1" s="564"/>
      <c r="S1" s="564"/>
      <c r="T1" s="564"/>
      <c r="U1" s="564"/>
      <c r="V1" s="564"/>
    </row>
    <row r="2" spans="1:32" ht="13.6" customHeight="1" x14ac:dyDescent="0.25">
      <c r="A2" s="1104" t="str">
        <f>CONCATENATE("Variantenvergleich Energiesysteme - Version ",Versionsinfo!$B$4)</f>
        <v>Variantenvergleich Energiesysteme - Version 2.2</v>
      </c>
      <c r="B2" s="561"/>
      <c r="C2" s="561"/>
      <c r="D2" s="563"/>
      <c r="E2" s="563"/>
      <c r="F2" s="563"/>
      <c r="G2" s="563"/>
      <c r="H2" s="1535"/>
      <c r="I2" s="1536" t="s">
        <v>684</v>
      </c>
      <c r="J2" s="564"/>
      <c r="K2" s="564"/>
      <c r="L2" s="564"/>
      <c r="M2" s="565"/>
      <c r="N2" s="566"/>
      <c r="O2" s="564"/>
      <c r="P2" s="564"/>
      <c r="Q2" s="564"/>
      <c r="R2" s="564"/>
      <c r="S2" s="564"/>
      <c r="T2" s="564"/>
      <c r="U2" s="564"/>
      <c r="V2" s="564"/>
    </row>
    <row r="3" spans="1:32" ht="12.75" customHeight="1" x14ac:dyDescent="0.2">
      <c r="A3" s="567" t="s">
        <v>178</v>
      </c>
      <c r="B3" s="561"/>
      <c r="C3" s="561"/>
      <c r="D3" s="561"/>
    </row>
    <row r="4" spans="1:32" ht="18" customHeight="1" x14ac:dyDescent="0.2">
      <c r="A4" s="568"/>
      <c r="B4" s="561"/>
      <c r="C4" s="561"/>
      <c r="D4" s="561"/>
    </row>
    <row r="5" spans="1:32" s="571" customFormat="1" ht="19.55" customHeight="1" x14ac:dyDescent="0.2">
      <c r="A5" s="569" t="s">
        <v>44</v>
      </c>
      <c r="B5" s="570"/>
      <c r="C5" s="570"/>
      <c r="D5" s="570"/>
      <c r="H5" s="572">
        <f>Projektdaten!$C$8</f>
        <v>0</v>
      </c>
      <c r="I5" s="572"/>
      <c r="J5" s="1309"/>
      <c r="K5" s="1309"/>
      <c r="L5" s="1309"/>
      <c r="M5" s="1309"/>
      <c r="N5" s="1309"/>
      <c r="O5" s="1309"/>
      <c r="P5" s="1309"/>
      <c r="Q5" s="1309"/>
      <c r="R5" s="1309"/>
      <c r="S5" s="1309"/>
      <c r="T5" s="1309"/>
      <c r="U5" s="1310">
        <f>Projektdaten!$I$8</f>
        <v>0</v>
      </c>
      <c r="W5" s="2423" t="s">
        <v>192</v>
      </c>
      <c r="X5" s="2423"/>
      <c r="Y5" s="2423"/>
      <c r="Z5" s="2423"/>
      <c r="AA5" s="2423"/>
      <c r="AB5" s="2423"/>
    </row>
    <row r="6" spans="1:32" ht="16.5" customHeight="1" x14ac:dyDescent="0.2">
      <c r="A6" s="573" t="s">
        <v>21</v>
      </c>
      <c r="B6" s="574"/>
      <c r="C6" s="574"/>
      <c r="D6" s="574"/>
      <c r="E6" s="2424"/>
      <c r="F6" s="2424"/>
      <c r="G6" s="2424"/>
      <c r="H6" s="575"/>
      <c r="I6" s="575"/>
      <c r="J6" s="2403"/>
      <c r="K6" s="2404"/>
      <c r="L6" s="2404"/>
      <c r="M6" s="2404"/>
      <c r="N6" s="2404"/>
      <c r="O6" s="2404"/>
      <c r="P6" s="2404"/>
      <c r="Q6" s="2404"/>
      <c r="R6" s="2404"/>
      <c r="S6" s="2404"/>
      <c r="T6" s="2404"/>
      <c r="U6" s="576"/>
    </row>
    <row r="7" spans="1:32" s="578" customFormat="1" ht="18" customHeight="1" x14ac:dyDescent="0.2">
      <c r="A7" s="577"/>
      <c r="B7" s="577"/>
      <c r="C7" s="577"/>
      <c r="D7" s="577"/>
    </row>
    <row r="8" spans="1:32" s="578" customFormat="1" ht="12.75" customHeight="1" x14ac:dyDescent="0.2">
      <c r="A8" s="577"/>
      <c r="B8" s="577"/>
      <c r="C8" s="577"/>
      <c r="D8" s="577"/>
      <c r="E8" s="580" t="s">
        <v>147</v>
      </c>
      <c r="G8" s="2425" t="s">
        <v>236</v>
      </c>
      <c r="H8" s="2425"/>
      <c r="I8" s="2425"/>
      <c r="J8" s="2425"/>
      <c r="M8" s="580" t="s">
        <v>148</v>
      </c>
    </row>
    <row r="9" spans="1:32" s="578" customFormat="1" ht="5.95" customHeight="1" x14ac:dyDescent="0.2">
      <c r="A9" s="581"/>
      <c r="B9" s="577"/>
      <c r="C9" s="577"/>
      <c r="D9" s="577"/>
      <c r="E9" s="582"/>
      <c r="G9" s="582"/>
      <c r="H9" s="582"/>
      <c r="I9" s="582"/>
      <c r="J9" s="582"/>
      <c r="M9" s="582"/>
      <c r="N9" s="583"/>
      <c r="O9" s="592"/>
      <c r="Q9" s="577"/>
      <c r="R9" s="577"/>
    </row>
    <row r="10" spans="1:32" s="578" customFormat="1" ht="12.75" customHeight="1" x14ac:dyDescent="0.2">
      <c r="A10" s="1099" t="s">
        <v>46</v>
      </c>
      <c r="B10" s="584"/>
      <c r="C10" s="584"/>
      <c r="D10" s="584"/>
      <c r="E10" s="585">
        <f>M10</f>
        <v>0</v>
      </c>
      <c r="F10" s="586" t="s">
        <v>5</v>
      </c>
      <c r="G10" s="587"/>
      <c r="H10" s="1100" t="s">
        <v>294</v>
      </c>
      <c r="I10" s="588"/>
      <c r="J10" s="589" t="s">
        <v>62</v>
      </c>
      <c r="K10" s="590"/>
      <c r="L10" s="590"/>
      <c r="M10" s="591"/>
      <c r="N10" s="590" t="s">
        <v>5</v>
      </c>
      <c r="O10" s="594"/>
      <c r="P10" s="583"/>
      <c r="Q10" s="583"/>
      <c r="R10" s="583"/>
      <c r="S10" s="583"/>
      <c r="T10" s="583"/>
      <c r="U10" s="583"/>
    </row>
    <row r="11" spans="1:32" s="578" customFormat="1" ht="12.75" customHeight="1" x14ac:dyDescent="0.2">
      <c r="A11" s="593"/>
      <c r="B11" s="593"/>
      <c r="C11" s="593"/>
      <c r="D11" s="593"/>
      <c r="E11" s="582"/>
      <c r="F11" s="583"/>
      <c r="G11" s="582"/>
      <c r="H11" s="582"/>
      <c r="I11" s="582"/>
      <c r="J11" s="582"/>
      <c r="K11" s="583"/>
      <c r="L11" s="583"/>
      <c r="M11" s="582"/>
      <c r="N11" s="583"/>
      <c r="O11" s="594"/>
      <c r="P11" s="583"/>
      <c r="Q11" s="583"/>
      <c r="R11" s="583"/>
      <c r="S11" s="583"/>
      <c r="T11" s="583"/>
      <c r="U11" s="583"/>
      <c r="AC11" s="621" t="s">
        <v>515</v>
      </c>
      <c r="AD11" s="622"/>
      <c r="AE11" s="622"/>
      <c r="AF11" s="623"/>
    </row>
    <row r="12" spans="1:32" s="578" customFormat="1" ht="12.75" customHeight="1" x14ac:dyDescent="0.2">
      <c r="A12" s="1538" t="str">
        <f>Grunddaten!C55</f>
        <v>Wärmeverbund XY</v>
      </c>
      <c r="B12" s="584"/>
      <c r="C12" s="584"/>
      <c r="D12" s="584"/>
      <c r="E12" s="585">
        <f>M12</f>
        <v>0</v>
      </c>
      <c r="F12" s="586" t="s">
        <v>5</v>
      </c>
      <c r="G12" s="587"/>
      <c r="H12" s="1100" t="s">
        <v>294</v>
      </c>
      <c r="I12" s="588"/>
      <c r="J12" s="589" t="s">
        <v>62</v>
      </c>
      <c r="K12" s="590"/>
      <c r="L12" s="590"/>
      <c r="M12" s="591"/>
      <c r="N12" s="590" t="s">
        <v>5</v>
      </c>
      <c r="O12" s="594"/>
      <c r="P12" s="583"/>
      <c r="Q12" s="583"/>
      <c r="R12" s="583"/>
      <c r="S12" s="583"/>
      <c r="T12" s="583"/>
      <c r="U12" s="583"/>
      <c r="AC12" s="625" t="s">
        <v>78</v>
      </c>
      <c r="AD12" s="626"/>
      <c r="AE12" s="626"/>
      <c r="AF12" s="627"/>
    </row>
    <row r="13" spans="1:32" s="578" customFormat="1" ht="12.75" customHeight="1" thickBot="1" x14ac:dyDescent="0.25">
      <c r="A13" s="593"/>
      <c r="B13" s="593"/>
      <c r="C13" s="593"/>
      <c r="D13" s="593"/>
      <c r="E13" s="582"/>
      <c r="F13" s="583"/>
      <c r="G13" s="582"/>
      <c r="H13" s="582"/>
      <c r="I13" s="582"/>
      <c r="J13" s="582"/>
      <c r="K13" s="583"/>
      <c r="L13" s="583"/>
      <c r="M13" s="582"/>
      <c r="N13" s="583"/>
      <c r="O13" s="594"/>
      <c r="P13" s="583"/>
      <c r="Q13" s="583"/>
      <c r="R13" s="583"/>
      <c r="S13" s="583"/>
      <c r="T13" s="583"/>
      <c r="U13" s="583"/>
      <c r="AC13" s="625" t="s">
        <v>79</v>
      </c>
      <c r="AD13" s="626"/>
      <c r="AE13" s="626"/>
      <c r="AF13" s="627"/>
    </row>
    <row r="14" spans="1:32" s="578" customFormat="1" ht="12.75" customHeight="1" x14ac:dyDescent="0.2">
      <c r="A14" s="593"/>
      <c r="B14" s="593"/>
      <c r="C14" s="593"/>
      <c r="D14" s="593"/>
      <c r="E14" s="582"/>
      <c r="F14" s="583"/>
      <c r="G14" s="2420" t="s">
        <v>83</v>
      </c>
      <c r="H14" s="2421"/>
      <c r="I14" s="2421"/>
      <c r="J14" s="2422"/>
      <c r="K14" s="834"/>
      <c r="L14" s="834"/>
      <c r="M14" s="582"/>
      <c r="N14" s="583"/>
      <c r="O14" s="594"/>
      <c r="P14" s="2411" t="s">
        <v>602</v>
      </c>
      <c r="Q14" s="2412"/>
      <c r="R14" s="583"/>
      <c r="S14" s="2420" t="s">
        <v>77</v>
      </c>
      <c r="T14" s="2421"/>
      <c r="U14" s="2422"/>
      <c r="AC14" s="625" t="s">
        <v>80</v>
      </c>
      <c r="AD14" s="626"/>
      <c r="AE14" s="626"/>
      <c r="AF14" s="627"/>
    </row>
    <row r="15" spans="1:32" s="578" customFormat="1" ht="12.75" customHeight="1" x14ac:dyDescent="0.3">
      <c r="A15" s="585" t="s">
        <v>87</v>
      </c>
      <c r="B15" s="585"/>
      <c r="C15" s="585"/>
      <c r="D15" s="585"/>
      <c r="E15" s="585"/>
      <c r="F15" s="595"/>
      <c r="G15" s="596" t="s">
        <v>84</v>
      </c>
      <c r="H15" s="2409"/>
      <c r="I15" s="2383"/>
      <c r="J15" s="597" t="s">
        <v>86</v>
      </c>
      <c r="K15" s="585"/>
      <c r="L15" s="585"/>
      <c r="M15" s="585">
        <f>H15*IF(ISBLANK(I16),H16,I16)</f>
        <v>0</v>
      </c>
      <c r="N15" s="590" t="s">
        <v>5</v>
      </c>
      <c r="O15" s="594"/>
      <c r="P15" s="2413" t="s">
        <v>601</v>
      </c>
      <c r="Q15" s="2414"/>
      <c r="R15" s="583"/>
      <c r="S15" s="2426"/>
      <c r="T15" s="2427"/>
      <c r="U15" s="2428"/>
      <c r="AC15" s="625" t="s">
        <v>89</v>
      </c>
      <c r="AD15" s="626"/>
      <c r="AE15" s="626"/>
      <c r="AF15" s="627"/>
    </row>
    <row r="16" spans="1:32" s="578" customFormat="1" ht="12.75" customHeight="1" thickBot="1" x14ac:dyDescent="0.35">
      <c r="A16" s="593"/>
      <c r="B16" s="593"/>
      <c r="C16" s="593"/>
      <c r="D16" s="593"/>
      <c r="E16" s="598"/>
      <c r="F16" s="583"/>
      <c r="G16" s="599" t="s">
        <v>85</v>
      </c>
      <c r="H16" s="668">
        <f>IF(ISBLANK(H15),0,Grunddaten!H122)</f>
        <v>0</v>
      </c>
      <c r="I16" s="601"/>
      <c r="J16" s="602" t="s">
        <v>88</v>
      </c>
      <c r="K16" s="603"/>
      <c r="L16" s="603"/>
      <c r="M16" s="598"/>
      <c r="N16" s="583"/>
      <c r="O16" s="604"/>
      <c r="P16" s="2410"/>
      <c r="Q16" s="2410"/>
      <c r="R16" s="595"/>
      <c r="S16" s="2429"/>
      <c r="T16" s="2430"/>
      <c r="U16" s="2431"/>
      <c r="AC16" s="630" t="str">
        <f>Grunddaten!$C$55</f>
        <v>Wärmeverbund XY</v>
      </c>
      <c r="AD16" s="631"/>
      <c r="AE16" s="631"/>
      <c r="AF16" s="632"/>
    </row>
    <row r="17" spans="1:32" s="578" customFormat="1" ht="12.75" customHeight="1" thickBot="1" x14ac:dyDescent="0.25">
      <c r="A17" s="593"/>
      <c r="B17" s="593"/>
      <c r="C17" s="593"/>
      <c r="D17" s="593"/>
      <c r="E17" s="582"/>
      <c r="F17" s="583"/>
      <c r="G17" s="582"/>
      <c r="H17" s="582"/>
      <c r="I17" s="582"/>
      <c r="J17" s="582"/>
      <c r="K17" s="583"/>
      <c r="L17" s="583"/>
      <c r="M17" s="582"/>
      <c r="N17" s="583"/>
      <c r="O17" s="594"/>
      <c r="P17" s="2373" t="s">
        <v>641</v>
      </c>
      <c r="Q17" s="2374"/>
      <c r="R17" s="583"/>
      <c r="S17" s="1341" t="s">
        <v>81</v>
      </c>
      <c r="T17" s="606"/>
      <c r="U17" s="607"/>
    </row>
    <row r="18" spans="1:32" s="578" customFormat="1" ht="12.75" customHeight="1" x14ac:dyDescent="0.2">
      <c r="A18" s="593"/>
      <c r="B18" s="593"/>
      <c r="C18" s="593"/>
      <c r="D18" s="593"/>
      <c r="E18" s="582"/>
      <c r="F18" s="583"/>
      <c r="G18" s="2420" t="s">
        <v>58</v>
      </c>
      <c r="H18" s="2421"/>
      <c r="I18" s="2421"/>
      <c r="J18" s="2422"/>
      <c r="K18" s="834"/>
      <c r="L18" s="834"/>
      <c r="M18" s="582"/>
      <c r="N18" s="583"/>
      <c r="O18" s="594"/>
      <c r="P18" s="923"/>
      <c r="Q18" s="923"/>
      <c r="R18" s="583"/>
      <c r="S18" s="2387">
        <f>Projektdaten!I36</f>
        <v>0</v>
      </c>
      <c r="T18" s="2388"/>
      <c r="U18" s="1340" t="s">
        <v>5</v>
      </c>
      <c r="W18" s="1335"/>
      <c r="X18" s="990"/>
      <c r="AC18" s="621" t="s">
        <v>514</v>
      </c>
      <c r="AD18" s="622"/>
      <c r="AE18" s="622"/>
      <c r="AF18" s="623"/>
    </row>
    <row r="19" spans="1:32" s="578" customFormat="1" ht="12.75" customHeight="1" x14ac:dyDescent="0.2">
      <c r="A19" s="2397"/>
      <c r="B19" s="2397"/>
      <c r="C19" s="1101"/>
      <c r="D19" s="1095">
        <v>1</v>
      </c>
      <c r="E19" s="925">
        <f>IF(M19,M19/IF(ISBLANK(J20),I20,J20)*IF(D19,D19,1),0)</f>
        <v>0</v>
      </c>
      <c r="F19" s="930" t="s">
        <v>5</v>
      </c>
      <c r="G19" s="596" t="s">
        <v>61</v>
      </c>
      <c r="H19" s="2383"/>
      <c r="I19" s="2383"/>
      <c r="J19" s="610" t="s">
        <v>62</v>
      </c>
      <c r="K19" s="585"/>
      <c r="L19" s="585"/>
      <c r="M19" s="591"/>
      <c r="N19" s="590" t="s">
        <v>5</v>
      </c>
      <c r="O19" s="594"/>
      <c r="P19" s="923"/>
      <c r="Q19" s="923"/>
      <c r="R19" s="583"/>
      <c r="S19" s="1336" t="s">
        <v>600</v>
      </c>
      <c r="T19" s="1337"/>
      <c r="U19" s="1338"/>
      <c r="AC19" s="625" t="s">
        <v>46</v>
      </c>
      <c r="AD19" s="626"/>
      <c r="AE19" s="626"/>
      <c r="AF19" s="627"/>
    </row>
    <row r="20" spans="1:32" s="578" customFormat="1" ht="12.75" customHeight="1" thickBot="1" x14ac:dyDescent="0.25">
      <c r="A20" s="2400" t="str">
        <f>IF(AND(A19="Biogas",D19&lt;1),"Erdgas","")</f>
        <v/>
      </c>
      <c r="B20" s="2400"/>
      <c r="C20" s="1096"/>
      <c r="D20" s="1096">
        <f>IF(A19="Biogas",IF(D19,1-D19,0),0)</f>
        <v>0</v>
      </c>
      <c r="E20" s="949">
        <f>IF(AND(A19="Biogas",D19&lt;1),M19/IF(ISBLANK(J20),I20,J20)*D20,0)</f>
        <v>0</v>
      </c>
      <c r="F20" s="923"/>
      <c r="G20" s="611"/>
      <c r="H20" s="612" t="s">
        <v>57</v>
      </c>
      <c r="I20" s="600">
        <f>IF(ISBLANK(H19),0,IFERROR(HLOOKUP(A19,Grunddaten!H121:Y125,4,FALSE),Grunddaten!H124))</f>
        <v>0</v>
      </c>
      <c r="J20" s="613"/>
      <c r="K20" s="603"/>
      <c r="L20" s="603"/>
      <c r="M20" s="598"/>
      <c r="N20" s="583"/>
      <c r="O20" s="594"/>
      <c r="P20" s="923"/>
      <c r="Q20" s="923"/>
      <c r="R20" s="583"/>
      <c r="S20" s="2389">
        <f>S18*(1+P16)</f>
        <v>0</v>
      </c>
      <c r="T20" s="2390"/>
      <c r="U20" s="946" t="s">
        <v>5</v>
      </c>
      <c r="AC20" s="630" t="s">
        <v>516</v>
      </c>
      <c r="AD20" s="631"/>
      <c r="AE20" s="631"/>
      <c r="AF20" s="632"/>
    </row>
    <row r="21" spans="1:32" s="578" customFormat="1" ht="12.75" customHeight="1" thickBot="1" x14ac:dyDescent="0.25">
      <c r="A21" s="593"/>
      <c r="B21" s="593"/>
      <c r="C21" s="593"/>
      <c r="D21" s="593"/>
      <c r="E21" s="582"/>
      <c r="F21" s="583"/>
      <c r="G21" s="582"/>
      <c r="H21" s="582"/>
      <c r="I21" s="582"/>
      <c r="J21" s="582"/>
      <c r="K21" s="583"/>
      <c r="L21" s="583"/>
      <c r="M21" s="582"/>
      <c r="N21" s="583"/>
      <c r="O21" s="594"/>
      <c r="P21" s="923"/>
      <c r="Q21" s="923"/>
      <c r="R21" s="583"/>
      <c r="S21" s="583"/>
      <c r="T21" s="614"/>
      <c r="U21" s="583"/>
      <c r="W21" s="609"/>
      <c r="AC21" s="626"/>
      <c r="AD21" s="626"/>
      <c r="AE21" s="626"/>
      <c r="AF21" s="626"/>
    </row>
    <row r="22" spans="1:32" s="578" customFormat="1" ht="12.75" customHeight="1" x14ac:dyDescent="0.2">
      <c r="A22" s="593"/>
      <c r="B22" s="593"/>
      <c r="C22" s="593"/>
      <c r="D22" s="593"/>
      <c r="E22" s="582"/>
      <c r="F22" s="583"/>
      <c r="G22" s="2420" t="s">
        <v>59</v>
      </c>
      <c r="H22" s="2421"/>
      <c r="I22" s="2421"/>
      <c r="J22" s="2422"/>
      <c r="K22" s="834"/>
      <c r="L22" s="834"/>
      <c r="M22" s="582"/>
      <c r="N22" s="583"/>
      <c r="O22" s="594"/>
      <c r="P22" s="923"/>
      <c r="Q22" s="923"/>
      <c r="R22" s="583"/>
      <c r="S22" s="583"/>
      <c r="T22" s="583"/>
      <c r="U22" s="583"/>
      <c r="W22" s="609"/>
      <c r="AC22" s="957" t="s">
        <v>589</v>
      </c>
      <c r="AD22" s="958"/>
      <c r="AE22" s="958"/>
      <c r="AF22" s="959"/>
    </row>
    <row r="23" spans="1:32" s="578" customFormat="1" ht="12.75" customHeight="1" x14ac:dyDescent="0.2">
      <c r="A23" s="2397"/>
      <c r="B23" s="2397"/>
      <c r="C23" s="1101"/>
      <c r="D23" s="1095">
        <v>1</v>
      </c>
      <c r="E23" s="925">
        <f>IF(M23,M23/IF(ISBLANK(J24),I24,J24)*IF(D23,D23,1),0)</f>
        <v>0</v>
      </c>
      <c r="F23" s="930" t="s">
        <v>5</v>
      </c>
      <c r="G23" s="596" t="s">
        <v>61</v>
      </c>
      <c r="H23" s="2383"/>
      <c r="I23" s="2383"/>
      <c r="J23" s="610" t="s">
        <v>62</v>
      </c>
      <c r="K23" s="585"/>
      <c r="L23" s="585"/>
      <c r="M23" s="591"/>
      <c r="N23" s="590" t="s">
        <v>5</v>
      </c>
      <c r="O23" s="594"/>
      <c r="P23" s="923"/>
      <c r="Q23" s="923"/>
      <c r="R23" s="583"/>
      <c r="S23" s="583"/>
      <c r="T23" s="583"/>
      <c r="U23" s="583"/>
      <c r="W23" s="615"/>
      <c r="AC23" s="961" t="str">
        <f>G26</f>
        <v>Gasmotorwärmepumpe</v>
      </c>
      <c r="AD23" s="962"/>
      <c r="AE23" s="962"/>
      <c r="AF23" s="1290">
        <f>ROUND(IF(E26=0,0,H27*(1-1/IF(ISBLANK(J28),I28,J28))),0)</f>
        <v>0</v>
      </c>
    </row>
    <row r="24" spans="1:32" s="578" customFormat="1" ht="12.75" customHeight="1" thickBot="1" x14ac:dyDescent="0.25">
      <c r="A24" s="2400" t="str">
        <f>IF(AND(A23="Biogas",D23&lt;1),"Erdgas","")</f>
        <v/>
      </c>
      <c r="B24" s="2400"/>
      <c r="C24" s="1096"/>
      <c r="D24" s="1096">
        <f>IF(A23="Biogas",IF(D23,1-D23,0),0)</f>
        <v>0</v>
      </c>
      <c r="E24" s="949">
        <f>IF(AND(A23="Biogas",D23&lt;1),M23/IF(ISBLANK(J24),I24,J24)*D24,0)</f>
        <v>0</v>
      </c>
      <c r="F24" s="923"/>
      <c r="G24" s="611"/>
      <c r="H24" s="612" t="s">
        <v>57</v>
      </c>
      <c r="I24" s="600">
        <f>IF(ISBLANK(H23),0,IFERROR(HLOOKUP(A23,Grunddaten!H121:Y125,4,FALSE),Grunddaten!H124))</f>
        <v>0</v>
      </c>
      <c r="J24" s="613"/>
      <c r="K24" s="603"/>
      <c r="L24" s="603"/>
      <c r="M24" s="598"/>
      <c r="N24" s="583"/>
      <c r="O24" s="594"/>
      <c r="P24" s="923"/>
      <c r="Q24" s="923"/>
      <c r="R24" s="583"/>
      <c r="S24" s="583"/>
      <c r="T24" s="583"/>
      <c r="U24" s="583"/>
      <c r="AC24" s="961" t="str">
        <f>G31</f>
        <v>Wärmepumpe 1</v>
      </c>
      <c r="AD24" s="962"/>
      <c r="AE24" s="962"/>
      <c r="AF24" s="1290">
        <f>ROUND(IF(E31=0,0,H32*(1-1/IF(ISBLANK(J33),I33,J33))),0)</f>
        <v>0</v>
      </c>
    </row>
    <row r="25" spans="1:32" s="578" customFormat="1" ht="12.75" customHeight="1" thickBot="1" x14ac:dyDescent="0.25">
      <c r="A25" s="616"/>
      <c r="B25" s="616"/>
      <c r="C25" s="617"/>
      <c r="D25" s="617"/>
      <c r="E25" s="618"/>
      <c r="F25" s="583"/>
      <c r="G25" s="582"/>
      <c r="H25" s="582"/>
      <c r="I25" s="582"/>
      <c r="J25" s="582"/>
      <c r="K25" s="603"/>
      <c r="L25" s="603"/>
      <c r="M25" s="598"/>
      <c r="N25" s="583"/>
      <c r="O25" s="594"/>
      <c r="P25" s="923"/>
      <c r="Q25" s="923"/>
      <c r="R25" s="583"/>
      <c r="S25" s="583"/>
      <c r="T25" s="583"/>
      <c r="U25" s="583"/>
      <c r="AC25" s="967" t="str">
        <f>G35</f>
        <v>Wärmepumpe 2</v>
      </c>
      <c r="AD25" s="968"/>
      <c r="AE25" s="968"/>
      <c r="AF25" s="1291">
        <f>ROUND(IF(E35=0,0,H36*(1-1/IF(ISBLANK(J37),I37,J37))),0)</f>
        <v>0</v>
      </c>
    </row>
    <row r="26" spans="1:32" s="578" customFormat="1" ht="12.75" customHeight="1" x14ac:dyDescent="0.2">
      <c r="A26" s="2397"/>
      <c r="B26" s="2397"/>
      <c r="C26" s="619"/>
      <c r="D26" s="619"/>
      <c r="E26" s="620">
        <f>M27-E28-E29</f>
        <v>0</v>
      </c>
      <c r="F26" s="590" t="s">
        <v>5</v>
      </c>
      <c r="G26" s="2420" t="s">
        <v>304</v>
      </c>
      <c r="H26" s="2421"/>
      <c r="I26" s="2421"/>
      <c r="J26" s="2422"/>
      <c r="K26" s="603"/>
      <c r="L26" s="603"/>
      <c r="M26" s="598"/>
      <c r="N26" s="583"/>
      <c r="O26" s="594"/>
      <c r="P26" s="923"/>
      <c r="Q26" s="923"/>
      <c r="R26" s="583"/>
      <c r="S26" s="583"/>
      <c r="T26" s="583"/>
      <c r="U26" s="583"/>
    </row>
    <row r="27" spans="1:32" s="578" customFormat="1" ht="12.75" customHeight="1" x14ac:dyDescent="0.2">
      <c r="A27" s="616"/>
      <c r="B27" s="616"/>
      <c r="C27" s="617"/>
      <c r="D27" s="617"/>
      <c r="E27" s="618"/>
      <c r="F27" s="583"/>
      <c r="G27" s="596" t="s">
        <v>61</v>
      </c>
      <c r="H27" s="2383"/>
      <c r="I27" s="2383"/>
      <c r="J27" s="610" t="s">
        <v>62</v>
      </c>
      <c r="K27" s="585"/>
      <c r="L27" s="585"/>
      <c r="M27" s="591"/>
      <c r="N27" s="590" t="s">
        <v>5</v>
      </c>
      <c r="O27" s="594"/>
      <c r="P27" s="923"/>
      <c r="Q27" s="923"/>
      <c r="R27" s="583"/>
      <c r="S27" s="583"/>
      <c r="T27" s="583"/>
      <c r="U27" s="583"/>
      <c r="AC27" s="957" t="s">
        <v>591</v>
      </c>
      <c r="AD27" s="958"/>
      <c r="AE27" s="958"/>
      <c r="AF27" s="959"/>
    </row>
    <row r="28" spans="1:32" s="578" customFormat="1" ht="12.75" customHeight="1" thickBot="1" x14ac:dyDescent="0.25">
      <c r="A28" s="2397"/>
      <c r="B28" s="2397"/>
      <c r="C28" s="1101"/>
      <c r="D28" s="1095">
        <v>1</v>
      </c>
      <c r="E28" s="925">
        <f>IF(M27,M27/IF(ISBLANK(J28),I28,J28)*IF(D28,D28,1),0)</f>
        <v>0</v>
      </c>
      <c r="F28" s="930" t="s">
        <v>5</v>
      </c>
      <c r="G28" s="611"/>
      <c r="H28" s="612" t="s">
        <v>76</v>
      </c>
      <c r="I28" s="600">
        <f>IF(ISBLANK(H27),0,IFERROR(HLOOKUP(A26,Grunddaten!H126:Y130,2,FALSE),Grunddaten!H127))</f>
        <v>0</v>
      </c>
      <c r="J28" s="613"/>
      <c r="K28" s="583"/>
      <c r="L28" s="583"/>
      <c r="M28" s="582"/>
      <c r="N28" s="583"/>
      <c r="O28" s="594"/>
      <c r="P28" s="923"/>
      <c r="Q28" s="923"/>
      <c r="R28" s="583"/>
      <c r="T28" s="758"/>
      <c r="U28" s="758"/>
      <c r="V28" s="644"/>
      <c r="AC28" s="961" t="s">
        <v>611</v>
      </c>
      <c r="AD28" s="962"/>
      <c r="AE28" s="962"/>
      <c r="AF28" s="1290">
        <f>I10</f>
        <v>0</v>
      </c>
    </row>
    <row r="29" spans="1:32" s="578" customFormat="1" ht="12.75" customHeight="1" x14ac:dyDescent="0.2">
      <c r="A29" s="2400" t="str">
        <f>IF(AND(A28="Biogas",D28&lt;1),"Erdgas","")</f>
        <v/>
      </c>
      <c r="B29" s="2400"/>
      <c r="C29" s="1096"/>
      <c r="D29" s="1096">
        <f>IF(A28="Biogas",IF(D28,1-D28,0),0)</f>
        <v>0</v>
      </c>
      <c r="E29" s="949">
        <f>IF(AND(A28="Biogas",D28&lt;1),M27/IF(ISBLANK(J28),I28,J28)*D29,0)</f>
        <v>0</v>
      </c>
      <c r="F29" s="923"/>
      <c r="G29" s="582"/>
      <c r="H29" s="582"/>
      <c r="I29" s="582"/>
      <c r="J29" s="582"/>
      <c r="K29" s="583"/>
      <c r="L29" s="583"/>
      <c r="M29" s="582"/>
      <c r="N29" s="583"/>
      <c r="O29" s="594"/>
      <c r="P29" s="2411" t="s">
        <v>602</v>
      </c>
      <c r="Q29" s="2415"/>
      <c r="R29" s="583"/>
      <c r="S29" s="2420" t="s">
        <v>603</v>
      </c>
      <c r="T29" s="2421"/>
      <c r="U29" s="2422"/>
      <c r="AC29" s="967" t="s">
        <v>305</v>
      </c>
      <c r="AD29" s="968"/>
      <c r="AE29" s="968"/>
      <c r="AF29" s="1291">
        <f>IF(AND(H40&gt;0,A41=AC19),H40/IF(J41,J41,I41),0)</f>
        <v>0</v>
      </c>
    </row>
    <row r="30" spans="1:32" s="578" customFormat="1" ht="12.75" customHeight="1" thickBot="1" x14ac:dyDescent="0.25">
      <c r="A30" s="616"/>
      <c r="B30" s="616"/>
      <c r="C30" s="617"/>
      <c r="D30" s="617"/>
      <c r="E30" s="618"/>
      <c r="F30" s="583"/>
      <c r="G30" s="582"/>
      <c r="H30" s="582"/>
      <c r="I30" s="582"/>
      <c r="J30" s="582"/>
      <c r="K30" s="583"/>
      <c r="L30" s="583"/>
      <c r="M30" s="582"/>
      <c r="N30" s="583"/>
      <c r="O30" s="594"/>
      <c r="P30" s="2413" t="s">
        <v>601</v>
      </c>
      <c r="Q30" s="2414"/>
      <c r="R30" s="583"/>
      <c r="S30" s="2426"/>
      <c r="T30" s="2427"/>
      <c r="U30" s="2428"/>
      <c r="AC30" s="967" t="s">
        <v>592</v>
      </c>
      <c r="AD30" s="968"/>
      <c r="AE30" s="968"/>
      <c r="AF30" s="1291">
        <f>ROUNDUP(SUM(AF28:AF29),-1)</f>
        <v>0</v>
      </c>
    </row>
    <row r="31" spans="1:32" s="578" customFormat="1" ht="12.75" customHeight="1" x14ac:dyDescent="0.2">
      <c r="A31" s="2397"/>
      <c r="B31" s="2397"/>
      <c r="C31" s="619"/>
      <c r="D31" s="619"/>
      <c r="E31" s="620">
        <f>M32-E33</f>
        <v>0</v>
      </c>
      <c r="F31" s="590" t="s">
        <v>5</v>
      </c>
      <c r="G31" s="2420" t="s">
        <v>75</v>
      </c>
      <c r="H31" s="2421"/>
      <c r="I31" s="2421"/>
      <c r="J31" s="2422"/>
      <c r="K31" s="834"/>
      <c r="L31" s="834"/>
      <c r="M31" s="582"/>
      <c r="N31" s="583"/>
      <c r="O31" s="604"/>
      <c r="P31" s="2410"/>
      <c r="Q31" s="2410"/>
      <c r="R31" s="595"/>
      <c r="S31" s="2429"/>
      <c r="T31" s="2430"/>
      <c r="U31" s="2431"/>
    </row>
    <row r="32" spans="1:32" s="578" customFormat="1" ht="12.75" customHeight="1" x14ac:dyDescent="0.2">
      <c r="A32" s="593"/>
      <c r="B32" s="593"/>
      <c r="C32" s="593"/>
      <c r="D32" s="593"/>
      <c r="E32" s="624"/>
      <c r="F32" s="583"/>
      <c r="G32" s="596" t="s">
        <v>61</v>
      </c>
      <c r="H32" s="2383"/>
      <c r="I32" s="2383"/>
      <c r="J32" s="610" t="s">
        <v>62</v>
      </c>
      <c r="K32" s="585"/>
      <c r="L32" s="585"/>
      <c r="M32" s="591"/>
      <c r="N32" s="590" t="s">
        <v>5</v>
      </c>
      <c r="O32" s="594"/>
      <c r="P32" s="2373" t="s">
        <v>641</v>
      </c>
      <c r="Q32" s="2374"/>
      <c r="R32" s="583"/>
      <c r="S32" s="1341" t="s">
        <v>81</v>
      </c>
      <c r="T32" s="606"/>
      <c r="U32" s="607"/>
    </row>
    <row r="33" spans="1:29" s="578" customFormat="1" ht="12.75" customHeight="1" thickBot="1" x14ac:dyDescent="0.25">
      <c r="A33" s="593"/>
      <c r="B33" s="593"/>
      <c r="C33" s="628"/>
      <c r="D33" s="584"/>
      <c r="E33" s="620">
        <f>IF(M32,M32/IF(ISBLANK(J33),I33,J33),0)</f>
        <v>0</v>
      </c>
      <c r="F33" s="590" t="s">
        <v>5</v>
      </c>
      <c r="G33" s="611"/>
      <c r="H33" s="612" t="s">
        <v>76</v>
      </c>
      <c r="I33" s="600">
        <f>IF(ISBLANK(H32),0,IFERROR(HLOOKUP(A31,Grunddaten!H126:Y130,3,FALSE),Grunddaten!H128))</f>
        <v>0</v>
      </c>
      <c r="J33" s="613"/>
      <c r="K33" s="603"/>
      <c r="L33" s="603"/>
      <c r="M33" s="598"/>
      <c r="N33" s="583"/>
      <c r="O33" s="594"/>
      <c r="P33" s="583"/>
      <c r="Q33" s="583"/>
      <c r="R33" s="583"/>
      <c r="S33" s="2387">
        <f>Projektdaten!I38</f>
        <v>0</v>
      </c>
      <c r="T33" s="2388"/>
      <c r="U33" s="1340" t="s">
        <v>5</v>
      </c>
      <c r="W33" s="1335"/>
      <c r="X33" s="990"/>
    </row>
    <row r="34" spans="1:29" s="578" customFormat="1" ht="12.75" customHeight="1" thickBot="1" x14ac:dyDescent="0.25">
      <c r="A34" s="593"/>
      <c r="B34" s="593"/>
      <c r="C34" s="629"/>
      <c r="D34" s="593"/>
      <c r="E34" s="624"/>
      <c r="F34" s="583"/>
      <c r="G34" s="582"/>
      <c r="H34" s="582"/>
      <c r="I34" s="582"/>
      <c r="J34" s="582"/>
      <c r="K34" s="583"/>
      <c r="L34" s="583"/>
      <c r="M34" s="582"/>
      <c r="N34" s="583"/>
      <c r="O34" s="594"/>
      <c r="P34" s="583"/>
      <c r="Q34" s="583"/>
      <c r="R34" s="583"/>
      <c r="S34" s="1336" t="s">
        <v>600</v>
      </c>
      <c r="T34" s="1337"/>
      <c r="U34" s="1338"/>
    </row>
    <row r="35" spans="1:29" s="578" customFormat="1" ht="12.75" customHeight="1" thickBot="1" x14ac:dyDescent="0.25">
      <c r="A35" s="2397"/>
      <c r="B35" s="2397"/>
      <c r="C35" s="619"/>
      <c r="D35" s="619"/>
      <c r="E35" s="620">
        <f>M36-E37</f>
        <v>0</v>
      </c>
      <c r="F35" s="590" t="s">
        <v>5</v>
      </c>
      <c r="G35" s="2432" t="s">
        <v>82</v>
      </c>
      <c r="H35" s="2433"/>
      <c r="I35" s="2433"/>
      <c r="J35" s="2434"/>
      <c r="K35" s="834"/>
      <c r="L35" s="834"/>
      <c r="M35" s="582"/>
      <c r="N35" s="583"/>
      <c r="O35" s="594"/>
      <c r="P35" s="583"/>
      <c r="Q35" s="583"/>
      <c r="R35" s="583"/>
      <c r="S35" s="2389">
        <f>S33*(1+P31)</f>
        <v>0</v>
      </c>
      <c r="T35" s="2390"/>
      <c r="U35" s="946" t="s">
        <v>5</v>
      </c>
    </row>
    <row r="36" spans="1:29" s="578" customFormat="1" ht="12.75" customHeight="1" x14ac:dyDescent="0.2">
      <c r="A36" s="593"/>
      <c r="B36" s="593"/>
      <c r="C36" s="629"/>
      <c r="D36" s="593"/>
      <c r="E36" s="624"/>
      <c r="F36" s="583"/>
      <c r="G36" s="596" t="s">
        <v>61</v>
      </c>
      <c r="H36" s="2383"/>
      <c r="I36" s="2383"/>
      <c r="J36" s="610" t="s">
        <v>62</v>
      </c>
      <c r="K36" s="585"/>
      <c r="L36" s="585"/>
      <c r="M36" s="591"/>
      <c r="N36" s="590" t="s">
        <v>5</v>
      </c>
      <c r="O36" s="594"/>
      <c r="P36" s="583"/>
      <c r="Q36" s="583"/>
      <c r="R36" s="583"/>
      <c r="T36" s="583"/>
      <c r="U36" s="583"/>
      <c r="AC36" s="634"/>
    </row>
    <row r="37" spans="1:29" s="578" customFormat="1" ht="12.75" customHeight="1" thickBot="1" x14ac:dyDescent="0.25">
      <c r="A37" s="593"/>
      <c r="B37" s="593"/>
      <c r="C37" s="635"/>
      <c r="D37" s="584"/>
      <c r="E37" s="620">
        <f>IF(M36,M36/IF(ISBLANK(J37),I37,J37),0)</f>
        <v>0</v>
      </c>
      <c r="F37" s="590" t="s">
        <v>5</v>
      </c>
      <c r="G37" s="611"/>
      <c r="H37" s="612" t="s">
        <v>76</v>
      </c>
      <c r="I37" s="600">
        <f>IF(ISBLANK(H36),0,IFERROR(HLOOKUP(A35,Grunddaten!H126:Y130,3,FALSE),Grunddaten!H128))</f>
        <v>0</v>
      </c>
      <c r="J37" s="613"/>
      <c r="K37" s="603"/>
      <c r="L37" s="603"/>
      <c r="M37" s="598"/>
      <c r="N37" s="583"/>
      <c r="O37" s="594"/>
      <c r="P37" s="583"/>
      <c r="Q37" s="583"/>
      <c r="R37" s="583"/>
      <c r="S37" s="966" t="s">
        <v>99</v>
      </c>
      <c r="T37" s="923"/>
      <c r="U37" s="923"/>
      <c r="AC37" s="634"/>
    </row>
    <row r="38" spans="1:29" s="578" customFormat="1" ht="12.75" customHeight="1" thickBot="1" x14ac:dyDescent="0.25">
      <c r="A38" s="593"/>
      <c r="B38" s="593"/>
      <c r="C38" s="629"/>
      <c r="D38" s="593"/>
      <c r="E38" s="582"/>
      <c r="F38" s="583"/>
      <c r="G38" s="582"/>
      <c r="H38" s="582"/>
      <c r="I38" s="582"/>
      <c r="J38" s="582"/>
      <c r="K38" s="583"/>
      <c r="L38" s="583"/>
      <c r="M38" s="582"/>
      <c r="N38" s="583"/>
      <c r="O38" s="594"/>
      <c r="P38" s="583"/>
      <c r="Q38" s="583"/>
      <c r="R38" s="583"/>
      <c r="S38" s="2392" t="e">
        <f>ROUND((M10+M12+M15+M19+M23+M27+M32+M36+M39+M43+M47+M58+R58)/(S20+S35),2)</f>
        <v>#DIV/0!</v>
      </c>
      <c r="T38" s="2392"/>
      <c r="U38" s="923"/>
    </row>
    <row r="39" spans="1:29" s="578" customFormat="1" ht="12.75" customHeight="1" x14ac:dyDescent="0.2">
      <c r="A39" s="590"/>
      <c r="B39" s="585">
        <f>M41+E41-M39</f>
        <v>0</v>
      </c>
      <c r="C39" s="636" t="s">
        <v>5</v>
      </c>
      <c r="D39" s="584"/>
      <c r="E39" s="584"/>
      <c r="F39" s="637" t="s">
        <v>91</v>
      </c>
      <c r="G39" s="2420" t="s">
        <v>305</v>
      </c>
      <c r="H39" s="2421"/>
      <c r="I39" s="2421"/>
      <c r="J39" s="2422"/>
      <c r="K39" s="638" t="s">
        <v>146</v>
      </c>
      <c r="L39" s="585"/>
      <c r="M39" s="591"/>
      <c r="N39" s="590" t="s">
        <v>5</v>
      </c>
      <c r="O39" s="594"/>
      <c r="P39" s="583"/>
      <c r="Q39" s="583"/>
      <c r="R39" s="583"/>
      <c r="S39" s="2393">
        <f>ROUND((M10+M12+M15+M19+M23+M27+M32+M36+M39+M43+M47+M58+R58)-(S20+S35),-2)</f>
        <v>0</v>
      </c>
      <c r="T39" s="2393"/>
      <c r="U39" s="2393"/>
    </row>
    <row r="40" spans="1:29" s="578" customFormat="1" ht="12.75" customHeight="1" x14ac:dyDescent="0.2">
      <c r="A40" s="639"/>
      <c r="B40" s="593"/>
      <c r="C40" s="629"/>
      <c r="D40" s="593"/>
      <c r="E40" s="582"/>
      <c r="F40" s="583"/>
      <c r="G40" s="596" t="s">
        <v>61</v>
      </c>
      <c r="H40" s="2383"/>
      <c r="I40" s="2383"/>
      <c r="J40" s="610" t="s">
        <v>62</v>
      </c>
      <c r="K40" s="583"/>
      <c r="L40" s="583"/>
      <c r="M40" s="582"/>
      <c r="N40" s="583"/>
      <c r="O40" s="594"/>
      <c r="P40" s="583"/>
      <c r="Q40" s="592"/>
      <c r="R40" s="583"/>
      <c r="S40" s="583"/>
      <c r="T40" s="583"/>
      <c r="U40" s="583"/>
    </row>
    <row r="41" spans="1:29" s="578" customFormat="1" ht="12.75" customHeight="1" thickBot="1" x14ac:dyDescent="0.25">
      <c r="A41" s="2379"/>
      <c r="B41" s="2379"/>
      <c r="C41" s="585"/>
      <c r="D41" s="585"/>
      <c r="E41" s="585">
        <f>IF(M41,M41/IF(ISBLANK(J41),I41,J41),0)</f>
        <v>0</v>
      </c>
      <c r="F41" s="590" t="s">
        <v>5</v>
      </c>
      <c r="G41" s="611"/>
      <c r="H41" s="612" t="s">
        <v>76</v>
      </c>
      <c r="I41" s="600">
        <f>IF(ISBLANK(H40),0,Grunddaten!H130)</f>
        <v>0</v>
      </c>
      <c r="J41" s="613"/>
      <c r="K41" s="590"/>
      <c r="L41" s="590"/>
      <c r="M41" s="591"/>
      <c r="N41" s="587" t="s">
        <v>5</v>
      </c>
      <c r="O41" s="590"/>
      <c r="P41" s="590"/>
      <c r="Q41" s="640"/>
      <c r="R41" s="583"/>
      <c r="S41" s="583"/>
      <c r="T41" s="583"/>
      <c r="U41" s="583"/>
    </row>
    <row r="42" spans="1:29" s="578" customFormat="1" ht="12.75" customHeight="1" thickBot="1" x14ac:dyDescent="0.25">
      <c r="A42" s="583"/>
      <c r="B42" s="641"/>
      <c r="C42" s="629"/>
      <c r="D42" s="593"/>
      <c r="E42" s="582"/>
      <c r="F42" s="583"/>
      <c r="G42" s="582"/>
      <c r="H42" s="582"/>
      <c r="I42" s="582"/>
      <c r="J42" s="582"/>
      <c r="K42" s="834"/>
      <c r="L42" s="834"/>
      <c r="M42" s="582"/>
      <c r="N42" s="583"/>
      <c r="O42" s="594"/>
      <c r="P42" s="583"/>
      <c r="Q42" s="594"/>
      <c r="R42" s="1400" t="s">
        <v>602</v>
      </c>
      <c r="S42" s="2420" t="s">
        <v>56</v>
      </c>
      <c r="T42" s="2421"/>
      <c r="U42" s="2422"/>
    </row>
    <row r="43" spans="1:29" s="578" customFormat="1" ht="12.75" customHeight="1" x14ac:dyDescent="0.2">
      <c r="A43" s="590"/>
      <c r="B43" s="585">
        <f>M45+E45-M43</f>
        <v>0</v>
      </c>
      <c r="C43" s="636" t="s">
        <v>5</v>
      </c>
      <c r="D43" s="584"/>
      <c r="E43" s="584"/>
      <c r="F43" s="637" t="s">
        <v>91</v>
      </c>
      <c r="G43" s="2420" t="s">
        <v>90</v>
      </c>
      <c r="H43" s="2421"/>
      <c r="I43" s="2421"/>
      <c r="J43" s="2422"/>
      <c r="K43" s="638" t="s">
        <v>146</v>
      </c>
      <c r="L43" s="585"/>
      <c r="M43" s="591"/>
      <c r="N43" s="590" t="s">
        <v>5</v>
      </c>
      <c r="O43" s="594"/>
      <c r="P43" s="583"/>
      <c r="Q43" s="594"/>
      <c r="R43" s="1400" t="s">
        <v>601</v>
      </c>
      <c r="S43" s="2426"/>
      <c r="T43" s="2427"/>
      <c r="U43" s="2428"/>
    </row>
    <row r="44" spans="1:29" s="578" customFormat="1" ht="12.75" customHeight="1" x14ac:dyDescent="0.2">
      <c r="A44" s="583"/>
      <c r="B44" s="593"/>
      <c r="C44" s="629"/>
      <c r="D44" s="593"/>
      <c r="E44" s="582"/>
      <c r="F44" s="583"/>
      <c r="G44" s="596" t="s">
        <v>61</v>
      </c>
      <c r="H44" s="2383"/>
      <c r="I44" s="2383"/>
      <c r="J44" s="610" t="s">
        <v>62</v>
      </c>
      <c r="K44" s="583"/>
      <c r="L44" s="583"/>
      <c r="M44" s="598"/>
      <c r="N44" s="583"/>
      <c r="O44" s="642"/>
      <c r="P44" s="583"/>
      <c r="Q44" s="594"/>
      <c r="R44" s="1398"/>
      <c r="S44" s="2426"/>
      <c r="T44" s="2427"/>
      <c r="U44" s="2428"/>
    </row>
    <row r="45" spans="1:29" s="578" customFormat="1" ht="12.75" customHeight="1" thickBot="1" x14ac:dyDescent="0.25">
      <c r="A45" s="593"/>
      <c r="B45" s="593"/>
      <c r="C45" s="635"/>
      <c r="D45" s="584"/>
      <c r="E45" s="585">
        <f>IF(M45,M45/IF(ISBLANK(J45),I45,J45),0)</f>
        <v>0</v>
      </c>
      <c r="F45" s="590" t="s">
        <v>5</v>
      </c>
      <c r="G45" s="611"/>
      <c r="H45" s="612" t="s">
        <v>76</v>
      </c>
      <c r="I45" s="600">
        <f>IF(ISBLANK(H44),0,Grunddaten!H129)</f>
        <v>0</v>
      </c>
      <c r="J45" s="613"/>
      <c r="K45" s="590"/>
      <c r="L45" s="590"/>
      <c r="M45" s="591"/>
      <c r="N45" s="587" t="s">
        <v>5</v>
      </c>
      <c r="O45" s="590"/>
      <c r="P45" s="590"/>
      <c r="Q45" s="640"/>
      <c r="R45" s="1397" t="s">
        <v>641</v>
      </c>
      <c r="S45" s="1336" t="s">
        <v>81</v>
      </c>
      <c r="T45" s="944"/>
      <c r="U45" s="945"/>
    </row>
    <row r="46" spans="1:29" s="578" customFormat="1" ht="12.75" customHeight="1" thickBot="1" x14ac:dyDescent="0.25">
      <c r="A46" s="583"/>
      <c r="B46" s="593"/>
      <c r="C46" s="629"/>
      <c r="D46" s="593"/>
      <c r="E46" s="582"/>
      <c r="F46" s="583"/>
      <c r="G46" s="582"/>
      <c r="H46" s="582"/>
      <c r="I46" s="582"/>
      <c r="J46" s="582"/>
      <c r="K46" s="583"/>
      <c r="L46" s="583"/>
      <c r="M46" s="582"/>
      <c r="N46" s="583"/>
      <c r="O46" s="592"/>
      <c r="P46" s="583"/>
      <c r="Q46" s="594"/>
      <c r="R46" s="583"/>
      <c r="S46" s="2387">
        <f>Projektdaten!I40</f>
        <v>0</v>
      </c>
      <c r="T46" s="2388"/>
      <c r="U46" s="1334" t="s">
        <v>5</v>
      </c>
    </row>
    <row r="47" spans="1:29" s="578" customFormat="1" ht="12.75" customHeight="1" x14ac:dyDescent="0.2">
      <c r="A47" s="590"/>
      <c r="B47" s="585">
        <f>M49+E49-M47</f>
        <v>0</v>
      </c>
      <c r="C47" s="636" t="s">
        <v>5</v>
      </c>
      <c r="D47" s="584"/>
      <c r="E47" s="584"/>
      <c r="F47" s="637" t="s">
        <v>91</v>
      </c>
      <c r="G47" s="2420" t="s">
        <v>177</v>
      </c>
      <c r="H47" s="2421"/>
      <c r="I47" s="2421"/>
      <c r="J47" s="2422"/>
      <c r="K47" s="638" t="s">
        <v>146</v>
      </c>
      <c r="L47" s="585"/>
      <c r="M47" s="591"/>
      <c r="N47" s="590" t="s">
        <v>5</v>
      </c>
      <c r="O47" s="594"/>
      <c r="P47" s="583"/>
      <c r="Q47" s="594"/>
      <c r="S47" s="1336" t="s">
        <v>600</v>
      </c>
      <c r="T47" s="944"/>
      <c r="U47" s="945"/>
    </row>
    <row r="48" spans="1:29" s="578" customFormat="1" ht="12.75" customHeight="1" thickBot="1" x14ac:dyDescent="0.25">
      <c r="A48" s="583"/>
      <c r="B48" s="593"/>
      <c r="C48" s="629"/>
      <c r="D48" s="593"/>
      <c r="E48" s="582"/>
      <c r="F48" s="583"/>
      <c r="G48" s="596" t="s">
        <v>61</v>
      </c>
      <c r="H48" s="2383"/>
      <c r="I48" s="2383"/>
      <c r="J48" s="610" t="s">
        <v>62</v>
      </c>
      <c r="K48" s="583"/>
      <c r="L48" s="583"/>
      <c r="M48" s="598"/>
      <c r="N48" s="583"/>
      <c r="O48" s="642"/>
      <c r="P48" s="583"/>
      <c r="Q48" s="594"/>
      <c r="R48" s="583"/>
      <c r="S48" s="2389">
        <f>S46*(1+R44)</f>
        <v>0</v>
      </c>
      <c r="T48" s="2390"/>
      <c r="U48" s="946" t="s">
        <v>5</v>
      </c>
    </row>
    <row r="49" spans="1:32" s="578" customFormat="1" ht="12.75" customHeight="1" thickBot="1" x14ac:dyDescent="0.25">
      <c r="A49" s="593"/>
      <c r="B49" s="593"/>
      <c r="C49" s="635"/>
      <c r="D49" s="584"/>
      <c r="E49" s="585">
        <f>IF(M49,M49/IF(ISBLANK(J49),I49,J49),0)</f>
        <v>0</v>
      </c>
      <c r="F49" s="590" t="s">
        <v>5</v>
      </c>
      <c r="G49" s="611"/>
      <c r="H49" s="612" t="s">
        <v>76</v>
      </c>
      <c r="I49" s="600">
        <f>IF(ISBLANK(H48),0,Grunddaten!H129)</f>
        <v>0</v>
      </c>
      <c r="J49" s="613"/>
      <c r="K49" s="590"/>
      <c r="L49" s="590"/>
      <c r="M49" s="591"/>
      <c r="N49" s="587" t="s">
        <v>5</v>
      </c>
      <c r="O49" s="590"/>
      <c r="P49" s="590"/>
      <c r="Q49" s="640"/>
      <c r="R49" s="583"/>
    </row>
    <row r="50" spans="1:32" s="578" customFormat="1" ht="12.75" customHeight="1" thickBot="1" x14ac:dyDescent="0.25">
      <c r="A50" s="593"/>
      <c r="B50" s="593"/>
      <c r="C50" s="629"/>
      <c r="D50" s="593"/>
      <c r="E50" s="582"/>
      <c r="F50" s="583"/>
      <c r="G50" s="582"/>
      <c r="H50" s="582"/>
      <c r="I50" s="582"/>
      <c r="J50" s="582"/>
      <c r="K50" s="583"/>
      <c r="L50" s="583"/>
      <c r="M50" s="582"/>
      <c r="N50" s="583"/>
      <c r="O50" s="592"/>
      <c r="P50" s="583"/>
      <c r="Q50" s="594"/>
      <c r="R50" s="583"/>
      <c r="S50" s="966" t="s">
        <v>99</v>
      </c>
      <c r="T50" s="918"/>
      <c r="U50" s="918"/>
    </row>
    <row r="51" spans="1:32" s="578" customFormat="1" ht="12.75" customHeight="1" x14ac:dyDescent="0.2">
      <c r="A51" s="590"/>
      <c r="B51" s="585">
        <f>M52+E53</f>
        <v>0</v>
      </c>
      <c r="C51" s="636" t="s">
        <v>5</v>
      </c>
      <c r="D51" s="584"/>
      <c r="E51" s="584"/>
      <c r="F51" s="637" t="s">
        <v>91</v>
      </c>
      <c r="G51" s="2420" t="s">
        <v>149</v>
      </c>
      <c r="H51" s="2421"/>
      <c r="I51" s="2421"/>
      <c r="J51" s="2422"/>
      <c r="K51" s="583"/>
      <c r="L51" s="583"/>
      <c r="M51" s="582"/>
      <c r="N51" s="583"/>
      <c r="O51" s="594"/>
      <c r="P51" s="583"/>
      <c r="Q51" s="594"/>
      <c r="S51" s="1343" t="e">
        <f>ROUND((M41+M45+M49+M52+M55)/S48,2)</f>
        <v>#DIV/0!</v>
      </c>
      <c r="T51" s="923"/>
      <c r="U51" s="923"/>
      <c r="AE51" s="2435"/>
      <c r="AF51" s="2436"/>
    </row>
    <row r="52" spans="1:32" s="578" customFormat="1" ht="12.75" customHeight="1" x14ac:dyDescent="0.2">
      <c r="A52" s="593"/>
      <c r="B52" s="593"/>
      <c r="C52" s="629"/>
      <c r="D52" s="593"/>
      <c r="E52" s="582"/>
      <c r="F52" s="583"/>
      <c r="G52" s="596" t="s">
        <v>61</v>
      </c>
      <c r="H52" s="2383"/>
      <c r="I52" s="2383"/>
      <c r="J52" s="610" t="s">
        <v>62</v>
      </c>
      <c r="K52" s="590"/>
      <c r="L52" s="590"/>
      <c r="M52" s="591"/>
      <c r="N52" s="587" t="s">
        <v>5</v>
      </c>
      <c r="O52" s="590"/>
      <c r="P52" s="590"/>
      <c r="Q52" s="640"/>
      <c r="S52" s="2393">
        <f>ROUND((M41+M45+M49+M52+M55)-S48,-2)</f>
        <v>0</v>
      </c>
      <c r="T52" s="2393"/>
      <c r="U52" s="2393"/>
    </row>
    <row r="53" spans="1:32" s="578" customFormat="1" ht="12.75" customHeight="1" thickBot="1" x14ac:dyDescent="0.25">
      <c r="A53" s="593"/>
      <c r="B53" s="593"/>
      <c r="C53" s="635"/>
      <c r="D53" s="584"/>
      <c r="E53" s="585">
        <f>IF(M52,M52/IF(ISBLANK(J53),I53,J53),0)</f>
        <v>0</v>
      </c>
      <c r="F53" s="590" t="s">
        <v>5</v>
      </c>
      <c r="G53" s="611"/>
      <c r="H53" s="612" t="s">
        <v>76</v>
      </c>
      <c r="I53" s="600">
        <f>IF(ISBLANK(H52),0,Grunddaten!H131)</f>
        <v>0</v>
      </c>
      <c r="J53" s="613"/>
      <c r="K53" s="583"/>
      <c r="L53" s="583"/>
      <c r="M53" s="582"/>
      <c r="N53" s="583"/>
      <c r="O53" s="594"/>
      <c r="P53" s="583"/>
      <c r="Q53" s="594"/>
      <c r="R53" s="583"/>
      <c r="S53" s="633"/>
      <c r="T53" s="583"/>
      <c r="U53" s="583"/>
    </row>
    <row r="54" spans="1:32" s="918" customFormat="1" ht="12.75" customHeight="1" x14ac:dyDescent="0.2">
      <c r="A54" s="932"/>
      <c r="B54" s="932"/>
      <c r="C54" s="629"/>
      <c r="D54" s="932"/>
      <c r="E54" s="922"/>
      <c r="F54" s="923"/>
      <c r="G54" s="922"/>
      <c r="H54" s="922"/>
      <c r="I54" s="922"/>
      <c r="J54" s="922"/>
      <c r="K54" s="923"/>
      <c r="L54" s="923"/>
      <c r="M54" s="922"/>
      <c r="N54" s="923"/>
      <c r="O54" s="933"/>
      <c r="P54" s="923"/>
      <c r="Q54" s="933"/>
      <c r="R54" s="923"/>
      <c r="S54" s="923"/>
      <c r="T54" s="923"/>
      <c r="U54" s="923"/>
    </row>
    <row r="55" spans="1:32" s="918" customFormat="1" ht="12.75" customHeight="1" x14ac:dyDescent="0.2">
      <c r="A55" s="1687" t="str">
        <f>Grunddaten!C56</f>
        <v>Kälteverbund XY</v>
      </c>
      <c r="B55" s="924"/>
      <c r="C55" s="924"/>
      <c r="D55" s="924"/>
      <c r="E55" s="925">
        <f>M55</f>
        <v>0</v>
      </c>
      <c r="F55" s="926" t="s">
        <v>5</v>
      </c>
      <c r="G55" s="927"/>
      <c r="H55" s="928" t="s">
        <v>294</v>
      </c>
      <c r="I55" s="588"/>
      <c r="J55" s="929" t="s">
        <v>62</v>
      </c>
      <c r="K55" s="930"/>
      <c r="L55" s="930"/>
      <c r="M55" s="591"/>
      <c r="N55" s="930" t="s">
        <v>5</v>
      </c>
      <c r="O55" s="930"/>
      <c r="P55" s="930"/>
      <c r="Q55" s="977"/>
      <c r="R55" s="923"/>
      <c r="S55" s="923"/>
      <c r="T55" s="923"/>
      <c r="U55" s="923"/>
    </row>
    <row r="56" spans="1:32" s="918" customFormat="1" ht="5.95" customHeight="1" x14ac:dyDescent="0.2">
      <c r="A56" s="1688"/>
      <c r="B56" s="980"/>
      <c r="C56" s="629"/>
      <c r="D56" s="980"/>
      <c r="E56" s="922"/>
      <c r="F56" s="1689"/>
      <c r="G56" s="981"/>
      <c r="H56" s="922"/>
      <c r="I56" s="922"/>
      <c r="J56" s="922"/>
      <c r="K56" s="956"/>
      <c r="L56" s="956"/>
      <c r="M56" s="922"/>
      <c r="N56" s="956"/>
      <c r="O56" s="933"/>
      <c r="P56" s="956"/>
      <c r="Q56" s="979"/>
      <c r="R56" s="923"/>
      <c r="S56" s="923"/>
      <c r="T56" s="923"/>
      <c r="U56" s="923"/>
    </row>
    <row r="57" spans="1:32" s="578" customFormat="1" ht="12.75" customHeight="1" thickBot="1" x14ac:dyDescent="0.25">
      <c r="A57" s="593"/>
      <c r="B57" s="593"/>
      <c r="C57" s="629"/>
      <c r="D57" s="643"/>
      <c r="E57" s="582"/>
      <c r="F57" s="644"/>
      <c r="G57" s="645"/>
      <c r="H57" s="582"/>
      <c r="I57" s="582"/>
      <c r="J57" s="582"/>
      <c r="K57" s="583"/>
      <c r="L57" s="583"/>
      <c r="M57" s="582"/>
      <c r="N57" s="582"/>
      <c r="O57" s="594"/>
      <c r="P57" s="582"/>
      <c r="Q57" s="646"/>
      <c r="R57" s="582"/>
      <c r="S57" s="633"/>
      <c r="T57" s="583"/>
      <c r="U57" s="583"/>
    </row>
    <row r="58" spans="1:32" s="578" customFormat="1" ht="12.75" customHeight="1" x14ac:dyDescent="0.2">
      <c r="A58" s="593"/>
      <c r="B58" s="593"/>
      <c r="C58" s="629"/>
      <c r="D58" s="593"/>
      <c r="E58" s="582"/>
      <c r="F58" s="583"/>
      <c r="G58" s="2420" t="s">
        <v>174</v>
      </c>
      <c r="H58" s="2421"/>
      <c r="I58" s="2421"/>
      <c r="J58" s="2422"/>
      <c r="K58" s="585"/>
      <c r="L58" s="585"/>
      <c r="M58" s="591"/>
      <c r="N58" s="590" t="s">
        <v>5</v>
      </c>
      <c r="O58" s="642"/>
      <c r="P58" s="590"/>
      <c r="Q58" s="590"/>
      <c r="R58" s="591"/>
      <c r="S58" s="587" t="s">
        <v>5</v>
      </c>
      <c r="T58" s="647"/>
      <c r="U58" s="583"/>
      <c r="AC58" s="2435"/>
      <c r="AD58" s="2436"/>
    </row>
    <row r="59" spans="1:32" s="578" customFormat="1" ht="12.75" customHeight="1" x14ac:dyDescent="0.2">
      <c r="A59" s="2397"/>
      <c r="B59" s="2397"/>
      <c r="C59" s="1101"/>
      <c r="D59" s="1095">
        <v>1</v>
      </c>
      <c r="E59" s="925">
        <f>IF(M58,(M58+M60)/IF(ISBLANK(J60),I60,J60)*IF(D59,D59,1),0)</f>
        <v>0</v>
      </c>
      <c r="F59" s="930" t="s">
        <v>5</v>
      </c>
      <c r="G59" s="596" t="s">
        <v>175</v>
      </c>
      <c r="H59" s="2383">
        <v>0</v>
      </c>
      <c r="I59" s="2383"/>
      <c r="J59" s="610" t="s">
        <v>62</v>
      </c>
      <c r="K59" s="644"/>
      <c r="L59" s="603"/>
      <c r="M59" s="598"/>
      <c r="N59" s="583"/>
      <c r="O59" s="583"/>
      <c r="P59" s="583"/>
      <c r="Q59" s="583"/>
      <c r="R59" s="582"/>
      <c r="S59" s="583"/>
      <c r="T59" s="2437" t="s">
        <v>98</v>
      </c>
      <c r="U59" s="583"/>
    </row>
    <row r="60" spans="1:32" s="578" customFormat="1" ht="12.75" customHeight="1" thickBot="1" x14ac:dyDescent="0.25">
      <c r="A60" s="2400" t="str">
        <f>IF(AND(A59="Biogas",D59&lt;1),"Erdgas","")</f>
        <v/>
      </c>
      <c r="B60" s="2400"/>
      <c r="C60" s="1097"/>
      <c r="D60" s="1096">
        <f>IF(A59="Biogas",IF(D59,1-D59,0),0)</f>
        <v>0</v>
      </c>
      <c r="E60" s="949">
        <f>IF(AND(A59="Biogas",D59&lt;1),(M58+M60)/IF(ISBLANK(J60),I60,J60)*D60,0)</f>
        <v>0</v>
      </c>
      <c r="F60" s="923"/>
      <c r="G60" s="611"/>
      <c r="H60" s="612" t="s">
        <v>176</v>
      </c>
      <c r="I60" s="600">
        <f>IF(ISBLANK(H59),0,IFERROR(HLOOKUP(A59,Grunddaten!H121:Y125,5,FALSE),Grunddaten!H125))</f>
        <v>0.7</v>
      </c>
      <c r="J60" s="613"/>
      <c r="K60" s="585"/>
      <c r="L60" s="585"/>
      <c r="M60" s="591"/>
      <c r="N60" s="590" t="s">
        <v>5</v>
      </c>
      <c r="O60" s="592"/>
      <c r="P60" s="644"/>
      <c r="Q60" s="644"/>
      <c r="R60" s="646"/>
      <c r="S60" s="583"/>
      <c r="T60" s="2437"/>
      <c r="U60" s="583"/>
    </row>
    <row r="61" spans="1:32" s="578" customFormat="1" ht="12.75" customHeight="1" x14ac:dyDescent="0.2">
      <c r="A61" s="593"/>
      <c r="B61" s="593"/>
      <c r="C61" s="629"/>
      <c r="D61" s="593"/>
      <c r="E61" s="582"/>
      <c r="F61" s="583"/>
      <c r="G61" s="648"/>
      <c r="H61" s="649"/>
      <c r="I61" s="649"/>
      <c r="J61" s="650"/>
      <c r="K61" s="644"/>
      <c r="L61" s="644"/>
      <c r="M61" s="646"/>
      <c r="N61" s="646"/>
      <c r="O61" s="594"/>
      <c r="P61" s="646"/>
      <c r="Q61" s="646"/>
      <c r="R61" s="646"/>
      <c r="S61" s="583"/>
      <c r="T61" s="2437"/>
      <c r="U61" s="583"/>
    </row>
    <row r="62" spans="1:32" s="578" customFormat="1" ht="12.75" customHeight="1" x14ac:dyDescent="0.2">
      <c r="A62" s="593"/>
      <c r="B62" s="593"/>
      <c r="C62" s="651"/>
      <c r="D62" s="584"/>
      <c r="E62" s="590"/>
      <c r="F62" s="590"/>
      <c r="G62" s="590"/>
      <c r="H62" s="590"/>
      <c r="I62" s="590"/>
      <c r="J62" s="590"/>
      <c r="K62" s="590"/>
      <c r="L62" s="590"/>
      <c r="M62" s="585">
        <f>E33+E37+E45+E49+E53</f>
        <v>0</v>
      </c>
      <c r="N62" s="587" t="s">
        <v>5</v>
      </c>
      <c r="O62" s="640"/>
      <c r="P62" s="644"/>
      <c r="Q62" s="644"/>
      <c r="R62" s="644"/>
      <c r="S62" s="583"/>
      <c r="T62" s="2437"/>
      <c r="U62" s="583"/>
    </row>
    <row r="63" spans="1:32" s="578" customFormat="1" ht="12.75" customHeight="1" thickBot="1" x14ac:dyDescent="0.25">
      <c r="A63" s="593"/>
      <c r="B63" s="593"/>
      <c r="C63" s="593"/>
      <c r="D63" s="593"/>
      <c r="E63" s="582"/>
      <c r="F63" s="583"/>
      <c r="G63" s="982"/>
      <c r="H63" s="982"/>
      <c r="I63" s="982"/>
      <c r="J63" s="982"/>
      <c r="K63" s="956"/>
      <c r="L63" s="956"/>
      <c r="M63" s="922"/>
      <c r="N63" s="1339"/>
      <c r="O63" s="594"/>
      <c r="P63" s="644"/>
      <c r="Q63" s="644"/>
      <c r="R63" s="644"/>
      <c r="S63" s="583"/>
      <c r="T63" s="2437"/>
      <c r="U63" s="583"/>
    </row>
    <row r="64" spans="1:32" s="578" customFormat="1" ht="12.75" customHeight="1" x14ac:dyDescent="0.2">
      <c r="A64" s="593"/>
      <c r="B64" s="593"/>
      <c r="C64" s="593"/>
      <c r="D64" s="593"/>
      <c r="E64" s="582"/>
      <c r="F64" s="583"/>
      <c r="G64" s="2380" t="s">
        <v>604</v>
      </c>
      <c r="H64" s="2381"/>
      <c r="I64" s="2381"/>
      <c r="J64" s="2382"/>
      <c r="K64" s="956"/>
      <c r="L64" s="956"/>
      <c r="M64" s="922"/>
      <c r="N64" s="1339"/>
      <c r="O64" s="594"/>
      <c r="P64" s="644"/>
      <c r="Q64" s="644"/>
      <c r="R64" s="644"/>
      <c r="S64" s="583"/>
      <c r="T64" s="2437"/>
      <c r="U64" s="583"/>
    </row>
    <row r="65" spans="1:35" s="578" customFormat="1" ht="12.75" customHeight="1" thickBot="1" x14ac:dyDescent="0.25">
      <c r="A65" s="593"/>
      <c r="B65" s="593"/>
      <c r="C65" s="593"/>
      <c r="D65" s="593"/>
      <c r="E65" s="582"/>
      <c r="F65" s="583"/>
      <c r="G65" s="939" t="s">
        <v>61</v>
      </c>
      <c r="H65" s="2391"/>
      <c r="I65" s="2391"/>
      <c r="J65" s="988" t="s">
        <v>62</v>
      </c>
      <c r="K65" s="930"/>
      <c r="L65" s="930"/>
      <c r="M65" s="591"/>
      <c r="N65" s="927" t="s">
        <v>5</v>
      </c>
      <c r="O65" s="640"/>
      <c r="P65" s="644"/>
      <c r="Q65" s="644"/>
      <c r="R65" s="644"/>
      <c r="S65" s="583"/>
      <c r="T65" s="2437"/>
      <c r="U65" s="583"/>
    </row>
    <row r="66" spans="1:35" s="578" customFormat="1" ht="12.75" customHeight="1" x14ac:dyDescent="0.2">
      <c r="A66" s="593"/>
      <c r="B66" s="593"/>
      <c r="C66" s="593"/>
      <c r="D66" s="593"/>
      <c r="E66" s="582"/>
      <c r="F66" s="583"/>
      <c r="G66" s="922"/>
      <c r="H66" s="922"/>
      <c r="I66" s="922"/>
      <c r="J66" s="922"/>
      <c r="K66" s="923"/>
      <c r="L66" s="923"/>
      <c r="M66" s="922"/>
      <c r="N66" s="923"/>
      <c r="O66" s="594"/>
      <c r="P66" s="644"/>
      <c r="Q66" s="644"/>
      <c r="R66" s="644"/>
      <c r="S66" s="583"/>
      <c r="T66" s="2437"/>
      <c r="U66" s="583"/>
    </row>
    <row r="67" spans="1:35" s="578" customFormat="1" ht="12.75" customHeight="1" thickBot="1" x14ac:dyDescent="0.25">
      <c r="A67" s="1099" t="s">
        <v>94</v>
      </c>
      <c r="B67" s="584"/>
      <c r="C67" s="584"/>
      <c r="D67" s="584"/>
      <c r="E67" s="585">
        <f>M67</f>
        <v>0</v>
      </c>
      <c r="F67" s="586" t="s">
        <v>5</v>
      </c>
      <c r="G67" s="590"/>
      <c r="H67" s="1100" t="s">
        <v>596</v>
      </c>
      <c r="I67" s="1298"/>
      <c r="J67" s="589" t="s">
        <v>62</v>
      </c>
      <c r="K67" s="590"/>
      <c r="L67" s="590"/>
      <c r="M67" s="585">
        <f>S72+M62+M65+M73-M60-M70</f>
        <v>0</v>
      </c>
      <c r="N67" s="590" t="s">
        <v>5</v>
      </c>
      <c r="O67" s="629"/>
      <c r="P67" s="644"/>
      <c r="Q67" s="644"/>
      <c r="R67" s="644"/>
      <c r="S67" s="583"/>
      <c r="T67" s="2438"/>
      <c r="U67" s="583"/>
    </row>
    <row r="68" spans="1:35" s="578" customFormat="1" ht="12.75" customHeight="1" thickBot="1" x14ac:dyDescent="0.25">
      <c r="A68" s="593"/>
      <c r="B68" s="593"/>
      <c r="C68" s="593"/>
      <c r="D68" s="593"/>
      <c r="E68" s="582"/>
      <c r="F68" s="583"/>
      <c r="G68" s="582"/>
      <c r="H68" s="582"/>
      <c r="I68" s="582"/>
      <c r="J68" s="582"/>
      <c r="K68" s="583"/>
      <c r="L68" s="583"/>
      <c r="M68" s="582"/>
      <c r="N68" s="583"/>
      <c r="O68" s="594"/>
      <c r="P68" s="583"/>
      <c r="Q68" s="583"/>
      <c r="R68" s="583"/>
      <c r="S68" s="2420" t="s">
        <v>92</v>
      </c>
      <c r="T68" s="2421"/>
      <c r="U68" s="2422"/>
    </row>
    <row r="69" spans="1:35" s="578" customFormat="1" ht="12.75" customHeight="1" x14ac:dyDescent="0.2">
      <c r="A69" s="593"/>
      <c r="B69" s="593"/>
      <c r="C69" s="593"/>
      <c r="D69" s="593"/>
      <c r="E69" s="582"/>
      <c r="F69" s="583"/>
      <c r="G69" s="2420" t="s">
        <v>95</v>
      </c>
      <c r="H69" s="2421"/>
      <c r="I69" s="2421"/>
      <c r="J69" s="2422"/>
      <c r="K69" s="834"/>
      <c r="L69" s="834"/>
      <c r="M69" s="582"/>
      <c r="N69" s="583"/>
      <c r="O69" s="594"/>
      <c r="P69" s="583"/>
      <c r="Q69" s="583"/>
      <c r="R69" s="583"/>
      <c r="S69" s="2426"/>
      <c r="T69" s="2427"/>
      <c r="U69" s="2428"/>
    </row>
    <row r="70" spans="1:35" s="578" customFormat="1" ht="12.75" customHeight="1" x14ac:dyDescent="0.3">
      <c r="A70" s="1402" t="s">
        <v>93</v>
      </c>
      <c r="B70" s="619"/>
      <c r="C70" s="619"/>
      <c r="D70" s="619"/>
      <c r="E70" s="585"/>
      <c r="F70" s="595"/>
      <c r="G70" s="596" t="s">
        <v>61</v>
      </c>
      <c r="H70" s="2383"/>
      <c r="I70" s="2383"/>
      <c r="J70" s="597" t="s">
        <v>96</v>
      </c>
      <c r="K70" s="652"/>
      <c r="L70" s="652"/>
      <c r="M70" s="585">
        <f>H70*IF(ISBLANK(I71),H71,I71)</f>
        <v>0</v>
      </c>
      <c r="N70" s="590" t="s">
        <v>5</v>
      </c>
      <c r="O70" s="604"/>
      <c r="P70" s="590"/>
      <c r="Q70" s="590"/>
      <c r="R70" s="590"/>
      <c r="S70" s="2426"/>
      <c r="T70" s="2427"/>
      <c r="U70" s="2428"/>
    </row>
    <row r="71" spans="1:35" s="578" customFormat="1" ht="12.75" customHeight="1" thickBot="1" x14ac:dyDescent="0.25">
      <c r="A71" s="593"/>
      <c r="B71" s="593"/>
      <c r="C71" s="593"/>
      <c r="D71" s="593"/>
      <c r="E71" s="598"/>
      <c r="F71" s="583"/>
      <c r="G71" s="599" t="s">
        <v>85</v>
      </c>
      <c r="H71" s="668">
        <f>IF(ISBLANK(H70),0,Grunddaten!H123)</f>
        <v>0</v>
      </c>
      <c r="I71" s="1357"/>
      <c r="J71" s="653" t="s">
        <v>97</v>
      </c>
      <c r="K71" s="603"/>
      <c r="L71" s="603"/>
      <c r="M71" s="598"/>
      <c r="N71" s="583"/>
      <c r="O71" s="594"/>
      <c r="P71" s="583"/>
      <c r="Q71" s="583"/>
      <c r="R71" s="583"/>
      <c r="S71" s="605" t="s">
        <v>81</v>
      </c>
      <c r="T71" s="606"/>
      <c r="U71" s="607"/>
    </row>
    <row r="72" spans="1:35" s="578" customFormat="1" ht="12.75" customHeight="1" thickBot="1" x14ac:dyDescent="0.25">
      <c r="A72" s="593"/>
      <c r="B72" s="593"/>
      <c r="C72" s="593"/>
      <c r="D72" s="593"/>
      <c r="E72" s="598"/>
      <c r="F72" s="583"/>
      <c r="G72" s="583"/>
      <c r="H72" s="583"/>
      <c r="I72" s="583"/>
      <c r="J72" s="583"/>
      <c r="K72" s="583"/>
      <c r="L72" s="583"/>
      <c r="M72" s="598"/>
      <c r="N72" s="583"/>
      <c r="O72" s="594"/>
      <c r="P72" s="583"/>
      <c r="Q72" s="583"/>
      <c r="R72" s="583"/>
      <c r="S72" s="2389">
        <f>Projektdaten!I42</f>
        <v>0</v>
      </c>
      <c r="T72" s="2390"/>
      <c r="U72" s="608" t="s">
        <v>5</v>
      </c>
    </row>
    <row r="73" spans="1:35" s="578" customFormat="1" ht="12.75" customHeight="1" x14ac:dyDescent="0.2">
      <c r="A73" s="584"/>
      <c r="B73" s="584"/>
      <c r="C73" s="584"/>
      <c r="D73" s="584"/>
      <c r="E73" s="585">
        <f>M73</f>
        <v>0</v>
      </c>
      <c r="F73" s="590" t="s">
        <v>5</v>
      </c>
      <c r="G73" s="2439" t="s">
        <v>303</v>
      </c>
      <c r="H73" s="2439"/>
      <c r="I73" s="2439"/>
      <c r="J73" s="2439"/>
      <c r="K73" s="590"/>
      <c r="L73" s="590"/>
      <c r="M73" s="591"/>
      <c r="N73" s="587" t="s">
        <v>5</v>
      </c>
      <c r="O73" s="640"/>
      <c r="P73" s="583"/>
      <c r="Q73" s="583"/>
      <c r="R73" s="583"/>
      <c r="AC73" s="1090" t="s">
        <v>555</v>
      </c>
      <c r="AD73" s="958"/>
      <c r="AE73" s="958"/>
      <c r="AF73" s="1091" t="b">
        <f>IF(M73&lt;=(M60+M70),TRUE,FALSE)</f>
        <v>1</v>
      </c>
    </row>
    <row r="74" spans="1:35" s="578" customFormat="1" ht="5.95" customHeight="1" x14ac:dyDescent="0.2">
      <c r="A74" s="593"/>
      <c r="B74" s="593"/>
      <c r="C74" s="593"/>
      <c r="D74" s="593"/>
      <c r="E74" s="598"/>
      <c r="F74" s="583"/>
      <c r="G74" s="583"/>
      <c r="H74" s="583"/>
      <c r="I74" s="583"/>
      <c r="J74" s="583"/>
      <c r="K74" s="583"/>
      <c r="L74" s="583"/>
      <c r="M74" s="598"/>
      <c r="N74" s="583"/>
      <c r="O74" s="642"/>
      <c r="P74" s="583"/>
      <c r="Q74" s="583"/>
      <c r="R74" s="583"/>
    </row>
    <row r="75" spans="1:35" s="578" customFormat="1" ht="21.1" customHeight="1" x14ac:dyDescent="0.2">
      <c r="A75" s="593"/>
      <c r="B75" s="593"/>
      <c r="C75" s="593"/>
      <c r="D75" s="593"/>
      <c r="E75" s="583"/>
      <c r="F75" s="583"/>
      <c r="G75" s="583"/>
      <c r="H75" s="583"/>
      <c r="I75" s="583"/>
      <c r="J75" s="583"/>
      <c r="K75" s="583"/>
      <c r="L75" s="583"/>
      <c r="M75" s="583"/>
      <c r="N75" s="583"/>
      <c r="O75" s="583"/>
      <c r="P75" s="583"/>
      <c r="Q75" s="583"/>
      <c r="R75" s="583"/>
    </row>
    <row r="76" spans="1:35" s="578" customFormat="1" ht="14.95" customHeight="1" x14ac:dyDescent="0.2">
      <c r="A76" s="654" t="s">
        <v>64</v>
      </c>
      <c r="B76" s="577"/>
      <c r="C76" s="577"/>
      <c r="D76" s="577"/>
      <c r="AC76" s="621" t="s">
        <v>100</v>
      </c>
      <c r="AD76" s="622"/>
      <c r="AE76" s="622"/>
      <c r="AF76" s="623"/>
      <c r="AG76" s="655"/>
      <c r="AH76" s="656" t="s">
        <v>101</v>
      </c>
      <c r="AI76" s="657"/>
    </row>
    <row r="77" spans="1:35" s="578" customFormat="1" ht="12.75" customHeight="1" x14ac:dyDescent="0.2">
      <c r="A77" s="658" t="s">
        <v>65</v>
      </c>
      <c r="B77" s="2375"/>
      <c r="C77" s="2375"/>
      <c r="D77" s="2375"/>
      <c r="E77" s="2375"/>
      <c r="F77" s="2375"/>
      <c r="G77" s="659" t="s">
        <v>68</v>
      </c>
      <c r="H77" s="2376"/>
      <c r="I77" s="2376"/>
      <c r="J77" s="660"/>
      <c r="K77" s="659"/>
      <c r="L77" s="659" t="s">
        <v>69</v>
      </c>
      <c r="M77" s="1768"/>
      <c r="N77" s="659" t="s">
        <v>70</v>
      </c>
      <c r="O77" s="2377"/>
      <c r="P77" s="2377"/>
      <c r="Q77" s="2377"/>
      <c r="R77" s="659" t="s">
        <v>63</v>
      </c>
      <c r="S77" s="2395"/>
      <c r="T77" s="2395"/>
      <c r="U77" s="2395"/>
      <c r="AC77" s="661" t="s">
        <v>71</v>
      </c>
      <c r="AD77" s="662"/>
      <c r="AE77" s="662"/>
      <c r="AF77" s="657"/>
      <c r="AG77" s="655"/>
      <c r="AH77" s="661" t="s">
        <v>73</v>
      </c>
      <c r="AI77" s="657"/>
    </row>
    <row r="78" spans="1:35" s="578" customFormat="1" ht="12.75" customHeight="1" x14ac:dyDescent="0.2">
      <c r="A78" s="658" t="s">
        <v>66</v>
      </c>
      <c r="B78" s="2375"/>
      <c r="C78" s="2375"/>
      <c r="D78" s="2375"/>
      <c r="E78" s="2375"/>
      <c r="F78" s="2375"/>
      <c r="G78" s="659" t="s">
        <v>68</v>
      </c>
      <c r="H78" s="2376"/>
      <c r="I78" s="2376"/>
      <c r="J78" s="660"/>
      <c r="K78" s="659"/>
      <c r="L78" s="659" t="s">
        <v>69</v>
      </c>
      <c r="M78" s="1768"/>
      <c r="N78" s="659" t="s">
        <v>70</v>
      </c>
      <c r="O78" s="2377"/>
      <c r="P78" s="2377"/>
      <c r="Q78" s="2377"/>
      <c r="R78" s="659" t="s">
        <v>63</v>
      </c>
      <c r="S78" s="2378"/>
      <c r="T78" s="2378"/>
      <c r="U78" s="2378"/>
      <c r="AC78" s="625" t="s">
        <v>72</v>
      </c>
      <c r="AD78" s="626"/>
      <c r="AE78" s="626"/>
      <c r="AF78" s="627"/>
      <c r="AG78" s="655"/>
      <c r="AH78" s="630" t="s">
        <v>74</v>
      </c>
      <c r="AI78" s="632"/>
    </row>
    <row r="79" spans="1:35" s="578" customFormat="1" ht="12.75" customHeight="1" x14ac:dyDescent="0.2">
      <c r="A79" s="658" t="s">
        <v>67</v>
      </c>
      <c r="B79" s="2375"/>
      <c r="C79" s="2375"/>
      <c r="D79" s="2375"/>
      <c r="E79" s="2375"/>
      <c r="F79" s="2375"/>
      <c r="G79" s="659" t="s">
        <v>68</v>
      </c>
      <c r="H79" s="2376"/>
      <c r="I79" s="2376"/>
      <c r="J79" s="660"/>
      <c r="K79" s="659"/>
      <c r="L79" s="659" t="s">
        <v>69</v>
      </c>
      <c r="M79" s="1768"/>
      <c r="N79" s="659" t="s">
        <v>70</v>
      </c>
      <c r="O79" s="2377"/>
      <c r="P79" s="2377"/>
      <c r="Q79" s="2377"/>
      <c r="R79" s="659" t="s">
        <v>63</v>
      </c>
      <c r="S79" s="2378"/>
      <c r="T79" s="2378"/>
      <c r="U79" s="2378"/>
      <c r="AC79" s="967" t="s">
        <v>800</v>
      </c>
      <c r="AD79" s="631"/>
      <c r="AE79" s="631"/>
      <c r="AF79" s="632"/>
      <c r="AG79" s="655"/>
      <c r="AH79" s="626"/>
      <c r="AI79" s="626"/>
    </row>
    <row r="82" spans="1:21" s="579" customFormat="1" ht="14.95" customHeight="1" x14ac:dyDescent="0.2">
      <c r="A82" s="663" t="s">
        <v>65</v>
      </c>
      <c r="B82" s="663" t="s">
        <v>158</v>
      </c>
      <c r="C82" s="2440">
        <f xml:space="preserve"> IF(S77=$AH$78,H77*M77*(O77+1)+(O77+1)^2/2*(H77+M77)*2,0)</f>
        <v>0</v>
      </c>
      <c r="D82" s="2440"/>
      <c r="E82" s="664" t="s">
        <v>223</v>
      </c>
      <c r="G82" s="665"/>
      <c r="H82" s="1772" t="s">
        <v>159</v>
      </c>
      <c r="I82" s="1773">
        <f>H77*M77</f>
        <v>0</v>
      </c>
      <c r="J82" s="664" t="s">
        <v>224</v>
      </c>
      <c r="K82" s="666"/>
      <c r="L82" s="667" t="s">
        <v>160</v>
      </c>
      <c r="M82" s="664"/>
      <c r="N82" s="1773">
        <f>H77*O77</f>
        <v>0</v>
      </c>
      <c r="O82" s="664" t="s">
        <v>224</v>
      </c>
      <c r="P82" s="664"/>
      <c r="Q82" s="664" t="s">
        <v>161</v>
      </c>
      <c r="R82" s="664"/>
      <c r="S82" s="1773">
        <f>M77*O77</f>
        <v>0</v>
      </c>
      <c r="T82" s="664" t="s">
        <v>224</v>
      </c>
      <c r="U82" s="664"/>
    </row>
    <row r="83" spans="1:21" s="579" customFormat="1" ht="14.95" customHeight="1" x14ac:dyDescent="0.2">
      <c r="A83" s="663" t="s">
        <v>66</v>
      </c>
      <c r="B83" s="663" t="s">
        <v>158</v>
      </c>
      <c r="C83" s="2440">
        <f xml:space="preserve"> IF(S78=$AH$78,H78*M78*(O78+1)+(O78+1)^2/2*(H78+M78)*2,0)</f>
        <v>0</v>
      </c>
      <c r="D83" s="2440"/>
      <c r="E83" s="664" t="s">
        <v>223</v>
      </c>
      <c r="G83" s="665"/>
      <c r="H83" s="1772" t="s">
        <v>159</v>
      </c>
      <c r="I83" s="1773">
        <f>H78*M78</f>
        <v>0</v>
      </c>
      <c r="J83" s="664" t="s">
        <v>224</v>
      </c>
      <c r="K83" s="666"/>
      <c r="L83" s="667" t="s">
        <v>160</v>
      </c>
      <c r="M83" s="664"/>
      <c r="N83" s="1773">
        <f>H78*O78</f>
        <v>0</v>
      </c>
      <c r="O83" s="664" t="s">
        <v>224</v>
      </c>
      <c r="P83" s="664"/>
      <c r="Q83" s="664" t="s">
        <v>161</v>
      </c>
      <c r="R83" s="664"/>
      <c r="S83" s="1773">
        <f>M78*O78</f>
        <v>0</v>
      </c>
      <c r="T83" s="664" t="s">
        <v>224</v>
      </c>
      <c r="U83" s="664"/>
    </row>
    <row r="84" spans="1:21" s="579" customFormat="1" ht="14.95" customHeight="1" x14ac:dyDescent="0.2">
      <c r="A84" s="663" t="s">
        <v>67</v>
      </c>
      <c r="B84" s="663" t="s">
        <v>158</v>
      </c>
      <c r="C84" s="2440">
        <f xml:space="preserve"> IF(S79=$AH$78,H79*M79*(O79+1)+(O79+1)^2/2*(H79+M79)*2,0)</f>
        <v>0</v>
      </c>
      <c r="D84" s="2440"/>
      <c r="E84" s="664" t="s">
        <v>223</v>
      </c>
      <c r="G84" s="665"/>
      <c r="H84" s="1772" t="s">
        <v>159</v>
      </c>
      <c r="I84" s="1773">
        <f>H79*M79</f>
        <v>0</v>
      </c>
      <c r="J84" s="664" t="s">
        <v>224</v>
      </c>
      <c r="K84" s="666"/>
      <c r="L84" s="667" t="s">
        <v>160</v>
      </c>
      <c r="M84" s="664"/>
      <c r="N84" s="1773">
        <f>H79*O79</f>
        <v>0</v>
      </c>
      <c r="O84" s="664" t="s">
        <v>224</v>
      </c>
      <c r="P84" s="664"/>
      <c r="Q84" s="664" t="s">
        <v>161</v>
      </c>
      <c r="R84" s="664"/>
      <c r="S84" s="1773">
        <f>M79*O79</f>
        <v>0</v>
      </c>
      <c r="T84" s="664" t="s">
        <v>224</v>
      </c>
      <c r="U84" s="664"/>
    </row>
    <row r="87" spans="1:21" x14ac:dyDescent="0.2">
      <c r="B87" s="561"/>
      <c r="C87" s="561"/>
      <c r="D87" s="561"/>
    </row>
    <row r="88" spans="1:21" x14ac:dyDescent="0.2">
      <c r="B88" s="561"/>
      <c r="C88" s="561"/>
      <c r="D88" s="561"/>
    </row>
    <row r="89" spans="1:21" x14ac:dyDescent="0.2">
      <c r="B89" s="561"/>
      <c r="C89" s="561"/>
      <c r="D89" s="561"/>
    </row>
    <row r="90" spans="1:21" x14ac:dyDescent="0.2">
      <c r="B90" s="561"/>
      <c r="C90" s="561"/>
      <c r="D90" s="561"/>
    </row>
    <row r="91" spans="1:21" x14ac:dyDescent="0.2">
      <c r="B91" s="561"/>
      <c r="C91" s="561"/>
      <c r="D91" s="561"/>
    </row>
    <row r="92" spans="1:21" x14ac:dyDescent="0.2">
      <c r="B92" s="561"/>
      <c r="C92" s="561"/>
      <c r="D92" s="561"/>
    </row>
  </sheetData>
  <sheetProtection algorithmName="SHA-512" hashValue="CQQUkjkwR48tjiI3O3Kwxi1oNigsQvylQ7hueKXmqfrSU7GZf3VAUSYKq0fjX8/vBDMgWhs72VkvLfkxB+gKTQ==" saltValue="+x8ysN3LrNQWwYUshxllHg==" spinCount="100000" sheet="1" objects="1" scenarios="1" selectLockedCells="1"/>
  <mergeCells count="83">
    <mergeCell ref="S35:T35"/>
    <mergeCell ref="P14:Q14"/>
    <mergeCell ref="P15:Q15"/>
    <mergeCell ref="P16:Q16"/>
    <mergeCell ref="P29:Q29"/>
    <mergeCell ref="P30:Q30"/>
    <mergeCell ref="P31:Q31"/>
    <mergeCell ref="S29:U31"/>
    <mergeCell ref="S33:T33"/>
    <mergeCell ref="P32:Q32"/>
    <mergeCell ref="A20:B20"/>
    <mergeCell ref="W5:AB5"/>
    <mergeCell ref="E6:G6"/>
    <mergeCell ref="J6:T6"/>
    <mergeCell ref="G8:J8"/>
    <mergeCell ref="G14:J14"/>
    <mergeCell ref="S14:U16"/>
    <mergeCell ref="H15:I15"/>
    <mergeCell ref="S18:T18"/>
    <mergeCell ref="G18:J18"/>
    <mergeCell ref="A19:B19"/>
    <mergeCell ref="H19:I19"/>
    <mergeCell ref="S20:T20"/>
    <mergeCell ref="P17:Q17"/>
    <mergeCell ref="G22:J22"/>
    <mergeCell ref="A23:B23"/>
    <mergeCell ref="H23:I23"/>
    <mergeCell ref="A24:B24"/>
    <mergeCell ref="A35:B35"/>
    <mergeCell ref="G35:J35"/>
    <mergeCell ref="A26:B26"/>
    <mergeCell ref="G26:J26"/>
    <mergeCell ref="H27:I27"/>
    <mergeCell ref="A28:B28"/>
    <mergeCell ref="A29:B29"/>
    <mergeCell ref="A31:B31"/>
    <mergeCell ref="G31:J31"/>
    <mergeCell ref="H32:I32"/>
    <mergeCell ref="AE51:AF51"/>
    <mergeCell ref="H36:I36"/>
    <mergeCell ref="G39:J39"/>
    <mergeCell ref="H40:I40"/>
    <mergeCell ref="A41:B41"/>
    <mergeCell ref="G43:J43"/>
    <mergeCell ref="H44:I44"/>
    <mergeCell ref="S42:U44"/>
    <mergeCell ref="G47:J47"/>
    <mergeCell ref="H48:I48"/>
    <mergeCell ref="S46:T46"/>
    <mergeCell ref="G51:J51"/>
    <mergeCell ref="S38:T38"/>
    <mergeCell ref="S39:U39"/>
    <mergeCell ref="S52:U52"/>
    <mergeCell ref="S48:T48"/>
    <mergeCell ref="H52:I52"/>
    <mergeCell ref="G58:J58"/>
    <mergeCell ref="AC58:AD58"/>
    <mergeCell ref="A59:B59"/>
    <mergeCell ref="H59:I59"/>
    <mergeCell ref="T59:T67"/>
    <mergeCell ref="A60:B60"/>
    <mergeCell ref="G64:J64"/>
    <mergeCell ref="H65:I65"/>
    <mergeCell ref="S68:U70"/>
    <mergeCell ref="G69:J69"/>
    <mergeCell ref="H70:I70"/>
    <mergeCell ref="S72:T72"/>
    <mergeCell ref="B77:F77"/>
    <mergeCell ref="H77:I77"/>
    <mergeCell ref="O77:Q77"/>
    <mergeCell ref="S77:U77"/>
    <mergeCell ref="G73:J73"/>
    <mergeCell ref="O78:Q78"/>
    <mergeCell ref="S78:U78"/>
    <mergeCell ref="B79:F79"/>
    <mergeCell ref="H79:I79"/>
    <mergeCell ref="O79:Q79"/>
    <mergeCell ref="S79:U79"/>
    <mergeCell ref="C82:D82"/>
    <mergeCell ref="C83:D83"/>
    <mergeCell ref="C84:D84"/>
    <mergeCell ref="B78:F78"/>
    <mergeCell ref="H78:I78"/>
  </mergeCells>
  <conditionalFormatting sqref="G14:J14 G15:G16 J15:J16">
    <cfRule type="expression" dxfId="1024" priority="287">
      <formula>$H$15&gt;0</formula>
    </cfRule>
  </conditionalFormatting>
  <conditionalFormatting sqref="G18:J18 G19 G20:H20 J19">
    <cfRule type="expression" dxfId="1023" priority="286">
      <formula>$H$19&gt;0</formula>
    </cfRule>
  </conditionalFormatting>
  <conditionalFormatting sqref="G22:J22 G23 J23 G24:H24">
    <cfRule type="expression" dxfId="1022" priority="285">
      <formula>$H$23&gt;0</formula>
    </cfRule>
  </conditionalFormatting>
  <conditionalFormatting sqref="G31:J31 G32 G33:H33 J32">
    <cfRule type="expression" dxfId="1021" priority="284">
      <formula>$H$32&gt;0</formula>
    </cfRule>
  </conditionalFormatting>
  <conditionalFormatting sqref="G35:J35 G36 G37:H37 J36">
    <cfRule type="expression" dxfId="1020" priority="283">
      <formula>$H$36&gt;0</formula>
    </cfRule>
  </conditionalFormatting>
  <conditionalFormatting sqref="G43:J43 G44 G45:H45 J44">
    <cfRule type="expression" dxfId="1019" priority="282">
      <formula>$H$44&gt;0</formula>
    </cfRule>
  </conditionalFormatting>
  <conditionalFormatting sqref="G69:G71 J70:J71 K70:N70">
    <cfRule type="expression" dxfId="1018" priority="281">
      <formula>$H$70&gt;0</formula>
    </cfRule>
  </conditionalFormatting>
  <conditionalFormatting sqref="R31 O46:O48 O50:O51 O42:O44 S29 O10:O40 O53 S32:U35 O57:O58">
    <cfRule type="expression" dxfId="1017" priority="279">
      <formula>$S$33&gt;0</formula>
    </cfRule>
  </conditionalFormatting>
  <conditionalFormatting sqref="Q40:Q56 S42:U48">
    <cfRule type="expression" dxfId="1016" priority="278">
      <formula>$S$46&gt;0</formula>
    </cfRule>
  </conditionalFormatting>
  <conditionalFormatting sqref="P70:R70 S68:U72 O60:O74">
    <cfRule type="expression" dxfId="1015" priority="277">
      <formula>$S$72&gt;0</formula>
    </cfRule>
  </conditionalFormatting>
  <conditionalFormatting sqref="B43:F43">
    <cfRule type="expression" dxfId="1014" priority="273">
      <formula>$B$43&lt;0</formula>
    </cfRule>
  </conditionalFormatting>
  <conditionalFormatting sqref="B47:F47">
    <cfRule type="expression" dxfId="1013" priority="272">
      <formula>$B$47&lt;0</formula>
    </cfRule>
  </conditionalFormatting>
  <conditionalFormatting sqref="G24:H24">
    <cfRule type="expression" dxfId="1012" priority="271">
      <formula>AND($H$23&gt;0,$J$24=0,$I$24=0)</formula>
    </cfRule>
  </conditionalFormatting>
  <conditionalFormatting sqref="G19:H19 J19">
    <cfRule type="expression" dxfId="1011" priority="270">
      <formula>AND($M$19&gt;0,$H$19=0)</formula>
    </cfRule>
  </conditionalFormatting>
  <conditionalFormatting sqref="G23:H23 J23">
    <cfRule type="expression" dxfId="1010" priority="269">
      <formula>AND($M$23&gt;0,$H$23=0)</formula>
    </cfRule>
  </conditionalFormatting>
  <conditionalFormatting sqref="G33:H33">
    <cfRule type="expression" dxfId="1009" priority="268">
      <formula>AND($H$32&gt;0,$J$33=0,$I$33=0)</formula>
    </cfRule>
  </conditionalFormatting>
  <conditionalFormatting sqref="G32:H32 J32">
    <cfRule type="expression" dxfId="1008" priority="267">
      <formula>AND($M$32&gt;0,$H$32=0)</formula>
    </cfRule>
  </conditionalFormatting>
  <conditionalFormatting sqref="G36:H36 J36">
    <cfRule type="expression" dxfId="1007" priority="266">
      <formula>AND($M$36&gt;0,$H$36=0)</formula>
    </cfRule>
  </conditionalFormatting>
  <conditionalFormatting sqref="G37:H37">
    <cfRule type="expression" dxfId="1006" priority="265">
      <formula>AND($H$36&gt;0,$J$37=0,$I$37=0)</formula>
    </cfRule>
  </conditionalFormatting>
  <conditionalFormatting sqref="G44:H44 J44">
    <cfRule type="expression" dxfId="1005" priority="264">
      <formula>AND($M$45&gt;0,$H$44=0)</formula>
    </cfRule>
  </conditionalFormatting>
  <conditionalFormatting sqref="G45:H45">
    <cfRule type="expression" dxfId="1004" priority="263">
      <formula>AND($H$44&gt;0,$J$45=0,$I$45=0)</formula>
    </cfRule>
  </conditionalFormatting>
  <conditionalFormatting sqref="G59:H59 J59">
    <cfRule type="expression" dxfId="1003" priority="262">
      <formula>AND($M$58&gt;0,$H$59=0)</formula>
    </cfRule>
  </conditionalFormatting>
  <conditionalFormatting sqref="G49:H49">
    <cfRule type="expression" dxfId="1002" priority="261">
      <formula>AND($H$48&gt;0,$J$49=0,$I$49=0)</formula>
    </cfRule>
  </conditionalFormatting>
  <conditionalFormatting sqref="G16 I16:J16">
    <cfRule type="expression" dxfId="1001" priority="260">
      <formula>AND($H$15&gt;0,$H$16=0,$I$16=0)</formula>
    </cfRule>
  </conditionalFormatting>
  <conditionalFormatting sqref="G71 J71">
    <cfRule type="expression" dxfId="1000" priority="259">
      <formula>AND($H$70&gt;0,$H$71=0,$I$71=0)</formula>
    </cfRule>
  </conditionalFormatting>
  <conditionalFormatting sqref="A67:N67">
    <cfRule type="expression" dxfId="999" priority="257">
      <formula>$M$67&lt;0</formula>
    </cfRule>
  </conditionalFormatting>
  <conditionalFormatting sqref="A43:F43">
    <cfRule type="expression" dxfId="998" priority="256">
      <formula>$B$43&lt;&gt;0</formula>
    </cfRule>
  </conditionalFormatting>
  <conditionalFormatting sqref="A47:F47">
    <cfRule type="expression" dxfId="997" priority="255">
      <formula>$B$47&lt;&gt;0</formula>
    </cfRule>
  </conditionalFormatting>
  <conditionalFormatting sqref="P58:Q58 S58:T58 T59">
    <cfRule type="expression" dxfId="996" priority="254">
      <formula>$R$58&gt;0</formula>
    </cfRule>
  </conditionalFormatting>
  <conditionalFormatting sqref="K58:L58 N58">
    <cfRule type="expression" dxfId="995" priority="253">
      <formula>$M$58&gt;0</formula>
    </cfRule>
  </conditionalFormatting>
  <conditionalFormatting sqref="C35:F35">
    <cfRule type="expression" dxfId="994" priority="252">
      <formula>$E$35&gt;0</formula>
    </cfRule>
  </conditionalFormatting>
  <conditionalFormatting sqref="E35:F35">
    <cfRule type="expression" dxfId="993" priority="251">
      <formula>AND($A$35="",$E$35&gt;0)</formula>
    </cfRule>
  </conditionalFormatting>
  <conditionalFormatting sqref="C31:F31">
    <cfRule type="expression" dxfId="992" priority="250">
      <formula>$E$31&gt;0</formula>
    </cfRule>
  </conditionalFormatting>
  <conditionalFormatting sqref="E31:F31">
    <cfRule type="expression" dxfId="991" priority="249">
      <formula>AND($A$31="",$E$31&gt;0)</formula>
    </cfRule>
  </conditionalFormatting>
  <conditionalFormatting sqref="A70:F70">
    <cfRule type="expression" dxfId="990" priority="248">
      <formula>$H$70&gt;0</formula>
    </cfRule>
  </conditionalFormatting>
  <conditionalFormatting sqref="K32:L32 N32">
    <cfRule type="expression" dxfId="989" priority="247">
      <formula>$M$32&gt;0</formula>
    </cfRule>
  </conditionalFormatting>
  <conditionalFormatting sqref="K43:L43 N43">
    <cfRule type="expression" dxfId="988" priority="246">
      <formula>$M$43&gt;0</formula>
    </cfRule>
  </conditionalFormatting>
  <conditionalFormatting sqref="K47:L47 N47">
    <cfRule type="expression" dxfId="987" priority="245">
      <formula>$M$47&gt;0</formula>
    </cfRule>
  </conditionalFormatting>
  <conditionalFormatting sqref="K23:L23 N23">
    <cfRule type="expression" dxfId="986" priority="244">
      <formula>$M$23&gt;0</formula>
    </cfRule>
  </conditionalFormatting>
  <conditionalFormatting sqref="K19:L19 N19">
    <cfRule type="expression" dxfId="985" priority="241">
      <formula>$M$19&gt;0</formula>
    </cfRule>
  </conditionalFormatting>
  <conditionalFormatting sqref="K15:N15">
    <cfRule type="expression" dxfId="984" priority="238">
      <formula>$M$15&gt;0</formula>
    </cfRule>
  </conditionalFormatting>
  <conditionalFormatting sqref="A15:F15">
    <cfRule type="expression" dxfId="983" priority="237">
      <formula>$H$15&gt;0</formula>
    </cfRule>
  </conditionalFormatting>
  <conditionalFormatting sqref="N10 J10:L10 A10:H10">
    <cfRule type="expression" dxfId="982" priority="236">
      <formula>$M$10&gt;0</formula>
    </cfRule>
  </conditionalFormatting>
  <conditionalFormatting sqref="A51:F51">
    <cfRule type="expression" dxfId="981" priority="233">
      <formula>$B$51&lt;&gt;0</formula>
    </cfRule>
  </conditionalFormatting>
  <conditionalFormatting sqref="G60:J60">
    <cfRule type="expression" dxfId="980" priority="232">
      <formula>AND($H$59&gt;0,$I$60=0,$J$60=0)</formula>
    </cfRule>
  </conditionalFormatting>
  <conditionalFormatting sqref="K60:L60 N60 O60:O74">
    <cfRule type="expression" dxfId="979" priority="231">
      <formula>$M$60&gt;0</formula>
    </cfRule>
  </conditionalFormatting>
  <conditionalFormatting sqref="D62:N62 C33:F33 C34 C36:C38 C44:C46 C48:C50 C40 C42 O60:O74 C60:C62 C52:C53 C57:C58">
    <cfRule type="expression" dxfId="978" priority="230">
      <formula>$E$33&gt;0</formula>
    </cfRule>
  </conditionalFormatting>
  <conditionalFormatting sqref="D62:N62 C37:F37 C38 C44:C46 C48:C50 C40 C42 O60:O74 C60:C62 C52:C53 C57:C58">
    <cfRule type="expression" dxfId="977" priority="229">
      <formula>$E$37&gt;0</formula>
    </cfRule>
  </conditionalFormatting>
  <conditionalFormatting sqref="D62:N62 C45:F45 C46 C48:C50 O60:O74 C60:C62 C52:C53 C57:C58">
    <cfRule type="expression" dxfId="976" priority="228">
      <formula>$E$45&gt;0</formula>
    </cfRule>
  </conditionalFormatting>
  <conditionalFormatting sqref="D62:N62 C49:F49 C50 O60:O74 C60:C62 C52:C53 C57:C58">
    <cfRule type="expression" dxfId="975" priority="227">
      <formula>$E$49&gt;0</formula>
    </cfRule>
  </conditionalFormatting>
  <conditionalFormatting sqref="D62:N62 C53:F53 O60:O74 C60:C62 C57:C58">
    <cfRule type="expression" dxfId="974" priority="226">
      <formula>$E$53&gt;0</formula>
    </cfRule>
  </conditionalFormatting>
  <conditionalFormatting sqref="G58:J58 G59 G60:H60 J59">
    <cfRule type="expression" dxfId="973" priority="223">
      <formula>$H$59&gt;0</formula>
    </cfRule>
  </conditionalFormatting>
  <conditionalFormatting sqref="G47:J47 G48 G49:H49 J48">
    <cfRule type="expression" dxfId="972" priority="222">
      <formula>$H$48&gt;0</formula>
    </cfRule>
  </conditionalFormatting>
  <conditionalFormatting sqref="G48:H48 J48">
    <cfRule type="expression" dxfId="971" priority="221">
      <formula>AND($M$49&gt;0,$H$48=0)</formula>
    </cfRule>
  </conditionalFormatting>
  <conditionalFormatting sqref="K49:L49 N49:P49">
    <cfRule type="expression" dxfId="970" priority="220">
      <formula>$M$49&gt;0</formula>
    </cfRule>
  </conditionalFormatting>
  <conditionalFormatting sqref="N45:P45 K45:L45">
    <cfRule type="expression" dxfId="969" priority="219">
      <formula>$M$45&gt;0</formula>
    </cfRule>
  </conditionalFormatting>
  <conditionalFormatting sqref="H20">
    <cfRule type="expression" dxfId="968" priority="218">
      <formula>AND($H$19&gt;0,$J$20=0,$I$20=0)</formula>
    </cfRule>
  </conditionalFormatting>
  <conditionalFormatting sqref="N19">
    <cfRule type="expression" dxfId="967" priority="217">
      <formula>AND($H$19&gt;0,$M$19=0)</formula>
    </cfRule>
  </conditionalFormatting>
  <conditionalFormatting sqref="N23">
    <cfRule type="expression" dxfId="966" priority="216">
      <formula>AND($H$23&gt;0,$M$23=0)</formula>
    </cfRule>
  </conditionalFormatting>
  <conditionalFormatting sqref="N32">
    <cfRule type="expression" dxfId="965" priority="215">
      <formula>AND($H$32&gt;0,$M$32=0)</formula>
    </cfRule>
  </conditionalFormatting>
  <conditionalFormatting sqref="K36:L36 N36">
    <cfRule type="expression" dxfId="964" priority="214">
      <formula>$M$36&gt;0</formula>
    </cfRule>
  </conditionalFormatting>
  <conditionalFormatting sqref="N36">
    <cfRule type="expression" dxfId="963" priority="213">
      <formula>AND($H$36&gt;0,$M$36=0)</formula>
    </cfRule>
  </conditionalFormatting>
  <conditionalFormatting sqref="N45">
    <cfRule type="expression" dxfId="962" priority="212">
      <formula>AND($H$44&gt;0,$M$45=0)</formula>
    </cfRule>
  </conditionalFormatting>
  <conditionalFormatting sqref="N49">
    <cfRule type="expression" dxfId="961" priority="211">
      <formula>AND($H$48&gt;0,$M$49=0)</formula>
    </cfRule>
  </conditionalFormatting>
  <conditionalFormatting sqref="N58">
    <cfRule type="expression" dxfId="960" priority="210">
      <formula>AND(OR($H$59&gt;0,$M$60&gt;0),$M$58=0)</formula>
    </cfRule>
  </conditionalFormatting>
  <conditionalFormatting sqref="N60">
    <cfRule type="expression" dxfId="959" priority="209">
      <formula>AND(OR($H$59&gt;0,$M$58&gt;0),$M$60=0)</formula>
    </cfRule>
  </conditionalFormatting>
  <conditionalFormatting sqref="J10 H10">
    <cfRule type="expression" dxfId="958" priority="195">
      <formula>AND($M$10&gt;0,$I$10=0)</formula>
    </cfRule>
  </conditionalFormatting>
  <conditionalFormatting sqref="N73 A73:G73 K73:L73">
    <cfRule type="expression" dxfId="957" priority="180">
      <formula>$M$73&lt;&gt;0</formula>
    </cfRule>
  </conditionalFormatting>
  <conditionalFormatting sqref="C26:F26">
    <cfRule type="expression" dxfId="956" priority="179">
      <formula>$E$26&gt;0</formula>
    </cfRule>
  </conditionalFormatting>
  <conditionalFormatting sqref="E26:F26">
    <cfRule type="expression" dxfId="955" priority="178">
      <formula>AND($A$26="",$E$26&gt;0)</formula>
    </cfRule>
  </conditionalFormatting>
  <conditionalFormatting sqref="K27:L27 N27">
    <cfRule type="expression" dxfId="954" priority="177">
      <formula>$M$27&gt;0</formula>
    </cfRule>
  </conditionalFormatting>
  <conditionalFormatting sqref="N27">
    <cfRule type="expression" dxfId="953" priority="176">
      <formula>AND($H$27&gt;0,$M$27=0)</formula>
    </cfRule>
  </conditionalFormatting>
  <conditionalFormatting sqref="G39:J39 G40 G41:H41 J40">
    <cfRule type="expression" dxfId="952" priority="165">
      <formula>$H$40&gt;0</formula>
    </cfRule>
  </conditionalFormatting>
  <conditionalFormatting sqref="G40:H40 J40">
    <cfRule type="expression" dxfId="951" priority="164">
      <formula>AND($M$41&gt;0,$H$40=0)</formula>
    </cfRule>
  </conditionalFormatting>
  <conditionalFormatting sqref="G41:H41">
    <cfRule type="expression" dxfId="950" priority="163">
      <formula>AND($H$40&gt;0,$J$41=0,$I$41=0)</formula>
    </cfRule>
  </conditionalFormatting>
  <conditionalFormatting sqref="N41:P41 K41:L41">
    <cfRule type="expression" dxfId="949" priority="162">
      <formula>$M$41&gt;0</formula>
    </cfRule>
  </conditionalFormatting>
  <conditionalFormatting sqref="N41">
    <cfRule type="expression" dxfId="948" priority="161">
      <formula>AND($H$40&gt;0,$M$41=0)</formula>
    </cfRule>
  </conditionalFormatting>
  <conditionalFormatting sqref="K39:L39 N39">
    <cfRule type="expression" dxfId="947" priority="160">
      <formula>$M$39&gt;0</formula>
    </cfRule>
  </conditionalFormatting>
  <conditionalFormatting sqref="B39:F39">
    <cfRule type="expression" dxfId="946" priority="159">
      <formula>$B$39&lt;0</formula>
    </cfRule>
  </conditionalFormatting>
  <conditionalFormatting sqref="A39:F39">
    <cfRule type="expression" dxfId="945" priority="158">
      <formula>$B$39&lt;&gt;0</formula>
    </cfRule>
  </conditionalFormatting>
  <conditionalFormatting sqref="C41:F41">
    <cfRule type="expression" dxfId="944" priority="157">
      <formula>$E$41&gt;0</formula>
    </cfRule>
  </conditionalFormatting>
  <conditionalFormatting sqref="J49">
    <cfRule type="expression" dxfId="943" priority="156">
      <formula>AND($H$44&gt;0,$J$45=0)</formula>
    </cfRule>
  </conditionalFormatting>
  <conditionalFormatting sqref="H16">
    <cfRule type="expression" dxfId="942" priority="155">
      <formula>I16&lt;&gt;""</formula>
    </cfRule>
  </conditionalFormatting>
  <conditionalFormatting sqref="I20">
    <cfRule type="expression" dxfId="941" priority="154">
      <formula>J20&lt;&gt;""</formula>
    </cfRule>
  </conditionalFormatting>
  <conditionalFormatting sqref="I24">
    <cfRule type="expression" dxfId="940" priority="153">
      <formula>J24&lt;&gt;""</formula>
    </cfRule>
  </conditionalFormatting>
  <conditionalFormatting sqref="I41">
    <cfRule type="expression" dxfId="939" priority="150">
      <formula>J41&lt;&gt;""</formula>
    </cfRule>
  </conditionalFormatting>
  <conditionalFormatting sqref="I60">
    <cfRule type="expression" dxfId="938" priority="149">
      <formula>J60&lt;&gt;""</formula>
    </cfRule>
  </conditionalFormatting>
  <conditionalFormatting sqref="I71">
    <cfRule type="expression" dxfId="937" priority="148">
      <formula>AND($H$59&gt;0,$J$60=0)</formula>
    </cfRule>
  </conditionalFormatting>
  <conditionalFormatting sqref="I45">
    <cfRule type="expression" dxfId="936" priority="144">
      <formula>J45&lt;&gt;""</formula>
    </cfRule>
  </conditionalFormatting>
  <conditionalFormatting sqref="I49">
    <cfRule type="expression" dxfId="935" priority="143">
      <formula>J49&lt;&gt;""</formula>
    </cfRule>
  </conditionalFormatting>
  <conditionalFormatting sqref="H71">
    <cfRule type="expression" dxfId="934" priority="142">
      <formula>I71&lt;&gt;""</formula>
    </cfRule>
  </conditionalFormatting>
  <conditionalFormatting sqref="G51:J51 G52 J52 G53:H53">
    <cfRule type="expression" dxfId="933" priority="137">
      <formula>$H$52&gt;0</formula>
    </cfRule>
  </conditionalFormatting>
  <conditionalFormatting sqref="G52:H52 J52">
    <cfRule type="expression" dxfId="932" priority="136">
      <formula>AND($M$52&gt;0,$H$52=0)</formula>
    </cfRule>
  </conditionalFormatting>
  <conditionalFormatting sqref="G53:H53">
    <cfRule type="expression" dxfId="931" priority="134">
      <formula>AND($H$52&gt;0,$J$53=0,$I$53=0)</formula>
    </cfRule>
  </conditionalFormatting>
  <conditionalFormatting sqref="I53">
    <cfRule type="expression" dxfId="930" priority="133">
      <formula>J53&lt;&gt;""</formula>
    </cfRule>
  </conditionalFormatting>
  <conditionalFormatting sqref="N52:P52 K52:L52">
    <cfRule type="expression" dxfId="929" priority="132">
      <formula>$M$52&gt;0</formula>
    </cfRule>
  </conditionalFormatting>
  <conditionalFormatting sqref="N52">
    <cfRule type="expression" dxfId="928" priority="131">
      <formula>AND($H$52&gt;0,$M$52=0)</formula>
    </cfRule>
  </conditionalFormatting>
  <conditionalFormatting sqref="G26:J26 G27 G28:H28 J27">
    <cfRule type="expression" dxfId="927" priority="125">
      <formula>$H$27&gt;0</formula>
    </cfRule>
  </conditionalFormatting>
  <conditionalFormatting sqref="G28:H28">
    <cfRule type="expression" dxfId="926" priority="124">
      <formula>AND($H$27&gt;0,$J$28=0,$I$28=0)</formula>
    </cfRule>
  </conditionalFormatting>
  <conditionalFormatting sqref="G27:H27 J27">
    <cfRule type="expression" dxfId="925" priority="123">
      <formula>AND($M$27&gt;0,$H$27=0)</formula>
    </cfRule>
  </conditionalFormatting>
  <conditionalFormatting sqref="C19:F19">
    <cfRule type="expression" dxfId="924" priority="113">
      <formula>$E$19&gt;0</formula>
    </cfRule>
  </conditionalFormatting>
  <conditionalFormatting sqref="E19:F19">
    <cfRule type="expression" dxfId="923" priority="112">
      <formula>AND($A$19="",$E$19&gt;0)</formula>
    </cfRule>
  </conditionalFormatting>
  <conditionalFormatting sqref="A19:E19">
    <cfRule type="expression" dxfId="922" priority="111">
      <formula>AND($A$19="Biogas",$D$19&lt;1)</formula>
    </cfRule>
  </conditionalFormatting>
  <conditionalFormatting sqref="A20:E20">
    <cfRule type="expression" dxfId="921" priority="110">
      <formula>AND($A$19="Biogas",$E$20&gt;0)</formula>
    </cfRule>
  </conditionalFormatting>
  <conditionalFormatting sqref="A20:D20">
    <cfRule type="expression" dxfId="920" priority="107">
      <formula>AND($A$19="Biogas",$D$19&lt;1)</formula>
    </cfRule>
  </conditionalFormatting>
  <conditionalFormatting sqref="D19">
    <cfRule type="expression" dxfId="919" priority="104">
      <formula>AND($A$19&lt;&gt;"Biogas",$D$19&lt;1)</formula>
    </cfRule>
    <cfRule type="expression" dxfId="918" priority="105">
      <formula>$A$19="Biogas"</formula>
    </cfRule>
    <cfRule type="expression" dxfId="917" priority="106">
      <formula>$E$19&lt;&gt;0</formula>
    </cfRule>
  </conditionalFormatting>
  <conditionalFormatting sqref="C23:F23">
    <cfRule type="expression" dxfId="916" priority="103">
      <formula>$E$23&gt;0</formula>
    </cfRule>
  </conditionalFormatting>
  <conditionalFormatting sqref="E23:F23">
    <cfRule type="expression" dxfId="915" priority="102">
      <formula>AND($A$23="",$E$23&gt;0)</formula>
    </cfRule>
  </conditionalFormatting>
  <conditionalFormatting sqref="A23:E23">
    <cfRule type="expression" dxfId="914" priority="101">
      <formula>AND($A$23="Biogas",$D$23&lt;1)</formula>
    </cfRule>
  </conditionalFormatting>
  <conditionalFormatting sqref="A24:E24">
    <cfRule type="expression" dxfId="913" priority="100">
      <formula>AND($A$23="Biogas",$E$24&gt;0)</formula>
    </cfRule>
  </conditionalFormatting>
  <conditionalFormatting sqref="E24">
    <cfRule type="expression" dxfId="912" priority="98">
      <formula>AND($A$23="",$E$23&gt;0)</formula>
    </cfRule>
    <cfRule type="expression" dxfId="911" priority="99">
      <formula>AND($A$23="Biogas",$D$23&lt;1)</formula>
    </cfRule>
  </conditionalFormatting>
  <conditionalFormatting sqref="A24:D24">
    <cfRule type="expression" dxfId="910" priority="97">
      <formula>AND($A$23="Biogas",$D$23&lt;1)</formula>
    </cfRule>
  </conditionalFormatting>
  <conditionalFormatting sqref="D23">
    <cfRule type="expression" dxfId="909" priority="94">
      <formula>AND($A$23&lt;&gt;"Biogas",$D$23&lt;1)</formula>
    </cfRule>
    <cfRule type="expression" dxfId="908" priority="95">
      <formula>$A$23="Biogas"</formula>
    </cfRule>
    <cfRule type="expression" dxfId="907" priority="96">
      <formula>$E$23&lt;&gt;0</formula>
    </cfRule>
  </conditionalFormatting>
  <conditionalFormatting sqref="C28:F28">
    <cfRule type="expression" dxfId="906" priority="93">
      <formula>$E$28&gt;0</formula>
    </cfRule>
  </conditionalFormatting>
  <conditionalFormatting sqref="A28:E28">
    <cfRule type="expression" dxfId="905" priority="92">
      <formula>AND($A$28="Biogas",$D$28&lt;1)</formula>
    </cfRule>
  </conditionalFormatting>
  <conditionalFormatting sqref="A29:E29">
    <cfRule type="expression" dxfId="904" priority="91">
      <formula>AND($A$28="Biogas",$E$29&gt;0)</formula>
    </cfRule>
  </conditionalFormatting>
  <conditionalFormatting sqref="A29:D29">
    <cfRule type="expression" dxfId="903" priority="90">
      <formula>AND($A$28="Biogas",$D$28&lt;1)</formula>
    </cfRule>
  </conditionalFormatting>
  <conditionalFormatting sqref="D28">
    <cfRule type="expression" dxfId="902" priority="87">
      <formula>AND($A$28&lt;&gt;"Biogas",$D$28&lt;1)</formula>
    </cfRule>
    <cfRule type="expression" dxfId="901" priority="88">
      <formula>$A$28="Biogas"</formula>
    </cfRule>
    <cfRule type="expression" dxfId="900" priority="89">
      <formula>$E$28&lt;&gt;0</formula>
    </cfRule>
  </conditionalFormatting>
  <conditionalFormatting sqref="E28:F28">
    <cfRule type="expression" dxfId="899" priority="86">
      <formula>AND($A$28="",$E$28&gt;0)</formula>
    </cfRule>
  </conditionalFormatting>
  <conditionalFormatting sqref="E29">
    <cfRule type="expression" dxfId="898" priority="84">
      <formula>AND($A$28="",$E$28&gt;0)</formula>
    </cfRule>
    <cfRule type="expression" dxfId="897" priority="85">
      <formula>AND($A$28="Biogas",$D$28&lt;1)</formula>
    </cfRule>
  </conditionalFormatting>
  <conditionalFormatting sqref="C59:F59">
    <cfRule type="expression" dxfId="896" priority="78">
      <formula>$E$59&gt;0</formula>
    </cfRule>
  </conditionalFormatting>
  <conditionalFormatting sqref="E59">
    <cfRule type="expression" dxfId="895" priority="77">
      <formula>AND($A$59="",$E$59&gt;0)</formula>
    </cfRule>
  </conditionalFormatting>
  <conditionalFormatting sqref="A60:E60">
    <cfRule type="expression" dxfId="894" priority="75">
      <formula>AND($A$59="Biogas",$E$60&gt;0)</formula>
    </cfRule>
  </conditionalFormatting>
  <conditionalFormatting sqref="E60">
    <cfRule type="expression" dxfId="893" priority="73">
      <formula>AND($A$59="",$E$59&gt;0)</formula>
    </cfRule>
    <cfRule type="expression" dxfId="892" priority="74">
      <formula>AND($A$59="Biogas",$D$59&lt;1)</formula>
    </cfRule>
  </conditionalFormatting>
  <conditionalFormatting sqref="A59:E59">
    <cfRule type="expression" dxfId="891" priority="72">
      <formula>AND($A$59="Biogas",$D$59&lt;1)</formula>
    </cfRule>
  </conditionalFormatting>
  <conditionalFormatting sqref="A60:D60">
    <cfRule type="expression" dxfId="890" priority="71">
      <formula>AND($A$59="Biogas",$D$59&lt;1)</formula>
    </cfRule>
  </conditionalFormatting>
  <conditionalFormatting sqref="D59">
    <cfRule type="expression" dxfId="889" priority="68">
      <formula>AND($A$59&lt;&gt;"Biogas",$D$59&lt;1)</formula>
    </cfRule>
    <cfRule type="expression" dxfId="888" priority="69">
      <formula>$A$59="Biogas"</formula>
    </cfRule>
    <cfRule type="expression" dxfId="887" priority="70">
      <formula>$E$59&lt;&gt;0</formula>
    </cfRule>
  </conditionalFormatting>
  <conditionalFormatting sqref="I28">
    <cfRule type="expression" dxfId="886" priority="67">
      <formula>J28&lt;&gt;""</formula>
    </cfRule>
  </conditionalFormatting>
  <conditionalFormatting sqref="I33">
    <cfRule type="expression" dxfId="885" priority="66">
      <formula>J33&lt;&gt;""</formula>
    </cfRule>
  </conditionalFormatting>
  <conditionalFormatting sqref="I37">
    <cfRule type="expression" dxfId="884" priority="65">
      <formula>J37&lt;&gt;""</formula>
    </cfRule>
  </conditionalFormatting>
  <conditionalFormatting sqref="E41:F41">
    <cfRule type="expression" dxfId="883" priority="62">
      <formula>AND($A$41="",$M$41&gt;0)</formula>
    </cfRule>
  </conditionalFormatting>
  <conditionalFormatting sqref="A67:H67 J67:N67">
    <cfRule type="expression" dxfId="882" priority="258">
      <formula>$M$67&lt;&gt;0</formula>
    </cfRule>
  </conditionalFormatting>
  <conditionalFormatting sqref="R16 O46:O48 O50:O51 O42:O44 O10:O40 O53 S14:U20 O57:O58">
    <cfRule type="expression" dxfId="881" priority="936">
      <formula>$S$18&gt;0</formula>
    </cfRule>
  </conditionalFormatting>
  <conditionalFormatting sqref="E20">
    <cfRule type="expression" dxfId="880" priority="1053">
      <formula>AND($A$28="",$E$28&gt;0)</formula>
    </cfRule>
    <cfRule type="expression" dxfId="879" priority="1054">
      <formula>AND($A$19="Biogas",$D$19&lt;1)</formula>
    </cfRule>
  </conditionalFormatting>
  <conditionalFormatting sqref="G65 J65">
    <cfRule type="expression" dxfId="878" priority="57">
      <formula>AND($M$65&gt;0,$H$65=0)</formula>
    </cfRule>
  </conditionalFormatting>
  <conditionalFormatting sqref="N65 K65:L65 O60:O74">
    <cfRule type="expression" dxfId="877" priority="55">
      <formula>($M$65&gt;0)</formula>
    </cfRule>
  </conditionalFormatting>
  <conditionalFormatting sqref="N65">
    <cfRule type="expression" dxfId="876" priority="56">
      <formula>AND($H$65&gt;0,$M$65=0)</formula>
    </cfRule>
  </conditionalFormatting>
  <conditionalFormatting sqref="G64:J64 G65 J65">
    <cfRule type="expression" dxfId="875" priority="54">
      <formula>($H$65&gt;0)</formula>
    </cfRule>
  </conditionalFormatting>
  <conditionalFormatting sqref="S37:S38">
    <cfRule type="expression" dxfId="874" priority="50">
      <formula>($S$18+$S$33)=0</formula>
    </cfRule>
    <cfRule type="expression" dxfId="873" priority="51">
      <formula>AND($S$38&gt;0.99,$S$38&lt;1.01)</formula>
    </cfRule>
  </conditionalFormatting>
  <conditionalFormatting sqref="S39">
    <cfRule type="expression" dxfId="872" priority="49">
      <formula>AND($S$38&gt;0.99,$S$38&lt;1.01)</formula>
    </cfRule>
  </conditionalFormatting>
  <conditionalFormatting sqref="S52">
    <cfRule type="expression" dxfId="871" priority="43">
      <formula>AND($S$51&gt;0.99,$S$51&lt;1.01)</formula>
    </cfRule>
  </conditionalFormatting>
  <conditionalFormatting sqref="S50:S51 S53 S57">
    <cfRule type="expression" dxfId="870" priority="1107">
      <formula>$S$46=0</formula>
    </cfRule>
    <cfRule type="expression" dxfId="869" priority="1108">
      <formula>AND($S$51&gt;0.99,$S$51&lt;1.01)</formula>
    </cfRule>
  </conditionalFormatting>
  <conditionalFormatting sqref="H19">
    <cfRule type="expression" dxfId="868" priority="37">
      <formula>AND($M$20&gt;0,$H$20=0)</formula>
    </cfRule>
  </conditionalFormatting>
  <conditionalFormatting sqref="M73">
    <cfRule type="expression" dxfId="867" priority="36">
      <formula>$M$73&gt;SUM($M$60,$M$70)</formula>
    </cfRule>
  </conditionalFormatting>
  <conditionalFormatting sqref="N12 J12:L12 A12:H12">
    <cfRule type="expression" dxfId="866" priority="35">
      <formula>$M$12&gt;0</formula>
    </cfRule>
  </conditionalFormatting>
  <conditionalFormatting sqref="J12 H12">
    <cfRule type="expression" dxfId="865" priority="34">
      <formula>AND($M$12&gt;0,$I$12=0)</formula>
    </cfRule>
  </conditionalFormatting>
  <conditionalFormatting sqref="O9">
    <cfRule type="expression" dxfId="864" priority="32">
      <formula>$S$33&gt;0</formula>
    </cfRule>
  </conditionalFormatting>
  <conditionalFormatting sqref="O9">
    <cfRule type="expression" dxfId="863" priority="33">
      <formula>$S$18&gt;0</formula>
    </cfRule>
  </conditionalFormatting>
  <conditionalFormatting sqref="N10">
    <cfRule type="expression" dxfId="862" priority="31">
      <formula>AND($I$10&gt;0,$M$10=0)</formula>
    </cfRule>
  </conditionalFormatting>
  <conditionalFormatting sqref="N12">
    <cfRule type="expression" dxfId="861" priority="30">
      <formula>AND($I$12&gt;0,$M$12=0)</formula>
    </cfRule>
  </conditionalFormatting>
  <conditionalFormatting sqref="H55 J55">
    <cfRule type="expression" dxfId="860" priority="26">
      <formula>AND($M$55&gt;0,$I$55=0)</formula>
    </cfRule>
  </conditionalFormatting>
  <conditionalFormatting sqref="A55:H55 J55:L55 N55:P55">
    <cfRule type="expression" dxfId="859" priority="20">
      <formula>$M$55&gt;0</formula>
    </cfRule>
  </conditionalFormatting>
  <conditionalFormatting sqref="N55">
    <cfRule type="expression" dxfId="858" priority="12">
      <formula>AND($I$55&gt;0,$M$55=0)</formula>
    </cfRule>
  </conditionalFormatting>
  <conditionalFormatting sqref="C56">
    <cfRule type="expression" dxfId="857" priority="11">
      <formula>$E$33&gt;0</formula>
    </cfRule>
  </conditionalFormatting>
  <conditionalFormatting sqref="C56">
    <cfRule type="expression" dxfId="856" priority="10">
      <formula>$E$37&gt;0</formula>
    </cfRule>
  </conditionalFormatting>
  <conditionalFormatting sqref="C56">
    <cfRule type="expression" dxfId="855" priority="9">
      <formula>$E$45&gt;0</formula>
    </cfRule>
  </conditionalFormatting>
  <conditionalFormatting sqref="C56">
    <cfRule type="expression" dxfId="854" priority="8">
      <formula>$E$49&gt;0</formula>
    </cfRule>
  </conditionalFormatting>
  <conditionalFormatting sqref="C56">
    <cfRule type="expression" dxfId="853" priority="7">
      <formula>$E$53&gt;0</formula>
    </cfRule>
  </conditionalFormatting>
  <conditionalFormatting sqref="C54">
    <cfRule type="expression" dxfId="852" priority="6">
      <formula>$E$33&gt;0</formula>
    </cfRule>
  </conditionalFormatting>
  <conditionalFormatting sqref="C54">
    <cfRule type="expression" dxfId="851" priority="5">
      <formula>$E$37&gt;0</formula>
    </cfRule>
  </conditionalFormatting>
  <conditionalFormatting sqref="C54">
    <cfRule type="expression" dxfId="850" priority="4">
      <formula>$E$45&gt;0</formula>
    </cfRule>
  </conditionalFormatting>
  <conditionalFormatting sqref="C54">
    <cfRule type="expression" dxfId="849" priority="3">
      <formula>$E$49&gt;0</formula>
    </cfRule>
  </conditionalFormatting>
  <conditionalFormatting sqref="C54">
    <cfRule type="expression" dxfId="848" priority="2">
      <formula>$E$53&gt;0</formula>
    </cfRule>
  </conditionalFormatting>
  <conditionalFormatting sqref="H67 J67">
    <cfRule type="expression" dxfId="847" priority="1">
      <formula>AND($M$67&gt;0,$I$67=0)</formula>
    </cfRule>
  </conditionalFormatting>
  <dataValidations count="17">
    <dataValidation type="custom" allowBlank="1" showInputMessage="1" showErrorMessage="1" errorTitle="Netzrückspeisung zu hoch" error="Die Netzrückspeisung darf nicht grösser sein als die Summe der mit WKK und Solarstromanlage erzeugten Elektrizität." sqref="M73">
      <formula1>AF73</formula1>
    </dataValidation>
    <dataValidation type="list" allowBlank="1" showInputMessage="1" showErrorMessage="1" sqref="S77:S79">
      <formula1>$AH$77:$AH$78</formula1>
    </dataValidation>
    <dataValidation type="list" allowBlank="1" showInputMessage="1" showErrorMessage="1" sqref="B77:E79">
      <formula1>$AC$77:$AC$79</formula1>
    </dataValidation>
    <dataValidation type="decimal" allowBlank="1" showInputMessage="1" showErrorMessage="1" error="Wert muss zwischen 400 und 1'500 liegen" sqref="I71">
      <formula1>400</formula1>
      <formula2>1500</formula2>
    </dataValidation>
    <dataValidation type="decimal" allowBlank="1" showInputMessage="1" showErrorMessage="1" error="Wert muss zwischen 5 und 100 liegen" sqref="J53">
      <formula1>5</formula1>
      <formula2>100</formula2>
    </dataValidation>
    <dataValidation type="list" allowBlank="1" showInputMessage="1" showErrorMessage="1" sqref="A23:B23 A19:B19 A59:B59">
      <formula1>Brennstoffe</formula1>
    </dataValidation>
    <dataValidation type="decimal" allowBlank="1" showInputMessage="1" showErrorMessage="1" error="Wert muss zwischen 0.5 und 1.0 liegen" sqref="J20 J24">
      <formula1>0.5</formula1>
      <formula2>1</formula2>
    </dataValidation>
    <dataValidation type="decimal" allowBlank="1" showInputMessage="1" showErrorMessage="1" error="Wert muss zwischen 200 und 800 liegen" sqref="I16">
      <formula1>200</formula1>
      <formula2>800</formula2>
    </dataValidation>
    <dataValidation type="decimal" allowBlank="1" showInputMessage="1" showErrorMessage="1" error="Wert muss zwischen 2.0 und 8.0 liegen" sqref="J28 J33 J37">
      <formula1>2</formula1>
      <formula2>8</formula2>
    </dataValidation>
    <dataValidation type="decimal" allowBlank="1" showErrorMessage="1" error="Wert muss zwischen 0.5 und 1.0 liegen" prompt="Wert muss zwischen 0.5 und 1.0 liegen" sqref="J60">
      <formula1>0.5</formula1>
      <formula2>1</formula2>
    </dataValidation>
    <dataValidation type="decimal" showInputMessage="1" showErrorMessage="1" error="Wert muss im Bereich 5 ... 100% liegen" sqref="C23:D23 C19:D19 C28:D28 C59:D59">
      <formula1>0.05</formula1>
      <formula2>1</formula2>
    </dataValidation>
    <dataValidation type="list" allowBlank="1" showInputMessage="1" showErrorMessage="1" sqref="A28:B28">
      <formula1>Gasbrennstoffe</formula1>
    </dataValidation>
    <dataValidation type="decimal" allowBlank="1" showInputMessage="1" showErrorMessage="1" error="Wert muss zwischen 1.5 und 8.0 liegen" sqref="J45 J49">
      <formula1>1.5</formula1>
      <formula2>8</formula2>
    </dataValidation>
    <dataValidation type="decimal" allowBlank="1" showInputMessage="1" showErrorMessage="1" error="Wert muss zwischen 0.3 und 1.5 liegen" sqref="J41">
      <formula1>0.3</formula1>
      <formula2>1.5</formula2>
    </dataValidation>
    <dataValidation type="list" allowBlank="1" showInputMessage="1" showErrorMessage="1" sqref="A26:B26 A35:B35 A31:B31">
      <formula1>$AC$12:$AC$16</formula1>
    </dataValidation>
    <dataValidation type="list" allowBlank="1" showInputMessage="1" showErrorMessage="1" sqref="A41:B41">
      <formula1>$AC$19:$AC$20</formula1>
    </dataValidation>
    <dataValidation type="decimal" operator="greaterThanOrEqual" allowBlank="1" showInputMessage="1" showErrorMessage="1" sqref="I10 I12 H15:I15 H19:I19 H23:I23 H27:I27 H32:I32 H36:I36 H40:I40 H44:I44 H48:I48 H52:I52 H59:I59 H65:I65 I67 H70:I70 I55">
      <formula1>0</formula1>
    </dataValidation>
  </dataValidations>
  <hyperlinks>
    <hyperlink ref="I2" location="Neu_in_Version" display="i"/>
  </hyperlinks>
  <printOptions horizontalCentered="1"/>
  <pageMargins left="0.70866141732283472" right="0.70866141732283472" top="0.39370078740157483" bottom="0.82677165354330717" header="0.39370078740157483" footer="0.39370078740157483"/>
  <pageSetup paperSize="9" scale="72" orientation="portrait" r:id="rId1"/>
  <headerFooter scaleWithDoc="0">
    <oddFooter>&amp;L&amp;8&amp;G&amp;CSeite &amp;P/&amp;N&amp;6
                                                          &amp;D/&amp;F&amp;R&amp;G</oddFooter>
  </headerFooter>
  <drawing r:id="rId2"/>
  <legacyDrawing r:id="rId3"/>
  <legacyDrawingHF r:id="rId4"/>
  <extLst>
    <ext xmlns:x14="http://schemas.microsoft.com/office/spreadsheetml/2009/9/main" uri="{78C0D931-6437-407d-A8EE-F0AAD7539E65}">
      <x14:conditionalFormattings>
        <x14:conditionalFormatting xmlns:xm="http://schemas.microsoft.com/office/excel/2006/main">
          <x14:cfRule type="expression" priority="28" id="{5177B4A5-3215-4539-B5F9-FCAD3812F30E}">
            <xm:f>EV_Var1!$S$33&gt;0</xm:f>
            <x14:dxf>
              <fill>
                <patternFill>
                  <bgColor theme="9" tint="0.39994506668294322"/>
                </patternFill>
              </fill>
            </x14:dxf>
          </x14:cfRule>
          <xm:sqref>O54</xm:sqref>
        </x14:conditionalFormatting>
        <x14:conditionalFormatting xmlns:xm="http://schemas.microsoft.com/office/excel/2006/main">
          <x14:cfRule type="expression" priority="27" id="{8EC4DE67-080F-4515-8C26-DE12E3E455C9}">
            <xm:f>EV_Var1!$S$18&gt;0</xm:f>
            <x14:dxf>
              <fill>
                <patternFill>
                  <bgColor theme="9" tint="0.39994506668294322"/>
                </patternFill>
              </fill>
            </x14:dxf>
          </x14:cfRule>
          <xm:sqref>O54</xm:sqref>
        </x14:conditionalFormatting>
        <x14:conditionalFormatting xmlns:xm="http://schemas.microsoft.com/office/excel/2006/main">
          <x14:cfRule type="expression" priority="14" id="{A2119731-F3A8-4BF0-9A2F-A356664C0279}">
            <xm:f>EV_Var1!$S$33&gt;0</xm:f>
            <x14:dxf>
              <fill>
                <patternFill>
                  <bgColor theme="9" tint="0.39994506668294322"/>
                </patternFill>
              </fill>
            </x14:dxf>
          </x14:cfRule>
          <xm:sqref>O56</xm:sqref>
        </x14:conditionalFormatting>
        <x14:conditionalFormatting xmlns:xm="http://schemas.microsoft.com/office/excel/2006/main">
          <x14:cfRule type="expression" priority="13" id="{B156BC40-95A6-412B-B376-D34225B8FBDD}">
            <xm:f>EV_Var1!$S$18&gt;0</xm:f>
            <x14:dxf>
              <fill>
                <patternFill>
                  <bgColor theme="9" tint="0.39994506668294322"/>
                </patternFill>
              </fill>
            </x14:dxf>
          </x14:cfRule>
          <xm:sqref>O56</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9" tint="0.39997558519241921"/>
    <outlinePr summaryBelow="0"/>
    <pageSetUpPr fitToPage="1"/>
  </sheetPr>
  <dimension ref="A1:BQ167"/>
  <sheetViews>
    <sheetView showGridLines="0" showZeros="0" zoomScaleNormal="100" zoomScaleSheetLayoutView="100" workbookViewId="0">
      <pane ySplit="8" topLeftCell="A9" activePane="bottomLeft" state="frozen"/>
      <selection activeCell="B44" sqref="B44:D44"/>
      <selection pane="bottomLeft" activeCell="A15" sqref="A15"/>
    </sheetView>
  </sheetViews>
  <sheetFormatPr baseColWidth="10" defaultColWidth="11.375" defaultRowHeight="12.9" customHeight="1" x14ac:dyDescent="0.2"/>
  <cols>
    <col min="1" max="1" width="15.375" style="86" customWidth="1"/>
    <col min="2" max="2" width="13.75" style="86" customWidth="1"/>
    <col min="3" max="3" width="9.375" style="84" customWidth="1"/>
    <col min="4" max="5" width="6.625" style="84" customWidth="1"/>
    <col min="6" max="6" width="6.25" style="84" customWidth="1"/>
    <col min="7" max="7" width="8.625" style="84" customWidth="1"/>
    <col min="8" max="9" width="4.375" style="83" customWidth="1"/>
    <col min="10" max="10" width="10.75" style="83" customWidth="1"/>
    <col min="11" max="11" width="4.875" style="86" customWidth="1"/>
    <col min="12" max="13" width="4.25" style="86" customWidth="1"/>
    <col min="14" max="14" width="9.75" style="86" customWidth="1"/>
    <col min="15" max="15" width="4.25" style="86" customWidth="1"/>
    <col min="16" max="16" width="15.75" style="86" customWidth="1"/>
    <col min="17" max="19" width="8.75" style="270" customWidth="1"/>
    <col min="20" max="20" width="8.75" style="278" customWidth="1"/>
    <col min="21" max="33" width="8.75" style="270" customWidth="1"/>
    <col min="34" max="36" width="8.75" style="380" customWidth="1"/>
    <col min="37" max="69" width="8.75" style="381" customWidth="1"/>
    <col min="70" max="16384" width="11.375" style="83"/>
  </cols>
  <sheetData>
    <row r="1" spans="1:69" s="1069" customFormat="1" ht="56.25" customHeight="1" x14ac:dyDescent="0.2">
      <c r="A1" s="1131"/>
      <c r="B1" s="1131"/>
      <c r="C1" s="2705"/>
      <c r="D1" s="2705"/>
      <c r="E1" s="2705"/>
      <c r="F1" s="2705"/>
      <c r="G1" s="2705"/>
      <c r="H1" s="2705"/>
      <c r="I1" s="313"/>
      <c r="J1" s="313"/>
      <c r="K1" s="313"/>
      <c r="L1" s="313"/>
      <c r="M1" s="313"/>
      <c r="N1" s="313"/>
      <c r="O1" s="1083"/>
      <c r="P1" s="313"/>
      <c r="Q1" s="295"/>
      <c r="R1" s="274"/>
      <c r="S1" s="437"/>
      <c r="T1" s="437"/>
      <c r="U1" s="437"/>
      <c r="V1" s="437"/>
      <c r="W1" s="437"/>
      <c r="X1" s="437"/>
      <c r="Y1" s="437"/>
      <c r="Z1" s="437"/>
      <c r="AA1" s="437"/>
      <c r="AB1" s="437"/>
      <c r="AC1" s="437"/>
      <c r="AD1" s="437"/>
      <c r="AE1" s="437"/>
      <c r="AF1" s="296"/>
      <c r="AG1" s="296"/>
      <c r="AH1" s="1009"/>
      <c r="AI1" s="1009"/>
      <c r="AJ1" s="1009"/>
      <c r="AK1" s="1009"/>
      <c r="AL1" s="1009"/>
      <c r="AM1" s="1009"/>
      <c r="AN1" s="1009"/>
      <c r="AO1" s="1009"/>
      <c r="AP1" s="1009"/>
      <c r="AQ1" s="1009"/>
      <c r="AR1" s="1009"/>
      <c r="AS1" s="1009"/>
      <c r="AT1" s="1009"/>
      <c r="AU1" s="1009"/>
      <c r="AV1" s="1009"/>
      <c r="AW1" s="1009"/>
      <c r="AX1" s="1009"/>
      <c r="AY1" s="1009"/>
      <c r="AZ1" s="1009"/>
      <c r="BA1" s="1009"/>
      <c r="BB1" s="1009"/>
      <c r="BC1" s="1009"/>
      <c r="BD1" s="1009"/>
      <c r="BE1" s="1009"/>
      <c r="BF1" s="1009"/>
      <c r="BG1" s="1009"/>
      <c r="BH1" s="1009"/>
      <c r="BI1" s="1009"/>
      <c r="BJ1" s="1009"/>
      <c r="BK1" s="1009"/>
      <c r="BL1" s="1009"/>
      <c r="BM1" s="1009"/>
      <c r="BN1" s="1009"/>
      <c r="BO1" s="1009"/>
      <c r="BP1" s="1009"/>
      <c r="BQ1" s="1009"/>
    </row>
    <row r="2" spans="1:69" s="1069" customFormat="1" ht="13.6" customHeight="1" x14ac:dyDescent="0.25">
      <c r="A2" s="1132" t="str">
        <f>CONCATENATE("Variantenvergleich Energiesysteme - Version ",Versionsinfo!$B$4)</f>
        <v>Variantenvergleich Energiesysteme - Version 2.2</v>
      </c>
      <c r="B2" s="1132"/>
      <c r="C2" s="314"/>
      <c r="D2" s="314"/>
      <c r="E2" s="314"/>
      <c r="F2" s="1535"/>
      <c r="G2" s="1536" t="s">
        <v>684</v>
      </c>
      <c r="H2" s="313"/>
      <c r="I2" s="313"/>
      <c r="J2" s="313"/>
      <c r="K2" s="313"/>
      <c r="L2" s="313"/>
      <c r="M2" s="313"/>
      <c r="N2" s="313"/>
      <c r="O2" s="1083"/>
      <c r="P2" s="199"/>
      <c r="Q2" s="199"/>
      <c r="R2" s="199"/>
      <c r="S2" s="199"/>
      <c r="T2" s="199"/>
      <c r="U2" s="439"/>
      <c r="V2" s="440"/>
      <c r="W2" s="437"/>
      <c r="X2" s="437"/>
      <c r="Y2" s="437"/>
      <c r="Z2" s="437"/>
      <c r="AA2" s="437"/>
      <c r="AB2" s="437"/>
      <c r="AC2" s="437"/>
      <c r="AD2" s="437"/>
      <c r="AE2" s="437"/>
      <c r="AF2" s="296"/>
      <c r="AG2" s="296"/>
      <c r="AH2" s="1009"/>
      <c r="AI2" s="1009"/>
      <c r="AJ2" s="1009"/>
      <c r="AK2" s="1009"/>
      <c r="AL2" s="1009"/>
      <c r="AM2" s="1009"/>
      <c r="AN2" s="1009"/>
      <c r="AO2" s="1009"/>
      <c r="AP2" s="1009"/>
      <c r="AQ2" s="1009"/>
      <c r="AR2" s="1009"/>
      <c r="AS2" s="1009"/>
      <c r="AT2" s="1009"/>
      <c r="AU2" s="1009"/>
      <c r="AV2" s="1009"/>
      <c r="AW2" s="1009"/>
      <c r="AX2" s="1009"/>
      <c r="AY2" s="1009"/>
      <c r="AZ2" s="1009"/>
      <c r="BA2" s="1009"/>
      <c r="BB2" s="1009"/>
      <c r="BC2" s="1009"/>
      <c r="BD2" s="1009"/>
      <c r="BE2" s="1009"/>
      <c r="BF2" s="1009"/>
      <c r="BG2" s="1009"/>
      <c r="BH2" s="1009"/>
      <c r="BI2" s="1009"/>
      <c r="BJ2" s="1009"/>
      <c r="BK2" s="1009"/>
      <c r="BL2" s="1009"/>
      <c r="BM2" s="1009"/>
      <c r="BN2" s="1009"/>
      <c r="BO2" s="1009"/>
      <c r="BP2" s="1009"/>
      <c r="BQ2" s="1009"/>
    </row>
    <row r="3" spans="1:69" s="1069" customFormat="1" ht="12.75" customHeight="1" x14ac:dyDescent="0.2">
      <c r="A3" s="1133" t="s">
        <v>178</v>
      </c>
      <c r="B3" s="1133"/>
      <c r="C3" s="314"/>
      <c r="D3" s="314"/>
      <c r="E3" s="314"/>
      <c r="F3" s="314"/>
      <c r="G3" s="314"/>
      <c r="H3" s="314"/>
      <c r="I3" s="314"/>
      <c r="J3" s="314"/>
      <c r="K3" s="314"/>
      <c r="L3" s="314"/>
      <c r="M3" s="314"/>
      <c r="N3" s="314"/>
      <c r="P3" s="199"/>
      <c r="Q3" s="199"/>
      <c r="R3" s="199"/>
      <c r="S3" s="199"/>
      <c r="T3" s="199"/>
      <c r="U3" s="296"/>
      <c r="V3" s="296"/>
      <c r="W3" s="296"/>
      <c r="X3" s="296"/>
      <c r="Y3" s="296"/>
      <c r="Z3" s="296"/>
      <c r="AA3" s="296"/>
      <c r="AB3" s="296"/>
      <c r="AC3" s="296"/>
      <c r="AD3" s="296"/>
      <c r="AE3" s="296"/>
      <c r="AF3" s="296"/>
      <c r="AG3" s="296"/>
      <c r="AH3" s="1009"/>
      <c r="AI3" s="1009"/>
      <c r="AJ3" s="1009"/>
      <c r="AK3" s="1009"/>
      <c r="AL3" s="1009"/>
      <c r="AM3" s="1009"/>
      <c r="AN3" s="1009"/>
      <c r="AO3" s="1009"/>
      <c r="AP3" s="1009"/>
      <c r="AQ3" s="1009"/>
      <c r="AR3" s="1009"/>
      <c r="AS3" s="1009"/>
      <c r="AT3" s="1009"/>
      <c r="AU3" s="1009"/>
      <c r="AV3" s="1009"/>
      <c r="AW3" s="1009"/>
      <c r="AX3" s="1009"/>
      <c r="AY3" s="1009"/>
      <c r="AZ3" s="1009"/>
      <c r="BA3" s="1009"/>
      <c r="BB3" s="1009"/>
      <c r="BC3" s="1009"/>
      <c r="BD3" s="1009"/>
      <c r="BE3" s="1009"/>
      <c r="BF3" s="1009"/>
      <c r="BG3" s="1009"/>
      <c r="BH3" s="1009"/>
      <c r="BI3" s="1009"/>
      <c r="BJ3" s="1009"/>
      <c r="BK3" s="1009"/>
      <c r="BL3" s="1009"/>
      <c r="BM3" s="1009"/>
      <c r="BN3" s="1009"/>
      <c r="BO3" s="1009"/>
      <c r="BP3" s="1009"/>
      <c r="BQ3" s="1009"/>
    </row>
    <row r="4" spans="1:69" s="1069" customFormat="1" ht="23.95" customHeight="1" x14ac:dyDescent="0.2">
      <c r="A4" s="314"/>
      <c r="B4" s="314"/>
      <c r="C4" s="314"/>
      <c r="D4" s="314"/>
      <c r="E4" s="314"/>
      <c r="F4" s="314"/>
      <c r="G4" s="314"/>
      <c r="H4" s="314"/>
      <c r="I4" s="314"/>
      <c r="J4" s="314"/>
      <c r="K4" s="314"/>
      <c r="L4" s="314"/>
      <c r="M4" s="314"/>
      <c r="N4" s="314"/>
      <c r="P4" s="314"/>
      <c r="Q4" s="296"/>
      <c r="R4" s="275"/>
      <c r="S4" s="551"/>
      <c r="T4" s="296"/>
      <c r="U4" s="296"/>
      <c r="V4" s="296"/>
      <c r="W4" s="296"/>
      <c r="X4" s="296"/>
      <c r="Y4" s="296"/>
      <c r="Z4" s="296"/>
      <c r="AA4" s="296"/>
      <c r="AB4" s="296"/>
      <c r="AC4" s="296"/>
      <c r="AD4" s="296"/>
      <c r="AE4" s="296"/>
      <c r="AF4" s="296"/>
      <c r="AG4" s="296"/>
      <c r="AH4" s="1009"/>
      <c r="AI4" s="1009"/>
      <c r="AJ4" s="1009"/>
      <c r="AK4" s="1009"/>
      <c r="AL4" s="1009"/>
      <c r="AM4" s="1009"/>
      <c r="AN4" s="1009"/>
      <c r="AO4" s="1009"/>
      <c r="AP4" s="1009"/>
      <c r="AQ4" s="1009"/>
      <c r="AR4" s="1009"/>
      <c r="AS4" s="1009"/>
      <c r="AT4" s="1009"/>
      <c r="AU4" s="1009"/>
      <c r="AV4" s="1009"/>
      <c r="AW4" s="1009"/>
      <c r="AX4" s="1009"/>
      <c r="AY4" s="1009"/>
      <c r="AZ4" s="1009"/>
      <c r="BA4" s="1009"/>
      <c r="BB4" s="1009"/>
      <c r="BC4" s="1009"/>
      <c r="BD4" s="1009"/>
      <c r="BE4" s="1009"/>
      <c r="BF4" s="1009"/>
      <c r="BG4" s="1009"/>
      <c r="BH4" s="1009"/>
      <c r="BI4" s="1009"/>
      <c r="BJ4" s="1009"/>
      <c r="BK4" s="1009"/>
      <c r="BL4" s="1009"/>
      <c r="BM4" s="1009"/>
      <c r="BN4" s="1009"/>
      <c r="BO4" s="1009"/>
      <c r="BP4" s="1009"/>
      <c r="BQ4" s="1009"/>
    </row>
    <row r="5" spans="1:69" s="108" customFormat="1" ht="12.9" customHeight="1" x14ac:dyDescent="0.2">
      <c r="A5" s="1308">
        <f>Projektdaten!C8</f>
        <v>0</v>
      </c>
      <c r="B5" s="1308"/>
      <c r="L5" s="164"/>
      <c r="M5" s="164"/>
      <c r="N5" s="164">
        <f>Projektdaten!I8</f>
        <v>0</v>
      </c>
      <c r="P5" s="164"/>
      <c r="Q5" s="270"/>
      <c r="R5" s="276"/>
      <c r="S5" s="1069"/>
      <c r="T5" s="278"/>
      <c r="U5" s="270"/>
      <c r="V5" s="270"/>
      <c r="W5" s="270"/>
      <c r="X5" s="270"/>
      <c r="Y5" s="270"/>
      <c r="Z5" s="270"/>
      <c r="AA5" s="270"/>
      <c r="AB5" s="270"/>
      <c r="AC5" s="270"/>
      <c r="AD5" s="270"/>
      <c r="AE5" s="270"/>
      <c r="AF5" s="270"/>
      <c r="AG5" s="270"/>
      <c r="AH5" s="380"/>
      <c r="AI5" s="380"/>
      <c r="AJ5" s="380"/>
      <c r="AK5" s="381"/>
      <c r="AL5" s="381"/>
      <c r="AM5" s="381"/>
      <c r="AN5" s="381"/>
      <c r="AO5" s="381"/>
      <c r="AP5" s="381"/>
      <c r="AQ5" s="381"/>
      <c r="AR5" s="381"/>
      <c r="AS5" s="381"/>
      <c r="AT5" s="381"/>
      <c r="AU5" s="381"/>
      <c r="AV5" s="381"/>
      <c r="AW5" s="381"/>
      <c r="AX5" s="381"/>
      <c r="AY5" s="381"/>
      <c r="AZ5" s="381"/>
      <c r="BA5" s="381"/>
      <c r="BB5" s="381"/>
      <c r="BC5" s="381"/>
      <c r="BD5" s="381"/>
      <c r="BE5" s="381"/>
      <c r="BF5" s="381"/>
      <c r="BG5" s="381"/>
      <c r="BH5" s="381"/>
      <c r="BI5" s="381"/>
      <c r="BJ5" s="381"/>
      <c r="BK5" s="381"/>
      <c r="BL5" s="381"/>
      <c r="BM5" s="381"/>
      <c r="BN5" s="381"/>
      <c r="BO5" s="381"/>
      <c r="BP5" s="381"/>
      <c r="BQ5" s="381"/>
    </row>
    <row r="6" spans="1:69" ht="5.3" customHeight="1" x14ac:dyDescent="0.2"/>
    <row r="7" spans="1:69" s="106" customFormat="1" ht="14.95" customHeight="1" x14ac:dyDescent="0.3">
      <c r="A7" s="521" t="s">
        <v>28</v>
      </c>
      <c r="B7" s="521"/>
      <c r="C7" s="343">
        <f>EV_Var1!E6</f>
        <v>0</v>
      </c>
      <c r="D7" s="343"/>
      <c r="E7" s="343"/>
      <c r="F7" s="165"/>
      <c r="G7" s="165"/>
      <c r="H7" s="1134"/>
      <c r="I7" s="1134"/>
      <c r="J7" s="1135"/>
      <c r="K7" s="1135"/>
      <c r="L7" s="1135"/>
      <c r="M7" s="1135"/>
      <c r="N7" s="1135"/>
      <c r="P7" s="315"/>
      <c r="Q7" s="297"/>
      <c r="R7" s="279"/>
      <c r="S7" s="441"/>
      <c r="T7" s="272"/>
      <c r="U7" s="442"/>
      <c r="V7" s="400"/>
      <c r="W7" s="442"/>
      <c r="X7" s="442"/>
      <c r="Y7" s="442"/>
      <c r="Z7" s="442"/>
      <c r="AA7" s="442"/>
      <c r="AB7" s="443"/>
      <c r="AC7" s="443"/>
      <c r="AD7" s="443"/>
      <c r="AE7" s="443"/>
      <c r="AF7" s="443"/>
      <c r="AG7" s="443"/>
      <c r="AH7" s="444"/>
      <c r="AI7" s="444"/>
      <c r="AJ7" s="444"/>
      <c r="AK7" s="445"/>
      <c r="AL7" s="445"/>
      <c r="AM7" s="446"/>
      <c r="AN7" s="446"/>
      <c r="AO7" s="446"/>
      <c r="AP7" s="446"/>
      <c r="AQ7" s="446"/>
      <c r="AR7" s="446"/>
      <c r="AS7" s="446"/>
      <c r="AT7" s="446"/>
      <c r="AU7" s="446"/>
      <c r="AV7" s="446"/>
      <c r="AW7" s="446"/>
      <c r="AX7" s="446"/>
      <c r="AY7" s="446"/>
      <c r="AZ7" s="446"/>
      <c r="BA7" s="446"/>
      <c r="BB7" s="446"/>
      <c r="BC7" s="446"/>
      <c r="BD7" s="446"/>
      <c r="BE7" s="446"/>
      <c r="BF7" s="446"/>
      <c r="BG7" s="446"/>
      <c r="BH7" s="446"/>
      <c r="BI7" s="446"/>
      <c r="BJ7" s="446"/>
      <c r="BK7" s="446"/>
      <c r="BL7" s="446"/>
      <c r="BM7" s="446"/>
      <c r="BN7" s="446"/>
      <c r="BO7" s="446"/>
      <c r="BP7" s="446"/>
      <c r="BQ7" s="446"/>
    </row>
    <row r="8" spans="1:69" s="104" customFormat="1" ht="5.95" customHeight="1" x14ac:dyDescent="0.3">
      <c r="A8" s="105"/>
      <c r="B8" s="105"/>
      <c r="H8" s="31" t="s">
        <v>12</v>
      </c>
      <c r="I8" s="31"/>
      <c r="J8" s="84"/>
      <c r="K8" s="84"/>
      <c r="L8" s="84"/>
      <c r="M8" s="84"/>
      <c r="N8" s="84"/>
      <c r="O8" s="84"/>
      <c r="P8" s="84"/>
      <c r="Q8" s="270"/>
      <c r="R8" s="280"/>
      <c r="S8" s="281"/>
      <c r="T8" s="272"/>
      <c r="U8" s="271"/>
      <c r="V8" s="271"/>
      <c r="W8" s="271"/>
      <c r="X8" s="271"/>
      <c r="Y8" s="271"/>
      <c r="Z8" s="271"/>
      <c r="AA8" s="271"/>
      <c r="AB8" s="270"/>
      <c r="AC8" s="270"/>
      <c r="AD8" s="270"/>
      <c r="AE8" s="270"/>
      <c r="AF8" s="270"/>
      <c r="AG8" s="270"/>
      <c r="AH8" s="380"/>
      <c r="AI8" s="380"/>
      <c r="AJ8" s="380"/>
      <c r="AK8" s="381"/>
      <c r="AL8" s="381"/>
      <c r="AM8" s="381"/>
      <c r="AN8" s="381"/>
      <c r="AO8" s="381"/>
      <c r="AP8" s="381"/>
      <c r="AQ8" s="381"/>
      <c r="AR8" s="381"/>
      <c r="AS8" s="381"/>
      <c r="AT8" s="381"/>
      <c r="AU8" s="381"/>
      <c r="AV8" s="381"/>
      <c r="AW8" s="381"/>
      <c r="AX8" s="381"/>
      <c r="AY8" s="381"/>
      <c r="AZ8" s="381"/>
      <c r="BA8" s="381"/>
      <c r="BB8" s="381"/>
      <c r="BC8" s="381"/>
      <c r="BD8" s="381"/>
      <c r="BE8" s="381"/>
      <c r="BF8" s="381"/>
      <c r="BG8" s="381"/>
      <c r="BH8" s="381"/>
      <c r="BI8" s="381"/>
      <c r="BJ8" s="381"/>
      <c r="BK8" s="381"/>
      <c r="BL8" s="381"/>
      <c r="BM8" s="381"/>
      <c r="BN8" s="381"/>
      <c r="BO8" s="381"/>
      <c r="BP8" s="381"/>
      <c r="BQ8" s="381"/>
    </row>
    <row r="9" spans="1:69" ht="17.350000000000001" customHeight="1" x14ac:dyDescent="0.25">
      <c r="A9" s="1108" t="s">
        <v>729</v>
      </c>
      <c r="B9" s="1108"/>
      <c r="I9" s="317" t="s">
        <v>757</v>
      </c>
      <c r="J9" s="318">
        <f>IF(ISBLANK(Grunddaten!$V$5),Grunddaten!$U$5,Grunddaten!$V$5)</f>
        <v>2.5000000000000001E-2</v>
      </c>
      <c r="K9" s="1124" t="s">
        <v>568</v>
      </c>
      <c r="L9" s="103"/>
      <c r="M9" s="103"/>
      <c r="N9" s="103"/>
      <c r="O9" s="103"/>
      <c r="P9" s="2540" t="s">
        <v>563</v>
      </c>
      <c r="Q9" s="2540"/>
      <c r="R9" s="2540"/>
      <c r="S9" s="2540"/>
      <c r="T9" s="272"/>
      <c r="U9" s="271"/>
      <c r="V9" s="271"/>
      <c r="W9" s="271"/>
      <c r="X9" s="271"/>
      <c r="Y9" s="271"/>
      <c r="Z9" s="271"/>
      <c r="AA9" s="271"/>
    </row>
    <row r="10" spans="1:69" ht="2.25" customHeight="1" thickBot="1" x14ac:dyDescent="0.25">
      <c r="O10" s="1069"/>
      <c r="P10" s="1123"/>
      <c r="Q10" s="1125"/>
      <c r="R10" s="1125"/>
      <c r="S10" s="1125"/>
      <c r="T10" s="272"/>
      <c r="U10" s="271"/>
      <c r="V10" s="271"/>
      <c r="W10" s="271"/>
      <c r="X10" s="271"/>
      <c r="Y10" s="271"/>
      <c r="Z10" s="271"/>
      <c r="AA10" s="271"/>
    </row>
    <row r="11" spans="1:69" s="382" customFormat="1" ht="11.25" customHeight="1" x14ac:dyDescent="0.2">
      <c r="A11" s="388" t="s">
        <v>318</v>
      </c>
      <c r="B11" s="2723" t="s">
        <v>578</v>
      </c>
      <c r="C11" s="2724"/>
      <c r="D11" s="2725"/>
      <c r="E11" s="2482" t="s">
        <v>651</v>
      </c>
      <c r="F11" s="2483"/>
      <c r="G11" s="2714" t="s">
        <v>653</v>
      </c>
      <c r="H11" s="2482" t="s">
        <v>667</v>
      </c>
      <c r="I11" s="2483"/>
      <c r="J11" s="2714" t="s">
        <v>730</v>
      </c>
      <c r="K11" s="2482" t="s">
        <v>731</v>
      </c>
      <c r="L11" s="2494"/>
      <c r="M11" s="2494"/>
      <c r="N11" s="2495"/>
      <c r="O11" s="1069"/>
      <c r="P11" s="1126" t="s">
        <v>564</v>
      </c>
      <c r="Q11" s="2521" t="s">
        <v>565</v>
      </c>
      <c r="R11" s="2521"/>
      <c r="S11" s="2521"/>
      <c r="T11" s="280"/>
      <c r="U11" s="1269" t="s">
        <v>579</v>
      </c>
      <c r="V11" s="1270"/>
      <c r="W11" s="1271"/>
      <c r="X11" s="1275" t="b">
        <f>(U11=B11)</f>
        <v>0</v>
      </c>
      <c r="Y11" s="271"/>
      <c r="Z11" s="271"/>
      <c r="AA11" s="270"/>
      <c r="AB11" s="270"/>
      <c r="AC11" s="270"/>
      <c r="AD11" s="270"/>
      <c r="AE11" s="270"/>
      <c r="AF11" s="270"/>
      <c r="AG11" s="380"/>
      <c r="AH11" s="380"/>
      <c r="AI11" s="380"/>
      <c r="AJ11" s="381"/>
      <c r="AK11" s="381"/>
    </row>
    <row r="12" spans="1:69" s="382" customFormat="1" ht="11.25" customHeight="1" x14ac:dyDescent="0.2">
      <c r="A12" s="389"/>
      <c r="B12" s="1383"/>
      <c r="C12" s="1277"/>
      <c r="D12" s="1277"/>
      <c r="E12" s="2484"/>
      <c r="F12" s="2485"/>
      <c r="G12" s="2715"/>
      <c r="H12" s="2484"/>
      <c r="I12" s="2485"/>
      <c r="J12" s="2715"/>
      <c r="K12" s="2484"/>
      <c r="L12" s="2496"/>
      <c r="M12" s="2496"/>
      <c r="N12" s="2497"/>
      <c r="O12" s="1069"/>
      <c r="P12" s="1127"/>
      <c r="Q12" s="2521"/>
      <c r="R12" s="2521"/>
      <c r="S12" s="2521"/>
      <c r="T12" s="280"/>
      <c r="U12" s="1272" t="s">
        <v>578</v>
      </c>
      <c r="V12" s="1273"/>
      <c r="W12" s="1274"/>
      <c r="X12" s="1276" t="b">
        <f>(U12=B11)</f>
        <v>1</v>
      </c>
      <c r="Y12" s="271"/>
      <c r="Z12" s="271"/>
      <c r="AA12" s="270"/>
      <c r="AB12" s="270"/>
      <c r="AC12" s="270"/>
      <c r="AD12" s="270"/>
      <c r="AE12" s="270"/>
      <c r="AF12" s="270"/>
      <c r="AG12" s="380"/>
      <c r="AH12" s="380"/>
      <c r="AI12" s="380"/>
      <c r="AJ12" s="381"/>
      <c r="AK12" s="381"/>
    </row>
    <row r="13" spans="1:69" s="382" customFormat="1" ht="11.25" customHeight="1" x14ac:dyDescent="0.2">
      <c r="A13" s="389"/>
      <c r="B13" s="1383"/>
      <c r="C13" s="1278"/>
      <c r="D13" s="1278"/>
      <c r="E13" s="2609" t="s">
        <v>652</v>
      </c>
      <c r="F13" s="2613"/>
      <c r="G13" s="1462" t="s">
        <v>29</v>
      </c>
      <c r="H13" s="2486" t="s">
        <v>641</v>
      </c>
      <c r="I13" s="2487"/>
      <c r="J13" s="693" t="s">
        <v>655</v>
      </c>
      <c r="K13" s="1473" t="s">
        <v>677</v>
      </c>
      <c r="L13" s="2498" t="s">
        <v>668</v>
      </c>
      <c r="M13" s="2498"/>
      <c r="N13" s="1474" t="s">
        <v>655</v>
      </c>
      <c r="O13" s="1069"/>
      <c r="P13" s="1127"/>
      <c r="Q13" s="2521"/>
      <c r="R13" s="2521"/>
      <c r="S13" s="2521"/>
      <c r="T13" s="280"/>
      <c r="U13" s="271"/>
      <c r="V13" s="271"/>
      <c r="W13" s="271"/>
      <c r="X13" s="271"/>
      <c r="Y13" s="271"/>
      <c r="Z13" s="271"/>
      <c r="AA13" s="270"/>
      <c r="AB13" s="270"/>
      <c r="AC13" s="270"/>
      <c r="AD13" s="270"/>
      <c r="AE13" s="270"/>
      <c r="AF13" s="270"/>
      <c r="AG13" s="380"/>
      <c r="AH13" s="380"/>
      <c r="AI13" s="380"/>
      <c r="AJ13" s="381"/>
      <c r="AK13" s="381"/>
    </row>
    <row r="14" spans="1:69" s="88" customFormat="1" ht="12.1" customHeight="1" x14ac:dyDescent="0.2">
      <c r="A14" s="2726" t="s">
        <v>562</v>
      </c>
      <c r="B14" s="2727"/>
      <c r="C14" s="2727"/>
      <c r="D14" s="2727"/>
      <c r="E14" s="2732">
        <f>DK_Var1!E414</f>
        <v>0</v>
      </c>
      <c r="F14" s="2733"/>
      <c r="G14" s="1471">
        <f>DK_Var1!G414</f>
        <v>0</v>
      </c>
      <c r="H14" s="2728">
        <f>DK_Var1!I414</f>
        <v>0</v>
      </c>
      <c r="I14" s="2729"/>
      <c r="J14" s="1411">
        <f>DK_Var1!J414</f>
        <v>0</v>
      </c>
      <c r="K14" s="1475">
        <f>IF(E14=0,0,N14/E14*100)</f>
        <v>0</v>
      </c>
      <c r="L14" s="2520"/>
      <c r="M14" s="2520"/>
      <c r="N14" s="1476">
        <f>DK_Var1!M414</f>
        <v>0</v>
      </c>
      <c r="O14" s="1069"/>
      <c r="P14" s="2522" t="s">
        <v>569</v>
      </c>
      <c r="Q14" s="2522"/>
      <c r="R14" s="2522"/>
      <c r="S14" s="2522"/>
      <c r="T14" s="280"/>
      <c r="U14" s="280"/>
      <c r="V14" s="280"/>
      <c r="W14" s="280"/>
      <c r="X14" s="280"/>
      <c r="Y14" s="280"/>
      <c r="Z14" s="280"/>
      <c r="AA14" s="284"/>
      <c r="AB14" s="284"/>
      <c r="AC14" s="284"/>
      <c r="AD14" s="284"/>
      <c r="AE14" s="284"/>
      <c r="AF14" s="284"/>
      <c r="AG14" s="447"/>
      <c r="AH14" s="447"/>
      <c r="AI14" s="447"/>
      <c r="AJ14" s="382"/>
      <c r="AK14" s="382"/>
      <c r="AL14" s="382"/>
      <c r="AM14" s="382"/>
      <c r="AN14" s="382"/>
      <c r="AO14" s="382"/>
      <c r="AP14" s="382"/>
      <c r="AQ14" s="382"/>
      <c r="AR14" s="382"/>
      <c r="AS14" s="382"/>
      <c r="AT14" s="382"/>
      <c r="AU14" s="382"/>
      <c r="AV14" s="382"/>
      <c r="AW14" s="382"/>
      <c r="AX14" s="382"/>
      <c r="AY14" s="382"/>
      <c r="AZ14" s="382"/>
      <c r="BA14" s="382"/>
      <c r="BB14" s="382"/>
      <c r="BC14" s="382"/>
      <c r="BD14" s="382"/>
      <c r="BE14" s="382"/>
      <c r="BF14" s="382"/>
      <c r="BG14" s="382"/>
      <c r="BH14" s="382"/>
      <c r="BI14" s="382"/>
      <c r="BJ14" s="382"/>
      <c r="BK14" s="382"/>
      <c r="BL14" s="382"/>
      <c r="BM14" s="382"/>
      <c r="BN14" s="382"/>
      <c r="BO14" s="382"/>
      <c r="BP14" s="382"/>
    </row>
    <row r="15" spans="1:69" s="88" customFormat="1" ht="11.25" customHeight="1" x14ac:dyDescent="0.2">
      <c r="A15" s="1803"/>
      <c r="B15" s="1804"/>
      <c r="C15" s="1805"/>
      <c r="D15" s="1805"/>
      <c r="E15" s="2734"/>
      <c r="F15" s="2735"/>
      <c r="G15" s="1468"/>
      <c r="H15" s="2730">
        <f t="shared" ref="H15:H38" si="0">IF($G15&gt;0,-PMT(($J$9),$G15,1),0)</f>
        <v>0</v>
      </c>
      <c r="I15" s="2731"/>
      <c r="J15" s="1405">
        <f t="shared" ref="J15:J38" si="1">ROUND(E15*H15,-1)</f>
        <v>0</v>
      </c>
      <c r="K15" s="1477"/>
      <c r="L15" s="2541"/>
      <c r="M15" s="2541"/>
      <c r="N15" s="1478">
        <f>IF(L15,L15,ROUND(E15/100*K15,-1))</f>
        <v>0</v>
      </c>
      <c r="O15" s="1069"/>
      <c r="P15" s="1127"/>
      <c r="Q15" s="1128"/>
      <c r="R15" s="1129"/>
      <c r="S15" s="1130"/>
      <c r="T15" s="280"/>
      <c r="U15" s="280"/>
      <c r="V15" s="280"/>
      <c r="W15" s="280"/>
      <c r="X15" s="280"/>
      <c r="Y15" s="280"/>
      <c r="Z15" s="280"/>
      <c r="AA15" s="284"/>
      <c r="AB15" s="284"/>
      <c r="AC15" s="284"/>
      <c r="AD15" s="284"/>
      <c r="AE15" s="284"/>
      <c r="AF15" s="284"/>
      <c r="AG15" s="447"/>
      <c r="AH15" s="447"/>
      <c r="AI15" s="447"/>
      <c r="AJ15" s="382"/>
      <c r="AK15" s="382"/>
      <c r="AL15" s="382"/>
      <c r="AM15" s="382"/>
      <c r="AN15" s="382"/>
      <c r="AO15" s="382"/>
      <c r="AP15" s="382"/>
      <c r="AQ15" s="382"/>
      <c r="AR15" s="382"/>
      <c r="AS15" s="382"/>
      <c r="AT15" s="382"/>
      <c r="AU15" s="382"/>
      <c r="AV15" s="382"/>
      <c r="AW15" s="382"/>
      <c r="AX15" s="382"/>
      <c r="AY15" s="382"/>
      <c r="AZ15" s="382"/>
      <c r="BA15" s="382"/>
      <c r="BB15" s="382"/>
      <c r="BC15" s="382"/>
      <c r="BD15" s="382"/>
      <c r="BE15" s="382"/>
      <c r="BF15" s="382"/>
      <c r="BG15" s="382"/>
      <c r="BH15" s="382"/>
      <c r="BI15" s="382"/>
      <c r="BJ15" s="382"/>
      <c r="BK15" s="382"/>
      <c r="BL15" s="382"/>
      <c r="BM15" s="382"/>
      <c r="BN15" s="382"/>
      <c r="BO15" s="382"/>
      <c r="BP15" s="382"/>
    </row>
    <row r="16" spans="1:69" s="88" customFormat="1" ht="11.25" customHeight="1" x14ac:dyDescent="0.2">
      <c r="A16" s="1803"/>
      <c r="B16" s="1806"/>
      <c r="C16" s="1807"/>
      <c r="D16" s="1807"/>
      <c r="E16" s="2561"/>
      <c r="F16" s="2562"/>
      <c r="G16" s="1469"/>
      <c r="H16" s="2712">
        <f t="shared" si="0"/>
        <v>0</v>
      </c>
      <c r="I16" s="2713"/>
      <c r="J16" s="1405">
        <f t="shared" si="1"/>
        <v>0</v>
      </c>
      <c r="K16" s="1479"/>
      <c r="L16" s="2534"/>
      <c r="M16" s="2535"/>
      <c r="N16" s="1478">
        <f t="shared" ref="N16:N38" si="2">IF(L16,L16,ROUND(E16/100*K16,-1))</f>
        <v>0</v>
      </c>
      <c r="O16" s="1106"/>
      <c r="P16" s="1126"/>
      <c r="Q16" s="1128"/>
      <c r="R16" s="1129"/>
      <c r="S16" s="1130"/>
      <c r="T16" s="280"/>
      <c r="U16" s="280"/>
      <c r="V16" s="280"/>
      <c r="W16" s="280"/>
      <c r="X16" s="280"/>
      <c r="Y16" s="280"/>
      <c r="Z16" s="280"/>
      <c r="AA16" s="284"/>
      <c r="AB16" s="284"/>
      <c r="AC16" s="284"/>
      <c r="AD16" s="284"/>
      <c r="AE16" s="284"/>
      <c r="AF16" s="284"/>
      <c r="AG16" s="447"/>
      <c r="AH16" s="447"/>
      <c r="AI16" s="447"/>
      <c r="AJ16" s="382"/>
      <c r="AK16" s="382"/>
      <c r="AL16" s="382"/>
      <c r="AM16" s="382"/>
      <c r="AN16" s="382"/>
      <c r="AO16" s="382"/>
      <c r="AP16" s="382"/>
      <c r="AQ16" s="382"/>
      <c r="AR16" s="382"/>
      <c r="AS16" s="382"/>
      <c r="AT16" s="382"/>
      <c r="AU16" s="382"/>
      <c r="AV16" s="382"/>
      <c r="AW16" s="382"/>
      <c r="AX16" s="382"/>
      <c r="AY16" s="382"/>
      <c r="AZ16" s="382"/>
      <c r="BA16" s="382"/>
      <c r="BB16" s="382"/>
      <c r="BC16" s="382"/>
      <c r="BD16" s="382"/>
      <c r="BE16" s="382"/>
      <c r="BF16" s="382"/>
      <c r="BG16" s="382"/>
      <c r="BH16" s="382"/>
      <c r="BI16" s="382"/>
      <c r="BJ16" s="382"/>
      <c r="BK16" s="382"/>
      <c r="BL16" s="382"/>
      <c r="BM16" s="382"/>
      <c r="BN16" s="382"/>
      <c r="BO16" s="382"/>
      <c r="BP16" s="382"/>
    </row>
    <row r="17" spans="1:68" s="88" customFormat="1" ht="11.25" customHeight="1" x14ac:dyDescent="0.2">
      <c r="A17" s="1803"/>
      <c r="B17" s="1806"/>
      <c r="C17" s="1807"/>
      <c r="D17" s="1807"/>
      <c r="E17" s="2561"/>
      <c r="F17" s="2562"/>
      <c r="G17" s="1469"/>
      <c r="H17" s="2712">
        <f t="shared" si="0"/>
        <v>0</v>
      </c>
      <c r="I17" s="2713"/>
      <c r="J17" s="1405">
        <f t="shared" si="1"/>
        <v>0</v>
      </c>
      <c r="K17" s="1480"/>
      <c r="L17" s="2534"/>
      <c r="M17" s="2535"/>
      <c r="N17" s="1478">
        <f t="shared" si="2"/>
        <v>0</v>
      </c>
      <c r="O17" s="1106"/>
      <c r="P17" s="1127"/>
      <c r="Q17" s="1128"/>
      <c r="R17" s="1129"/>
      <c r="S17" s="1130"/>
      <c r="T17" s="280"/>
      <c r="U17" s="280"/>
      <c r="V17" s="280"/>
      <c r="W17" s="280"/>
      <c r="X17" s="280"/>
      <c r="Y17" s="280"/>
      <c r="Z17" s="280"/>
      <c r="AA17" s="284"/>
      <c r="AB17" s="284"/>
      <c r="AC17" s="284"/>
      <c r="AD17" s="284"/>
      <c r="AE17" s="284"/>
      <c r="AF17" s="284"/>
      <c r="AG17" s="447"/>
      <c r="AH17" s="447"/>
      <c r="AI17" s="447"/>
      <c r="AJ17" s="382"/>
      <c r="AK17" s="382"/>
      <c r="AL17" s="382"/>
      <c r="AM17" s="382"/>
      <c r="AN17" s="382"/>
      <c r="AO17" s="382"/>
      <c r="AP17" s="382"/>
      <c r="AQ17" s="382"/>
      <c r="AR17" s="382"/>
      <c r="AS17" s="382"/>
      <c r="AT17" s="382"/>
      <c r="AU17" s="382"/>
      <c r="AV17" s="382"/>
      <c r="AW17" s="382"/>
      <c r="AX17" s="382"/>
      <c r="AY17" s="382"/>
      <c r="AZ17" s="382"/>
      <c r="BA17" s="382"/>
      <c r="BB17" s="382"/>
      <c r="BC17" s="382"/>
      <c r="BD17" s="382"/>
      <c r="BE17" s="382"/>
      <c r="BF17" s="382"/>
      <c r="BG17" s="382"/>
      <c r="BH17" s="382"/>
      <c r="BI17" s="382"/>
      <c r="BJ17" s="382"/>
      <c r="BK17" s="382"/>
      <c r="BL17" s="382"/>
      <c r="BM17" s="382"/>
      <c r="BN17" s="382"/>
      <c r="BO17" s="382"/>
      <c r="BP17" s="382"/>
    </row>
    <row r="18" spans="1:68" s="88" customFormat="1" ht="11.25" customHeight="1" x14ac:dyDescent="0.2">
      <c r="A18" s="1803"/>
      <c r="B18" s="1806"/>
      <c r="C18" s="1807"/>
      <c r="D18" s="1807"/>
      <c r="E18" s="2561"/>
      <c r="F18" s="2562"/>
      <c r="G18" s="1469"/>
      <c r="H18" s="2712">
        <f t="shared" si="0"/>
        <v>0</v>
      </c>
      <c r="I18" s="2713"/>
      <c r="J18" s="1405">
        <f t="shared" si="1"/>
        <v>0</v>
      </c>
      <c r="K18" s="1480"/>
      <c r="L18" s="2534"/>
      <c r="M18" s="2535"/>
      <c r="N18" s="1478">
        <f t="shared" si="2"/>
        <v>0</v>
      </c>
      <c r="O18" s="1106"/>
      <c r="P18" s="1127"/>
      <c r="Q18" s="1128"/>
      <c r="R18" s="1129"/>
      <c r="S18" s="1130"/>
      <c r="T18" s="280"/>
      <c r="U18" s="280"/>
      <c r="V18" s="280"/>
      <c r="W18" s="280"/>
      <c r="X18" s="280"/>
      <c r="Y18" s="280"/>
      <c r="Z18" s="280"/>
      <c r="AA18" s="284"/>
      <c r="AB18" s="284"/>
      <c r="AC18" s="284"/>
      <c r="AD18" s="284"/>
      <c r="AE18" s="284"/>
      <c r="AF18" s="284"/>
      <c r="AG18" s="447"/>
      <c r="AH18" s="447"/>
      <c r="AI18" s="447"/>
      <c r="AJ18" s="382"/>
      <c r="AK18" s="382"/>
      <c r="AL18" s="382"/>
      <c r="AM18" s="382"/>
      <c r="AN18" s="382"/>
      <c r="AO18" s="382"/>
      <c r="AP18" s="382"/>
      <c r="AQ18" s="382"/>
      <c r="AR18" s="382"/>
      <c r="AS18" s="382"/>
      <c r="AT18" s="382"/>
      <c r="AU18" s="382"/>
      <c r="AV18" s="382"/>
      <c r="AW18" s="382"/>
      <c r="AX18" s="382"/>
      <c r="AY18" s="382"/>
      <c r="AZ18" s="382"/>
      <c r="BA18" s="382"/>
      <c r="BB18" s="382"/>
      <c r="BC18" s="382"/>
      <c r="BD18" s="382"/>
      <c r="BE18" s="382"/>
      <c r="BF18" s="382"/>
      <c r="BG18" s="382"/>
      <c r="BH18" s="382"/>
      <c r="BI18" s="382"/>
      <c r="BJ18" s="382"/>
      <c r="BK18" s="382"/>
      <c r="BL18" s="382"/>
      <c r="BM18" s="382"/>
      <c r="BN18" s="382"/>
      <c r="BO18" s="382"/>
      <c r="BP18" s="382"/>
    </row>
    <row r="19" spans="1:68" s="88" customFormat="1" ht="11.25" customHeight="1" x14ac:dyDescent="0.2">
      <c r="A19" s="1803"/>
      <c r="B19" s="1806"/>
      <c r="C19" s="1807"/>
      <c r="D19" s="1807"/>
      <c r="E19" s="2561"/>
      <c r="F19" s="2562"/>
      <c r="G19" s="1469"/>
      <c r="H19" s="2712">
        <f t="shared" si="0"/>
        <v>0</v>
      </c>
      <c r="I19" s="2713"/>
      <c r="J19" s="1405">
        <f t="shared" si="1"/>
        <v>0</v>
      </c>
      <c r="K19" s="1480"/>
      <c r="L19" s="2534"/>
      <c r="M19" s="2535"/>
      <c r="N19" s="1478">
        <f t="shared" si="2"/>
        <v>0</v>
      </c>
      <c r="O19" s="1106"/>
      <c r="P19" s="1127"/>
      <c r="Q19" s="1128"/>
      <c r="R19" s="1129"/>
      <c r="S19" s="1130"/>
      <c r="T19" s="280"/>
      <c r="U19" s="280"/>
      <c r="V19" s="280"/>
      <c r="W19" s="280"/>
      <c r="X19" s="280"/>
      <c r="Y19" s="280"/>
      <c r="Z19" s="280"/>
      <c r="AA19" s="284"/>
      <c r="AB19" s="284"/>
      <c r="AC19" s="284"/>
      <c r="AD19" s="284"/>
      <c r="AE19" s="284"/>
      <c r="AF19" s="284"/>
      <c r="AG19" s="447"/>
      <c r="AH19" s="447"/>
      <c r="AI19" s="447"/>
      <c r="AJ19" s="382"/>
      <c r="AK19" s="382"/>
      <c r="AL19" s="382"/>
      <c r="AM19" s="382"/>
      <c r="AN19" s="382"/>
      <c r="AO19" s="382"/>
      <c r="AP19" s="382"/>
      <c r="AQ19" s="382"/>
      <c r="AR19" s="382"/>
      <c r="AS19" s="382"/>
      <c r="AT19" s="382"/>
      <c r="AU19" s="382"/>
      <c r="AV19" s="382"/>
      <c r="AW19" s="382"/>
      <c r="AX19" s="382"/>
      <c r="AY19" s="382"/>
      <c r="AZ19" s="382"/>
      <c r="BA19" s="382"/>
      <c r="BB19" s="382"/>
      <c r="BC19" s="382"/>
      <c r="BD19" s="382"/>
      <c r="BE19" s="382"/>
      <c r="BF19" s="382"/>
      <c r="BG19" s="382"/>
      <c r="BH19" s="382"/>
      <c r="BI19" s="382"/>
      <c r="BJ19" s="382"/>
      <c r="BK19" s="382"/>
      <c r="BL19" s="382"/>
      <c r="BM19" s="382"/>
      <c r="BN19" s="382"/>
      <c r="BO19" s="382"/>
      <c r="BP19" s="382"/>
    </row>
    <row r="20" spans="1:68" s="88" customFormat="1" ht="11.25" customHeight="1" x14ac:dyDescent="0.2">
      <c r="A20" s="1803"/>
      <c r="B20" s="1806"/>
      <c r="C20" s="1807"/>
      <c r="D20" s="1807"/>
      <c r="E20" s="2561"/>
      <c r="F20" s="2562"/>
      <c r="G20" s="1469"/>
      <c r="H20" s="2712">
        <f t="shared" si="0"/>
        <v>0</v>
      </c>
      <c r="I20" s="2713"/>
      <c r="J20" s="1405">
        <f t="shared" si="1"/>
        <v>0</v>
      </c>
      <c r="K20" s="1480"/>
      <c r="L20" s="2534"/>
      <c r="M20" s="2535"/>
      <c r="N20" s="1478">
        <f t="shared" si="2"/>
        <v>0</v>
      </c>
      <c r="O20" s="1106"/>
      <c r="P20" s="1127"/>
      <c r="Q20" s="1128"/>
      <c r="R20" s="1129"/>
      <c r="S20" s="1130"/>
      <c r="T20" s="280"/>
      <c r="U20" s="280"/>
      <c r="V20" s="280"/>
      <c r="W20" s="280"/>
      <c r="X20" s="280"/>
      <c r="Y20" s="280"/>
      <c r="Z20" s="280"/>
      <c r="AA20" s="284"/>
      <c r="AB20" s="284"/>
      <c r="AC20" s="284"/>
      <c r="AD20" s="284"/>
      <c r="AE20" s="284"/>
      <c r="AF20" s="284"/>
      <c r="AG20" s="447"/>
      <c r="AH20" s="447"/>
      <c r="AI20" s="447"/>
      <c r="AJ20" s="382"/>
      <c r="AK20" s="382"/>
      <c r="AL20" s="382"/>
      <c r="AM20" s="382"/>
      <c r="AN20" s="382"/>
      <c r="AO20" s="382"/>
      <c r="AP20" s="382"/>
      <c r="AQ20" s="382"/>
      <c r="AR20" s="382"/>
      <c r="AS20" s="382"/>
      <c r="AT20" s="382"/>
      <c r="AU20" s="382"/>
      <c r="AV20" s="382"/>
      <c r="AW20" s="382"/>
      <c r="AX20" s="382"/>
      <c r="AY20" s="382"/>
      <c r="AZ20" s="382"/>
      <c r="BA20" s="382"/>
      <c r="BB20" s="382"/>
      <c r="BC20" s="382"/>
      <c r="BD20" s="382"/>
      <c r="BE20" s="382"/>
      <c r="BF20" s="382"/>
      <c r="BG20" s="382"/>
      <c r="BH20" s="382"/>
      <c r="BI20" s="382"/>
      <c r="BJ20" s="382"/>
      <c r="BK20" s="382"/>
      <c r="BL20" s="382"/>
      <c r="BM20" s="382"/>
      <c r="BN20" s="382"/>
      <c r="BO20" s="382"/>
      <c r="BP20" s="382"/>
    </row>
    <row r="21" spans="1:68" s="88" customFormat="1" ht="11.25" customHeight="1" x14ac:dyDescent="0.2">
      <c r="A21" s="1803"/>
      <c r="B21" s="1806"/>
      <c r="C21" s="1807"/>
      <c r="D21" s="1807"/>
      <c r="E21" s="2561"/>
      <c r="F21" s="2562"/>
      <c r="G21" s="1469"/>
      <c r="H21" s="2712">
        <f t="shared" si="0"/>
        <v>0</v>
      </c>
      <c r="I21" s="2713"/>
      <c r="J21" s="1405">
        <f t="shared" si="1"/>
        <v>0</v>
      </c>
      <c r="K21" s="1480"/>
      <c r="L21" s="2534"/>
      <c r="M21" s="2535"/>
      <c r="N21" s="1478">
        <f t="shared" si="2"/>
        <v>0</v>
      </c>
      <c r="O21" s="1106"/>
      <c r="P21" s="1127"/>
      <c r="Q21" s="1128"/>
      <c r="R21" s="1129"/>
      <c r="S21" s="1130"/>
      <c r="T21" s="280"/>
      <c r="U21" s="280"/>
      <c r="V21" s="280"/>
      <c r="W21" s="280"/>
      <c r="X21" s="280"/>
      <c r="Y21" s="280"/>
      <c r="Z21" s="280"/>
      <c r="AA21" s="284"/>
      <c r="AB21" s="284"/>
      <c r="AC21" s="284"/>
      <c r="AD21" s="284"/>
      <c r="AE21" s="284"/>
      <c r="AF21" s="284"/>
      <c r="AG21" s="447"/>
      <c r="AH21" s="447"/>
      <c r="AI21" s="447"/>
      <c r="AJ21" s="382"/>
      <c r="AK21" s="382"/>
      <c r="AL21" s="382"/>
      <c r="AM21" s="382"/>
      <c r="AN21" s="382"/>
      <c r="AO21" s="382"/>
      <c r="AP21" s="382"/>
      <c r="AQ21" s="382"/>
      <c r="AR21" s="382"/>
      <c r="AS21" s="382"/>
      <c r="AT21" s="382"/>
      <c r="AU21" s="382"/>
      <c r="AV21" s="382"/>
      <c r="AW21" s="382"/>
      <c r="AX21" s="382"/>
      <c r="AY21" s="382"/>
      <c r="AZ21" s="382"/>
      <c r="BA21" s="382"/>
      <c r="BB21" s="382"/>
      <c r="BC21" s="382"/>
      <c r="BD21" s="382"/>
      <c r="BE21" s="382"/>
      <c r="BF21" s="382"/>
      <c r="BG21" s="382"/>
      <c r="BH21" s="382"/>
      <c r="BI21" s="382"/>
      <c r="BJ21" s="382"/>
      <c r="BK21" s="382"/>
      <c r="BL21" s="382"/>
      <c r="BM21" s="382"/>
      <c r="BN21" s="382"/>
      <c r="BO21" s="382"/>
      <c r="BP21" s="382"/>
    </row>
    <row r="22" spans="1:68" s="88" customFormat="1" ht="11.25" customHeight="1" x14ac:dyDescent="0.2">
      <c r="A22" s="1803"/>
      <c r="B22" s="1806"/>
      <c r="C22" s="1807"/>
      <c r="D22" s="1807"/>
      <c r="E22" s="2561"/>
      <c r="F22" s="2562"/>
      <c r="G22" s="1469"/>
      <c r="H22" s="2712">
        <f t="shared" si="0"/>
        <v>0</v>
      </c>
      <c r="I22" s="2713"/>
      <c r="J22" s="1405">
        <f t="shared" si="1"/>
        <v>0</v>
      </c>
      <c r="K22" s="1480"/>
      <c r="L22" s="2534"/>
      <c r="M22" s="2535"/>
      <c r="N22" s="1478">
        <f t="shared" si="2"/>
        <v>0</v>
      </c>
      <c r="O22" s="1106"/>
      <c r="P22" s="1127"/>
      <c r="Q22" s="1128"/>
      <c r="R22" s="1129"/>
      <c r="S22" s="1130"/>
      <c r="T22" s="280"/>
      <c r="U22" s="280"/>
      <c r="V22" s="280"/>
      <c r="W22" s="280"/>
      <c r="X22" s="280"/>
      <c r="Y22" s="280"/>
      <c r="Z22" s="280"/>
      <c r="AA22" s="284"/>
      <c r="AB22" s="284"/>
      <c r="AC22" s="284"/>
      <c r="AD22" s="284"/>
      <c r="AE22" s="284"/>
      <c r="AF22" s="284"/>
      <c r="AG22" s="447"/>
      <c r="AH22" s="447"/>
      <c r="AI22" s="447"/>
      <c r="AJ22" s="382"/>
      <c r="AK22" s="382"/>
      <c r="AL22" s="382"/>
      <c r="AM22" s="382"/>
      <c r="AN22" s="382"/>
      <c r="AO22" s="382"/>
      <c r="AP22" s="382"/>
      <c r="AQ22" s="382"/>
      <c r="AR22" s="382"/>
      <c r="AS22" s="382"/>
      <c r="AT22" s="382"/>
      <c r="AU22" s="382"/>
      <c r="AV22" s="382"/>
      <c r="AW22" s="382"/>
      <c r="AX22" s="382"/>
      <c r="AY22" s="382"/>
      <c r="AZ22" s="382"/>
      <c r="BA22" s="382"/>
      <c r="BB22" s="382"/>
      <c r="BC22" s="382"/>
      <c r="BD22" s="382"/>
      <c r="BE22" s="382"/>
      <c r="BF22" s="382"/>
      <c r="BG22" s="382"/>
      <c r="BH22" s="382"/>
      <c r="BI22" s="382"/>
      <c r="BJ22" s="382"/>
      <c r="BK22" s="382"/>
      <c r="BL22" s="382"/>
      <c r="BM22" s="382"/>
      <c r="BN22" s="382"/>
      <c r="BO22" s="382"/>
      <c r="BP22" s="382"/>
    </row>
    <row r="23" spans="1:68" s="88" customFormat="1" ht="11.25" customHeight="1" x14ac:dyDescent="0.2">
      <c r="A23" s="1808"/>
      <c r="B23" s="1809"/>
      <c r="C23" s="1809"/>
      <c r="D23" s="1809"/>
      <c r="E23" s="2561"/>
      <c r="F23" s="2562"/>
      <c r="G23" s="1469"/>
      <c r="H23" s="2712">
        <f t="shared" si="0"/>
        <v>0</v>
      </c>
      <c r="I23" s="2713"/>
      <c r="J23" s="1405">
        <f t="shared" si="1"/>
        <v>0</v>
      </c>
      <c r="K23" s="1480"/>
      <c r="L23" s="2534"/>
      <c r="M23" s="2535"/>
      <c r="N23" s="1478">
        <f t="shared" si="2"/>
        <v>0</v>
      </c>
      <c r="O23" s="1106"/>
      <c r="P23" s="1127"/>
      <c r="Q23" s="1128"/>
      <c r="R23" s="1129"/>
      <c r="S23" s="1130"/>
      <c r="T23" s="280"/>
      <c r="U23" s="280"/>
      <c r="V23" s="280"/>
      <c r="W23" s="280"/>
      <c r="X23" s="280"/>
      <c r="Y23" s="280"/>
      <c r="Z23" s="280"/>
      <c r="AA23" s="284"/>
      <c r="AB23" s="284"/>
      <c r="AC23" s="284"/>
      <c r="AD23" s="284"/>
      <c r="AE23" s="284"/>
      <c r="AF23" s="284"/>
      <c r="AG23" s="447"/>
      <c r="AH23" s="447"/>
      <c r="AI23" s="447"/>
      <c r="AJ23" s="382"/>
      <c r="AK23" s="382"/>
      <c r="AL23" s="382"/>
      <c r="AM23" s="382"/>
      <c r="AN23" s="382"/>
      <c r="AO23" s="382"/>
      <c r="AP23" s="382"/>
      <c r="AQ23" s="382"/>
      <c r="AR23" s="382"/>
      <c r="AS23" s="382"/>
      <c r="AT23" s="382"/>
      <c r="AU23" s="382"/>
      <c r="AV23" s="382"/>
      <c r="AW23" s="382"/>
      <c r="AX23" s="382"/>
      <c r="AY23" s="382"/>
      <c r="AZ23" s="382"/>
      <c r="BA23" s="382"/>
      <c r="BB23" s="382"/>
      <c r="BC23" s="382"/>
      <c r="BD23" s="382"/>
      <c r="BE23" s="382"/>
      <c r="BF23" s="382"/>
      <c r="BG23" s="382"/>
      <c r="BH23" s="382"/>
      <c r="BI23" s="382"/>
      <c r="BJ23" s="382"/>
      <c r="BK23" s="382"/>
      <c r="BL23" s="382"/>
      <c r="BM23" s="382"/>
      <c r="BN23" s="382"/>
      <c r="BO23" s="382"/>
      <c r="BP23" s="382"/>
    </row>
    <row r="24" spans="1:68" s="88" customFormat="1" ht="11.25" customHeight="1" x14ac:dyDescent="0.2">
      <c r="A24" s="1808"/>
      <c r="B24" s="1809"/>
      <c r="C24" s="1809"/>
      <c r="D24" s="1809"/>
      <c r="E24" s="2561"/>
      <c r="F24" s="2562"/>
      <c r="G24" s="1469"/>
      <c r="H24" s="2712">
        <f t="shared" si="0"/>
        <v>0</v>
      </c>
      <c r="I24" s="2713"/>
      <c r="J24" s="1405">
        <f t="shared" si="1"/>
        <v>0</v>
      </c>
      <c r="K24" s="1480"/>
      <c r="L24" s="2534"/>
      <c r="M24" s="2535"/>
      <c r="N24" s="1478">
        <f t="shared" si="2"/>
        <v>0</v>
      </c>
      <c r="O24" s="1106"/>
      <c r="P24" s="1127"/>
      <c r="Q24" s="1128"/>
      <c r="R24" s="1129"/>
      <c r="S24" s="1130"/>
      <c r="T24" s="280"/>
      <c r="U24" s="280"/>
      <c r="V24" s="280"/>
      <c r="W24" s="280"/>
      <c r="X24" s="280"/>
      <c r="Y24" s="280"/>
      <c r="Z24" s="280"/>
      <c r="AA24" s="284"/>
      <c r="AB24" s="284"/>
      <c r="AC24" s="284"/>
      <c r="AD24" s="284"/>
      <c r="AE24" s="284"/>
      <c r="AF24" s="284"/>
      <c r="AG24" s="447"/>
      <c r="AH24" s="447"/>
      <c r="AI24" s="447"/>
      <c r="AJ24" s="382"/>
      <c r="AK24" s="382"/>
      <c r="AL24" s="382"/>
      <c r="AM24" s="382"/>
      <c r="AN24" s="382"/>
      <c r="AO24" s="382"/>
      <c r="AP24" s="382"/>
      <c r="AQ24" s="382"/>
      <c r="AR24" s="382"/>
      <c r="AS24" s="382"/>
      <c r="AT24" s="382"/>
      <c r="AU24" s="382"/>
      <c r="AV24" s="382"/>
      <c r="AW24" s="382"/>
      <c r="AX24" s="382"/>
      <c r="AY24" s="382"/>
      <c r="AZ24" s="382"/>
      <c r="BA24" s="382"/>
      <c r="BB24" s="382"/>
      <c r="BC24" s="382"/>
      <c r="BD24" s="382"/>
      <c r="BE24" s="382"/>
      <c r="BF24" s="382"/>
      <c r="BG24" s="382"/>
      <c r="BH24" s="382"/>
      <c r="BI24" s="382"/>
      <c r="BJ24" s="382"/>
      <c r="BK24" s="382"/>
      <c r="BL24" s="382"/>
      <c r="BM24" s="382"/>
      <c r="BN24" s="382"/>
      <c r="BO24" s="382"/>
      <c r="BP24" s="382"/>
    </row>
    <row r="25" spans="1:68" s="88" customFormat="1" ht="11.25" customHeight="1" x14ac:dyDescent="0.2">
      <c r="A25" s="1808"/>
      <c r="B25" s="1809"/>
      <c r="C25" s="1809"/>
      <c r="D25" s="1809"/>
      <c r="E25" s="2561"/>
      <c r="F25" s="2562"/>
      <c r="G25" s="1469"/>
      <c r="H25" s="2712">
        <f t="shared" si="0"/>
        <v>0</v>
      </c>
      <c r="I25" s="2713"/>
      <c r="J25" s="1405">
        <f t="shared" si="1"/>
        <v>0</v>
      </c>
      <c r="K25" s="1480"/>
      <c r="L25" s="2534"/>
      <c r="M25" s="2535"/>
      <c r="N25" s="1478">
        <f t="shared" si="2"/>
        <v>0</v>
      </c>
      <c r="O25" s="1106"/>
      <c r="P25" s="1127"/>
      <c r="Q25" s="1128"/>
      <c r="R25" s="1129"/>
      <c r="S25" s="1130"/>
      <c r="T25" s="280"/>
      <c r="U25" s="280"/>
      <c r="V25" s="280"/>
      <c r="W25" s="280"/>
      <c r="X25" s="280"/>
      <c r="Y25" s="280"/>
      <c r="Z25" s="280"/>
      <c r="AA25" s="284"/>
      <c r="AB25" s="284"/>
      <c r="AC25" s="284"/>
      <c r="AD25" s="284"/>
      <c r="AE25" s="284"/>
      <c r="AF25" s="284"/>
      <c r="AG25" s="447"/>
      <c r="AH25" s="447"/>
      <c r="AI25" s="447"/>
      <c r="AJ25" s="382"/>
      <c r="AK25" s="382"/>
      <c r="AL25" s="382"/>
      <c r="AM25" s="382"/>
      <c r="AN25" s="382"/>
      <c r="AO25" s="382"/>
      <c r="AP25" s="382"/>
      <c r="AQ25" s="382"/>
      <c r="AR25" s="382"/>
      <c r="AS25" s="382"/>
      <c r="AT25" s="382"/>
      <c r="AU25" s="382"/>
      <c r="AV25" s="382"/>
      <c r="AW25" s="382"/>
      <c r="AX25" s="382"/>
      <c r="AY25" s="382"/>
      <c r="AZ25" s="382"/>
      <c r="BA25" s="382"/>
      <c r="BB25" s="382"/>
      <c r="BC25" s="382"/>
      <c r="BD25" s="382"/>
      <c r="BE25" s="382"/>
      <c r="BF25" s="382"/>
      <c r="BG25" s="382"/>
      <c r="BH25" s="382"/>
      <c r="BI25" s="382"/>
      <c r="BJ25" s="382"/>
      <c r="BK25" s="382"/>
      <c r="BL25" s="382"/>
      <c r="BM25" s="382"/>
      <c r="BN25" s="382"/>
      <c r="BO25" s="382"/>
      <c r="BP25" s="382"/>
    </row>
    <row r="26" spans="1:68" s="88" customFormat="1" ht="11.25" customHeight="1" x14ac:dyDescent="0.2">
      <c r="A26" s="1808"/>
      <c r="B26" s="1809"/>
      <c r="C26" s="1809"/>
      <c r="D26" s="1809"/>
      <c r="E26" s="2561"/>
      <c r="F26" s="2562"/>
      <c r="G26" s="1469"/>
      <c r="H26" s="2712">
        <f t="shared" si="0"/>
        <v>0</v>
      </c>
      <c r="I26" s="2713"/>
      <c r="J26" s="1405">
        <f t="shared" si="1"/>
        <v>0</v>
      </c>
      <c r="K26" s="1480"/>
      <c r="L26" s="2534"/>
      <c r="M26" s="2535"/>
      <c r="N26" s="1478">
        <f t="shared" si="2"/>
        <v>0</v>
      </c>
      <c r="O26" s="1106"/>
      <c r="P26" s="2523" t="s">
        <v>566</v>
      </c>
      <c r="Q26" s="2524" t="s">
        <v>567</v>
      </c>
      <c r="R26" s="2524"/>
      <c r="S26" s="2524"/>
      <c r="T26" s="280"/>
      <c r="U26" s="280"/>
      <c r="V26" s="280"/>
      <c r="W26" s="280"/>
      <c r="X26" s="280"/>
      <c r="Y26" s="280"/>
      <c r="Z26" s="280"/>
      <c r="AA26" s="284"/>
      <c r="AB26" s="284"/>
      <c r="AC26" s="284"/>
      <c r="AD26" s="284"/>
      <c r="AE26" s="284"/>
      <c r="AF26" s="284"/>
      <c r="AG26" s="447"/>
      <c r="AH26" s="447"/>
      <c r="AI26" s="447"/>
      <c r="AJ26" s="382"/>
      <c r="AK26" s="382"/>
      <c r="AL26" s="382"/>
      <c r="AM26" s="382"/>
      <c r="AN26" s="382"/>
      <c r="AO26" s="382"/>
      <c r="AP26" s="382"/>
      <c r="AQ26" s="382"/>
      <c r="AR26" s="382"/>
      <c r="AS26" s="382"/>
      <c r="AT26" s="382"/>
      <c r="AU26" s="382"/>
      <c r="AV26" s="382"/>
      <c r="AW26" s="382"/>
      <c r="AX26" s="382"/>
      <c r="AY26" s="382"/>
      <c r="AZ26" s="382"/>
      <c r="BA26" s="382"/>
      <c r="BB26" s="382"/>
      <c r="BC26" s="382"/>
      <c r="BD26" s="382"/>
      <c r="BE26" s="382"/>
      <c r="BF26" s="382"/>
      <c r="BG26" s="382"/>
      <c r="BH26" s="382"/>
      <c r="BI26" s="382"/>
      <c r="BJ26" s="382"/>
      <c r="BK26" s="382"/>
      <c r="BL26" s="382"/>
      <c r="BM26" s="382"/>
      <c r="BN26" s="382"/>
      <c r="BO26" s="382"/>
      <c r="BP26" s="382"/>
    </row>
    <row r="27" spans="1:68" s="88" customFormat="1" ht="11.25" customHeight="1" x14ac:dyDescent="0.2">
      <c r="A27" s="1808"/>
      <c r="B27" s="1809"/>
      <c r="C27" s="1809"/>
      <c r="D27" s="1809"/>
      <c r="E27" s="2561"/>
      <c r="F27" s="2562"/>
      <c r="G27" s="1469"/>
      <c r="H27" s="2712">
        <f t="shared" si="0"/>
        <v>0</v>
      </c>
      <c r="I27" s="2713"/>
      <c r="J27" s="1405">
        <f t="shared" si="1"/>
        <v>0</v>
      </c>
      <c r="K27" s="1480"/>
      <c r="L27" s="2534"/>
      <c r="M27" s="2535"/>
      <c r="N27" s="1478">
        <f t="shared" si="2"/>
        <v>0</v>
      </c>
      <c r="O27" s="1069"/>
      <c r="P27" s="2523"/>
      <c r="Q27" s="2524"/>
      <c r="R27" s="2524"/>
      <c r="S27" s="2524"/>
      <c r="T27" s="280"/>
      <c r="U27" s="280"/>
      <c r="V27" s="280"/>
      <c r="W27" s="280"/>
      <c r="X27" s="280"/>
      <c r="Y27" s="280"/>
      <c r="Z27" s="280"/>
      <c r="AA27" s="284"/>
      <c r="AB27" s="284"/>
      <c r="AC27" s="284"/>
      <c r="AD27" s="284"/>
      <c r="AE27" s="284"/>
      <c r="AF27" s="284"/>
      <c r="AG27" s="447"/>
      <c r="AH27" s="447"/>
      <c r="AI27" s="447"/>
      <c r="AJ27" s="382"/>
      <c r="AK27" s="382"/>
      <c r="AL27" s="382"/>
      <c r="AM27" s="382"/>
      <c r="AN27" s="382"/>
      <c r="AO27" s="382"/>
      <c r="AP27" s="382"/>
      <c r="AQ27" s="382"/>
      <c r="AR27" s="382"/>
      <c r="AS27" s="382"/>
      <c r="AT27" s="382"/>
      <c r="AU27" s="382"/>
      <c r="AV27" s="382"/>
      <c r="AW27" s="382"/>
      <c r="AX27" s="382"/>
      <c r="AY27" s="382"/>
      <c r="AZ27" s="382"/>
      <c r="BA27" s="382"/>
      <c r="BB27" s="382"/>
      <c r="BC27" s="382"/>
      <c r="BD27" s="382"/>
      <c r="BE27" s="382"/>
      <c r="BF27" s="382"/>
      <c r="BG27" s="382"/>
      <c r="BH27" s="382"/>
      <c r="BI27" s="382"/>
      <c r="BJ27" s="382"/>
      <c r="BK27" s="382"/>
      <c r="BL27" s="382"/>
      <c r="BM27" s="382"/>
      <c r="BN27" s="382"/>
      <c r="BO27" s="382"/>
      <c r="BP27" s="382"/>
    </row>
    <row r="28" spans="1:68" s="88" customFormat="1" ht="11.25" customHeight="1" x14ac:dyDescent="0.2">
      <c r="A28" s="1808"/>
      <c r="B28" s="1809"/>
      <c r="C28" s="1809"/>
      <c r="D28" s="1809"/>
      <c r="E28" s="2561"/>
      <c r="F28" s="2562"/>
      <c r="G28" s="1469"/>
      <c r="H28" s="2712">
        <f t="shared" si="0"/>
        <v>0</v>
      </c>
      <c r="I28" s="2713"/>
      <c r="J28" s="1405">
        <f t="shared" si="1"/>
        <v>0</v>
      </c>
      <c r="K28" s="1480"/>
      <c r="L28" s="2534"/>
      <c r="M28" s="2535"/>
      <c r="N28" s="1478">
        <f t="shared" si="2"/>
        <v>0</v>
      </c>
      <c r="O28" s="1069"/>
      <c r="P28" s="1127"/>
      <c r="Q28" s="1128"/>
      <c r="R28" s="1129"/>
      <c r="S28" s="1130"/>
      <c r="T28" s="280"/>
      <c r="U28" s="280"/>
      <c r="V28" s="280"/>
      <c r="W28" s="280"/>
      <c r="X28" s="280"/>
      <c r="Y28" s="280"/>
      <c r="Z28" s="280"/>
      <c r="AA28" s="284"/>
      <c r="AB28" s="284"/>
      <c r="AC28" s="284"/>
      <c r="AD28" s="284"/>
      <c r="AE28" s="284"/>
      <c r="AF28" s="284"/>
      <c r="AG28" s="447"/>
      <c r="AH28" s="447"/>
      <c r="AI28" s="447"/>
      <c r="AJ28" s="382"/>
      <c r="AK28" s="382"/>
      <c r="AL28" s="382"/>
      <c r="AM28" s="382"/>
      <c r="AN28" s="382"/>
      <c r="AO28" s="382"/>
      <c r="AP28" s="382"/>
      <c r="AQ28" s="382"/>
      <c r="AR28" s="382"/>
      <c r="AS28" s="382"/>
      <c r="AT28" s="382"/>
      <c r="AU28" s="382"/>
      <c r="AV28" s="382"/>
      <c r="AW28" s="382"/>
      <c r="AX28" s="382"/>
      <c r="AY28" s="382"/>
      <c r="AZ28" s="382"/>
      <c r="BA28" s="382"/>
      <c r="BB28" s="382"/>
      <c r="BC28" s="382"/>
      <c r="BD28" s="382"/>
      <c r="BE28" s="382"/>
      <c r="BF28" s="382"/>
      <c r="BG28" s="382"/>
      <c r="BH28" s="382"/>
      <c r="BI28" s="382"/>
      <c r="BJ28" s="382"/>
      <c r="BK28" s="382"/>
      <c r="BL28" s="382"/>
      <c r="BM28" s="382"/>
      <c r="BN28" s="382"/>
      <c r="BO28" s="382"/>
      <c r="BP28" s="382"/>
    </row>
    <row r="29" spans="1:68" s="88" customFormat="1" ht="11.25" customHeight="1" x14ac:dyDescent="0.2">
      <c r="A29" s="1808"/>
      <c r="B29" s="1809"/>
      <c r="C29" s="1809"/>
      <c r="D29" s="1809"/>
      <c r="E29" s="2561"/>
      <c r="F29" s="2562"/>
      <c r="G29" s="1469"/>
      <c r="H29" s="2712">
        <f t="shared" si="0"/>
        <v>0</v>
      </c>
      <c r="I29" s="2713"/>
      <c r="J29" s="1405">
        <f t="shared" si="1"/>
        <v>0</v>
      </c>
      <c r="K29" s="1480"/>
      <c r="L29" s="2534"/>
      <c r="M29" s="2535"/>
      <c r="N29" s="1478">
        <f t="shared" si="2"/>
        <v>0</v>
      </c>
      <c r="O29" s="1069"/>
      <c r="P29" s="1127"/>
      <c r="Q29" s="1128"/>
      <c r="R29" s="1129"/>
      <c r="S29" s="1130"/>
      <c r="T29" s="280"/>
      <c r="U29" s="280"/>
      <c r="V29" s="280"/>
      <c r="W29" s="280"/>
      <c r="X29" s="280"/>
      <c r="Y29" s="280"/>
      <c r="Z29" s="280"/>
      <c r="AA29" s="284"/>
      <c r="AB29" s="284"/>
      <c r="AC29" s="284"/>
      <c r="AD29" s="284"/>
      <c r="AE29" s="284"/>
      <c r="AF29" s="284"/>
      <c r="AG29" s="447"/>
      <c r="AH29" s="447"/>
      <c r="AI29" s="447"/>
      <c r="AJ29" s="382"/>
      <c r="AK29" s="382"/>
      <c r="AL29" s="382"/>
      <c r="AM29" s="382"/>
      <c r="AN29" s="382"/>
      <c r="AO29" s="382"/>
      <c r="AP29" s="382"/>
      <c r="AQ29" s="382"/>
      <c r="AR29" s="382"/>
      <c r="AS29" s="382"/>
      <c r="AT29" s="382"/>
      <c r="AU29" s="382"/>
      <c r="AV29" s="382"/>
      <c r="AW29" s="382"/>
      <c r="AX29" s="382"/>
      <c r="AY29" s="382"/>
      <c r="AZ29" s="382"/>
      <c r="BA29" s="382"/>
      <c r="BB29" s="382"/>
      <c r="BC29" s="382"/>
      <c r="BD29" s="382"/>
      <c r="BE29" s="382"/>
      <c r="BF29" s="382"/>
      <c r="BG29" s="382"/>
      <c r="BH29" s="382"/>
      <c r="BI29" s="382"/>
      <c r="BJ29" s="382"/>
      <c r="BK29" s="382"/>
      <c r="BL29" s="382"/>
      <c r="BM29" s="382"/>
      <c r="BN29" s="382"/>
      <c r="BO29" s="382"/>
      <c r="BP29" s="382"/>
    </row>
    <row r="30" spans="1:68" s="88" customFormat="1" ht="11.25" customHeight="1" x14ac:dyDescent="0.2">
      <c r="A30" s="1808"/>
      <c r="B30" s="1809"/>
      <c r="C30" s="1809"/>
      <c r="D30" s="1809"/>
      <c r="E30" s="2561"/>
      <c r="F30" s="2562"/>
      <c r="G30" s="1469"/>
      <c r="H30" s="2712">
        <f t="shared" si="0"/>
        <v>0</v>
      </c>
      <c r="I30" s="2713"/>
      <c r="J30" s="1405">
        <f t="shared" si="1"/>
        <v>0</v>
      </c>
      <c r="K30" s="1480"/>
      <c r="L30" s="2534"/>
      <c r="M30" s="2535"/>
      <c r="N30" s="1478">
        <f t="shared" si="2"/>
        <v>0</v>
      </c>
      <c r="O30" s="1069"/>
      <c r="P30" s="1127"/>
      <c r="Q30" s="1128"/>
      <c r="R30" s="1129"/>
      <c r="S30" s="1130"/>
      <c r="T30" s="280"/>
      <c r="U30" s="280"/>
      <c r="V30" s="280"/>
      <c r="W30" s="280"/>
      <c r="X30" s="280"/>
      <c r="Y30" s="280"/>
      <c r="Z30" s="280"/>
      <c r="AA30" s="284"/>
      <c r="AB30" s="284"/>
      <c r="AC30" s="284"/>
      <c r="AD30" s="284"/>
      <c r="AE30" s="284"/>
      <c r="AF30" s="284"/>
      <c r="AG30" s="447"/>
      <c r="AH30" s="447"/>
      <c r="AI30" s="447"/>
      <c r="AJ30" s="382"/>
      <c r="AK30" s="382"/>
      <c r="AL30" s="382"/>
      <c r="AM30" s="382"/>
      <c r="AN30" s="382"/>
      <c r="AO30" s="382"/>
      <c r="AP30" s="382"/>
      <c r="AQ30" s="382"/>
      <c r="AR30" s="382"/>
      <c r="AS30" s="382"/>
      <c r="AT30" s="382"/>
      <c r="AU30" s="382"/>
      <c r="AV30" s="382"/>
      <c r="AW30" s="382"/>
      <c r="AX30" s="382"/>
      <c r="AY30" s="382"/>
      <c r="AZ30" s="382"/>
      <c r="BA30" s="382"/>
      <c r="BB30" s="382"/>
      <c r="BC30" s="382"/>
      <c r="BD30" s="382"/>
      <c r="BE30" s="382"/>
      <c r="BF30" s="382"/>
      <c r="BG30" s="382"/>
      <c r="BH30" s="382"/>
      <c r="BI30" s="382"/>
      <c r="BJ30" s="382"/>
      <c r="BK30" s="382"/>
      <c r="BL30" s="382"/>
      <c r="BM30" s="382"/>
      <c r="BN30" s="382"/>
      <c r="BO30" s="382"/>
      <c r="BP30" s="382"/>
    </row>
    <row r="31" spans="1:68" s="88" customFormat="1" ht="11.25" customHeight="1" x14ac:dyDescent="0.2">
      <c r="A31" s="1808"/>
      <c r="B31" s="1809"/>
      <c r="C31" s="1809"/>
      <c r="D31" s="1809"/>
      <c r="E31" s="2561"/>
      <c r="F31" s="2562"/>
      <c r="G31" s="1469"/>
      <c r="H31" s="2712">
        <f t="shared" si="0"/>
        <v>0</v>
      </c>
      <c r="I31" s="2713"/>
      <c r="J31" s="1405">
        <f t="shared" si="1"/>
        <v>0</v>
      </c>
      <c r="K31" s="1480"/>
      <c r="L31" s="2534"/>
      <c r="M31" s="2535"/>
      <c r="N31" s="1478">
        <f t="shared" si="2"/>
        <v>0</v>
      </c>
      <c r="O31" s="1069"/>
      <c r="P31" s="1127"/>
      <c r="Q31" s="1128"/>
      <c r="R31" s="1129"/>
      <c r="S31" s="1130"/>
      <c r="T31" s="280"/>
      <c r="U31" s="280"/>
      <c r="V31" s="280"/>
      <c r="W31" s="280"/>
      <c r="X31" s="280"/>
      <c r="Y31" s="280"/>
      <c r="Z31" s="280"/>
      <c r="AA31" s="284"/>
      <c r="AB31" s="284"/>
      <c r="AC31" s="284"/>
      <c r="AD31" s="284"/>
      <c r="AE31" s="284"/>
      <c r="AF31" s="284"/>
      <c r="AG31" s="447"/>
      <c r="AH31" s="447"/>
      <c r="AI31" s="447"/>
      <c r="AJ31" s="382"/>
      <c r="AK31" s="382"/>
      <c r="AL31" s="382"/>
      <c r="AM31" s="382"/>
      <c r="AN31" s="382"/>
      <c r="AO31" s="382"/>
      <c r="AP31" s="382"/>
      <c r="AQ31" s="382"/>
      <c r="AR31" s="382"/>
      <c r="AS31" s="382"/>
      <c r="AT31" s="382"/>
      <c r="AU31" s="382"/>
      <c r="AV31" s="382"/>
      <c r="AW31" s="382"/>
      <c r="AX31" s="382"/>
      <c r="AY31" s="382"/>
      <c r="AZ31" s="382"/>
      <c r="BA31" s="382"/>
      <c r="BB31" s="382"/>
      <c r="BC31" s="382"/>
      <c r="BD31" s="382"/>
      <c r="BE31" s="382"/>
      <c r="BF31" s="382"/>
      <c r="BG31" s="382"/>
      <c r="BH31" s="382"/>
      <c r="BI31" s="382"/>
      <c r="BJ31" s="382"/>
      <c r="BK31" s="382"/>
      <c r="BL31" s="382"/>
      <c r="BM31" s="382"/>
      <c r="BN31" s="382"/>
      <c r="BO31" s="382"/>
      <c r="BP31" s="382"/>
    </row>
    <row r="32" spans="1:68" s="88" customFormat="1" ht="11.25" customHeight="1" x14ac:dyDescent="0.2">
      <c r="A32" s="1808"/>
      <c r="B32" s="1809"/>
      <c r="C32" s="1809"/>
      <c r="D32" s="1809"/>
      <c r="E32" s="2561"/>
      <c r="F32" s="2562"/>
      <c r="G32" s="1469"/>
      <c r="H32" s="2712">
        <f t="shared" si="0"/>
        <v>0</v>
      </c>
      <c r="I32" s="2713"/>
      <c r="J32" s="1405">
        <f t="shared" si="1"/>
        <v>0</v>
      </c>
      <c r="K32" s="1480"/>
      <c r="L32" s="2534"/>
      <c r="M32" s="2535"/>
      <c r="N32" s="1478">
        <f t="shared" si="2"/>
        <v>0</v>
      </c>
      <c r="O32" s="1069"/>
      <c r="P32" s="1127"/>
      <c r="Q32" s="1128"/>
      <c r="R32" s="1129"/>
      <c r="S32" s="1130"/>
      <c r="T32" s="280"/>
      <c r="U32" s="280"/>
      <c r="V32" s="280"/>
      <c r="W32" s="280"/>
      <c r="X32" s="280"/>
      <c r="Y32" s="280"/>
      <c r="Z32" s="280"/>
      <c r="AA32" s="284"/>
      <c r="AB32" s="284"/>
      <c r="AC32" s="284"/>
      <c r="AD32" s="284"/>
      <c r="AE32" s="284"/>
      <c r="AF32" s="284"/>
      <c r="AG32" s="447"/>
      <c r="AH32" s="447"/>
      <c r="AI32" s="447"/>
      <c r="AJ32" s="382"/>
      <c r="AK32" s="382"/>
      <c r="AL32" s="382"/>
      <c r="AM32" s="382"/>
      <c r="AN32" s="382"/>
      <c r="AO32" s="382"/>
      <c r="AP32" s="382"/>
      <c r="AQ32" s="382"/>
      <c r="AR32" s="382"/>
      <c r="AS32" s="382"/>
      <c r="AT32" s="382"/>
      <c r="AU32" s="382"/>
      <c r="AV32" s="382"/>
      <c r="AW32" s="382"/>
      <c r="AX32" s="382"/>
      <c r="AY32" s="382"/>
      <c r="AZ32" s="382"/>
      <c r="BA32" s="382"/>
      <c r="BB32" s="382"/>
      <c r="BC32" s="382"/>
      <c r="BD32" s="382"/>
      <c r="BE32" s="382"/>
      <c r="BF32" s="382"/>
      <c r="BG32" s="382"/>
      <c r="BH32" s="382"/>
      <c r="BI32" s="382"/>
      <c r="BJ32" s="382"/>
      <c r="BK32" s="382"/>
      <c r="BL32" s="382"/>
      <c r="BM32" s="382"/>
      <c r="BN32" s="382"/>
      <c r="BO32" s="382"/>
      <c r="BP32" s="382"/>
    </row>
    <row r="33" spans="1:69" s="88" customFormat="1" ht="11.25" customHeight="1" x14ac:dyDescent="0.2">
      <c r="A33" s="1808"/>
      <c r="B33" s="1809"/>
      <c r="C33" s="1809"/>
      <c r="D33" s="1809"/>
      <c r="E33" s="2561"/>
      <c r="F33" s="2562"/>
      <c r="G33" s="1469"/>
      <c r="H33" s="2712">
        <f t="shared" si="0"/>
        <v>0</v>
      </c>
      <c r="I33" s="2713"/>
      <c r="J33" s="1405">
        <f t="shared" si="1"/>
        <v>0</v>
      </c>
      <c r="K33" s="1480"/>
      <c r="L33" s="2534"/>
      <c r="M33" s="2535"/>
      <c r="N33" s="1478">
        <f t="shared" si="2"/>
        <v>0</v>
      </c>
      <c r="O33" s="1069"/>
      <c r="P33" s="1127"/>
      <c r="Q33" s="1128"/>
      <c r="R33" s="1129"/>
      <c r="S33" s="1130"/>
      <c r="T33" s="280"/>
      <c r="U33" s="280"/>
      <c r="V33" s="280"/>
      <c r="W33" s="280"/>
      <c r="X33" s="280"/>
      <c r="Y33" s="280"/>
      <c r="Z33" s="280"/>
      <c r="AA33" s="284"/>
      <c r="AB33" s="284"/>
      <c r="AC33" s="284"/>
      <c r="AD33" s="284"/>
      <c r="AE33" s="284"/>
      <c r="AF33" s="284"/>
      <c r="AG33" s="447"/>
      <c r="AH33" s="447"/>
      <c r="AI33" s="447"/>
      <c r="AJ33" s="382"/>
      <c r="AK33" s="382"/>
      <c r="AL33" s="382"/>
      <c r="AM33" s="382"/>
      <c r="AN33" s="382"/>
      <c r="AO33" s="382"/>
      <c r="AP33" s="382"/>
      <c r="AQ33" s="382"/>
      <c r="AR33" s="382"/>
      <c r="AS33" s="382"/>
      <c r="AT33" s="382"/>
      <c r="AU33" s="382"/>
      <c r="AV33" s="382"/>
      <c r="AW33" s="382"/>
      <c r="AX33" s="382"/>
      <c r="AY33" s="382"/>
      <c r="AZ33" s="382"/>
      <c r="BA33" s="382"/>
      <c r="BB33" s="382"/>
      <c r="BC33" s="382"/>
      <c r="BD33" s="382"/>
      <c r="BE33" s="382"/>
      <c r="BF33" s="382"/>
      <c r="BG33" s="382"/>
      <c r="BH33" s="382"/>
      <c r="BI33" s="382"/>
      <c r="BJ33" s="382"/>
      <c r="BK33" s="382"/>
      <c r="BL33" s="382"/>
      <c r="BM33" s="382"/>
      <c r="BN33" s="382"/>
      <c r="BO33" s="382"/>
      <c r="BP33" s="382"/>
    </row>
    <row r="34" spans="1:69" s="88" customFormat="1" ht="11.25" customHeight="1" x14ac:dyDescent="0.2">
      <c r="A34" s="1808"/>
      <c r="B34" s="1809"/>
      <c r="C34" s="1809"/>
      <c r="D34" s="1809"/>
      <c r="E34" s="2561"/>
      <c r="F34" s="2562"/>
      <c r="G34" s="1469"/>
      <c r="H34" s="2712">
        <f t="shared" si="0"/>
        <v>0</v>
      </c>
      <c r="I34" s="2713"/>
      <c r="J34" s="1405">
        <f t="shared" si="1"/>
        <v>0</v>
      </c>
      <c r="K34" s="1480"/>
      <c r="L34" s="2534"/>
      <c r="M34" s="2535"/>
      <c r="N34" s="1478">
        <f t="shared" si="2"/>
        <v>0</v>
      </c>
      <c r="O34" s="1069"/>
      <c r="P34" s="1127"/>
      <c r="Q34" s="1128"/>
      <c r="R34" s="1129"/>
      <c r="S34" s="1130"/>
      <c r="T34" s="280"/>
      <c r="U34" s="280"/>
      <c r="V34" s="280"/>
      <c r="W34" s="280"/>
      <c r="X34" s="280"/>
      <c r="Y34" s="280"/>
      <c r="Z34" s="280"/>
      <c r="AA34" s="284"/>
      <c r="AB34" s="284"/>
      <c r="AC34" s="284"/>
      <c r="AD34" s="284"/>
      <c r="AE34" s="284"/>
      <c r="AF34" s="284"/>
      <c r="AG34" s="447"/>
      <c r="AH34" s="447"/>
      <c r="AI34" s="447"/>
      <c r="AJ34" s="382"/>
      <c r="AK34" s="382"/>
      <c r="AL34" s="382"/>
      <c r="AM34" s="382"/>
      <c r="AN34" s="382"/>
      <c r="AO34" s="382"/>
      <c r="AP34" s="382"/>
      <c r="AQ34" s="382"/>
      <c r="AR34" s="382"/>
      <c r="AS34" s="382"/>
      <c r="AT34" s="382"/>
      <c r="AU34" s="382"/>
      <c r="AV34" s="382"/>
      <c r="AW34" s="382"/>
      <c r="AX34" s="382"/>
      <c r="AY34" s="382"/>
      <c r="AZ34" s="382"/>
      <c r="BA34" s="382"/>
      <c r="BB34" s="382"/>
      <c r="BC34" s="382"/>
      <c r="BD34" s="382"/>
      <c r="BE34" s="382"/>
      <c r="BF34" s="382"/>
      <c r="BG34" s="382"/>
      <c r="BH34" s="382"/>
      <c r="BI34" s="382"/>
      <c r="BJ34" s="382"/>
      <c r="BK34" s="382"/>
      <c r="BL34" s="382"/>
      <c r="BM34" s="382"/>
      <c r="BN34" s="382"/>
      <c r="BO34" s="382"/>
      <c r="BP34" s="382"/>
    </row>
    <row r="35" spans="1:69" s="88" customFormat="1" ht="11.25" customHeight="1" x14ac:dyDescent="0.2">
      <c r="A35" s="1808"/>
      <c r="B35" s="1809"/>
      <c r="C35" s="1809"/>
      <c r="D35" s="1809"/>
      <c r="E35" s="2561"/>
      <c r="F35" s="2562"/>
      <c r="G35" s="1469"/>
      <c r="H35" s="2712">
        <f t="shared" si="0"/>
        <v>0</v>
      </c>
      <c r="I35" s="2713"/>
      <c r="J35" s="1405">
        <f t="shared" si="1"/>
        <v>0</v>
      </c>
      <c r="K35" s="1480"/>
      <c r="L35" s="2534"/>
      <c r="M35" s="2535"/>
      <c r="N35" s="1478">
        <f t="shared" si="2"/>
        <v>0</v>
      </c>
      <c r="O35" s="1069"/>
      <c r="P35" s="1127"/>
      <c r="Q35" s="1128"/>
      <c r="R35" s="1129"/>
      <c r="S35" s="1130"/>
      <c r="T35" s="280"/>
      <c r="U35" s="280"/>
      <c r="V35" s="280"/>
      <c r="W35" s="280"/>
      <c r="X35" s="280"/>
      <c r="Y35" s="280"/>
      <c r="Z35" s="280"/>
      <c r="AA35" s="284"/>
      <c r="AB35" s="284"/>
      <c r="AC35" s="284"/>
      <c r="AD35" s="284"/>
      <c r="AE35" s="284"/>
      <c r="AF35" s="284"/>
      <c r="AG35" s="447"/>
      <c r="AH35" s="447"/>
      <c r="AI35" s="447"/>
      <c r="AJ35" s="382"/>
      <c r="AK35" s="382"/>
      <c r="AL35" s="382"/>
      <c r="AM35" s="382"/>
      <c r="AN35" s="382"/>
      <c r="AO35" s="382"/>
      <c r="AP35" s="382"/>
      <c r="AQ35" s="382"/>
      <c r="AR35" s="382"/>
      <c r="AS35" s="382"/>
      <c r="AT35" s="382"/>
      <c r="AU35" s="382"/>
      <c r="AV35" s="382"/>
      <c r="AW35" s="382"/>
      <c r="AX35" s="382"/>
      <c r="AY35" s="382"/>
      <c r="AZ35" s="382"/>
      <c r="BA35" s="382"/>
      <c r="BB35" s="382"/>
      <c r="BC35" s="382"/>
      <c r="BD35" s="382"/>
      <c r="BE35" s="382"/>
      <c r="BF35" s="382"/>
      <c r="BG35" s="382"/>
      <c r="BH35" s="382"/>
      <c r="BI35" s="382"/>
      <c r="BJ35" s="382"/>
      <c r="BK35" s="382"/>
      <c r="BL35" s="382"/>
      <c r="BM35" s="382"/>
      <c r="BN35" s="382"/>
      <c r="BO35" s="382"/>
      <c r="BP35" s="382"/>
    </row>
    <row r="36" spans="1:69" s="88" customFormat="1" ht="11.25" customHeight="1" x14ac:dyDescent="0.2">
      <c r="A36" s="1808"/>
      <c r="B36" s="1809"/>
      <c r="C36" s="1809"/>
      <c r="D36" s="1809"/>
      <c r="E36" s="2561"/>
      <c r="F36" s="2562"/>
      <c r="G36" s="1469"/>
      <c r="H36" s="2712">
        <f t="shared" si="0"/>
        <v>0</v>
      </c>
      <c r="I36" s="2713"/>
      <c r="J36" s="1405">
        <f t="shared" si="1"/>
        <v>0</v>
      </c>
      <c r="K36" s="1480"/>
      <c r="L36" s="2534"/>
      <c r="M36" s="2535"/>
      <c r="N36" s="1478">
        <f t="shared" si="2"/>
        <v>0</v>
      </c>
      <c r="O36" s="1069"/>
      <c r="P36" s="1127"/>
      <c r="Q36" s="1128"/>
      <c r="R36" s="1129"/>
      <c r="S36" s="1130"/>
      <c r="T36" s="280"/>
      <c r="U36" s="280"/>
      <c r="V36" s="280"/>
      <c r="W36" s="280"/>
      <c r="X36" s="280"/>
      <c r="Y36" s="280"/>
      <c r="Z36" s="280"/>
      <c r="AA36" s="284"/>
      <c r="AB36" s="284"/>
      <c r="AC36" s="284"/>
      <c r="AD36" s="284"/>
      <c r="AE36" s="284"/>
      <c r="AF36" s="284"/>
      <c r="AG36" s="447"/>
      <c r="AH36" s="447"/>
      <c r="AI36" s="447"/>
      <c r="AJ36" s="382"/>
      <c r="AK36" s="382"/>
      <c r="AL36" s="382"/>
      <c r="AM36" s="382"/>
      <c r="AN36" s="382"/>
      <c r="AO36" s="382"/>
      <c r="AP36" s="382"/>
      <c r="AQ36" s="382"/>
      <c r="AR36" s="382"/>
      <c r="AS36" s="382"/>
      <c r="AT36" s="382"/>
      <c r="AU36" s="382"/>
      <c r="AV36" s="382"/>
      <c r="AW36" s="382"/>
      <c r="AX36" s="382"/>
      <c r="AY36" s="382"/>
      <c r="AZ36" s="382"/>
      <c r="BA36" s="382"/>
      <c r="BB36" s="382"/>
      <c r="BC36" s="382"/>
      <c r="BD36" s="382"/>
      <c r="BE36" s="382"/>
      <c r="BF36" s="382"/>
      <c r="BG36" s="382"/>
      <c r="BH36" s="382"/>
      <c r="BI36" s="382"/>
      <c r="BJ36" s="382"/>
      <c r="BK36" s="382"/>
      <c r="BL36" s="382"/>
      <c r="BM36" s="382"/>
      <c r="BN36" s="382"/>
      <c r="BO36" s="382"/>
      <c r="BP36" s="382"/>
    </row>
    <row r="37" spans="1:69" s="88" customFormat="1" ht="11.25" customHeight="1" x14ac:dyDescent="0.2">
      <c r="A37" s="1808"/>
      <c r="B37" s="1809"/>
      <c r="C37" s="1809"/>
      <c r="D37" s="1809"/>
      <c r="E37" s="2561"/>
      <c r="F37" s="2562"/>
      <c r="G37" s="1469"/>
      <c r="H37" s="2712">
        <f t="shared" si="0"/>
        <v>0</v>
      </c>
      <c r="I37" s="2713"/>
      <c r="J37" s="1405">
        <f t="shared" si="1"/>
        <v>0</v>
      </c>
      <c r="K37" s="1480"/>
      <c r="L37" s="2534"/>
      <c r="M37" s="2535"/>
      <c r="N37" s="1478">
        <f t="shared" si="2"/>
        <v>0</v>
      </c>
      <c r="O37" s="1069"/>
      <c r="P37" s="1127"/>
      <c r="Q37" s="1128"/>
      <c r="R37" s="1129"/>
      <c r="S37" s="1130"/>
      <c r="T37" s="280"/>
      <c r="U37" s="280"/>
      <c r="V37" s="280"/>
      <c r="W37" s="280"/>
      <c r="X37" s="280"/>
      <c r="Y37" s="280"/>
      <c r="Z37" s="280"/>
      <c r="AA37" s="284"/>
      <c r="AB37" s="284"/>
      <c r="AC37" s="284"/>
      <c r="AD37" s="284"/>
      <c r="AE37" s="284"/>
      <c r="AF37" s="284"/>
      <c r="AG37" s="447"/>
      <c r="AH37" s="447"/>
      <c r="AI37" s="447"/>
      <c r="AJ37" s="382"/>
      <c r="AK37" s="382"/>
      <c r="AL37" s="382"/>
      <c r="AM37" s="382"/>
      <c r="AN37" s="382"/>
      <c r="AO37" s="382"/>
      <c r="AP37" s="382"/>
      <c r="AQ37" s="382"/>
      <c r="AR37" s="382"/>
      <c r="AS37" s="382"/>
      <c r="AT37" s="382"/>
      <c r="AU37" s="382"/>
      <c r="AV37" s="382"/>
      <c r="AW37" s="382"/>
      <c r="AX37" s="382"/>
      <c r="AY37" s="382"/>
      <c r="AZ37" s="382"/>
      <c r="BA37" s="382"/>
      <c r="BB37" s="382"/>
      <c r="BC37" s="382"/>
      <c r="BD37" s="382"/>
      <c r="BE37" s="382"/>
      <c r="BF37" s="382"/>
      <c r="BG37" s="382"/>
      <c r="BH37" s="382"/>
      <c r="BI37" s="382"/>
      <c r="BJ37" s="382"/>
      <c r="BK37" s="382"/>
      <c r="BL37" s="382"/>
      <c r="BM37" s="382"/>
      <c r="BN37" s="382"/>
      <c r="BO37" s="382"/>
      <c r="BP37" s="382"/>
    </row>
    <row r="38" spans="1:69" s="88" customFormat="1" ht="11.25" customHeight="1" x14ac:dyDescent="0.2">
      <c r="A38" s="1810"/>
      <c r="B38" s="1811"/>
      <c r="C38" s="1811"/>
      <c r="D38" s="1811"/>
      <c r="E38" s="2716"/>
      <c r="F38" s="2717"/>
      <c r="G38" s="1470"/>
      <c r="H38" s="2736">
        <f t="shared" si="0"/>
        <v>0</v>
      </c>
      <c r="I38" s="2737"/>
      <c r="J38" s="1408">
        <f t="shared" si="1"/>
        <v>0</v>
      </c>
      <c r="K38" s="1481"/>
      <c r="L38" s="2718"/>
      <c r="M38" s="2719"/>
      <c r="N38" s="1478">
        <f t="shared" si="2"/>
        <v>0</v>
      </c>
      <c r="O38" s="1069"/>
      <c r="P38" s="1127"/>
      <c r="Q38" s="1128"/>
      <c r="R38" s="1129"/>
      <c r="S38" s="1130"/>
      <c r="T38" s="280"/>
      <c r="U38" s="280"/>
      <c r="V38" s="280"/>
      <c r="W38" s="280"/>
      <c r="X38" s="280"/>
      <c r="Y38" s="280"/>
      <c r="Z38" s="280"/>
      <c r="AA38" s="284"/>
      <c r="AB38" s="284"/>
      <c r="AC38" s="284"/>
      <c r="AD38" s="284"/>
      <c r="AE38" s="284"/>
      <c r="AF38" s="284"/>
      <c r="AG38" s="447"/>
      <c r="AH38" s="447"/>
      <c r="AI38" s="447"/>
      <c r="AJ38" s="382"/>
      <c r="AK38" s="382"/>
      <c r="AL38" s="382"/>
      <c r="AM38" s="382"/>
      <c r="AN38" s="382"/>
      <c r="AO38" s="382"/>
      <c r="AP38" s="382"/>
      <c r="AQ38" s="382"/>
      <c r="AR38" s="382"/>
      <c r="AS38" s="382"/>
      <c r="AT38" s="382"/>
      <c r="AU38" s="382"/>
      <c r="AV38" s="382"/>
      <c r="AW38" s="382"/>
      <c r="AX38" s="382"/>
      <c r="AY38" s="382"/>
      <c r="AZ38" s="382"/>
      <c r="BA38" s="382"/>
      <c r="BB38" s="382"/>
      <c r="BC38" s="382"/>
      <c r="BD38" s="382"/>
      <c r="BE38" s="382"/>
      <c r="BF38" s="382"/>
      <c r="BG38" s="382"/>
      <c r="BH38" s="382"/>
      <c r="BI38" s="382"/>
      <c r="BJ38" s="382"/>
      <c r="BK38" s="382"/>
      <c r="BL38" s="382"/>
      <c r="BM38" s="382"/>
      <c r="BN38" s="382"/>
      <c r="BO38" s="382"/>
      <c r="BP38" s="382"/>
    </row>
    <row r="39" spans="1:69" s="88" customFormat="1" ht="14.1" customHeight="1" thickBot="1" x14ac:dyDescent="0.25">
      <c r="A39" s="391" t="s">
        <v>14</v>
      </c>
      <c r="B39" s="91"/>
      <c r="C39" s="90"/>
      <c r="D39" s="90"/>
      <c r="E39" s="2519">
        <f>IF($X$11,E14,ROUND(SUM(E15:E38),-2))</f>
        <v>0</v>
      </c>
      <c r="F39" s="2519"/>
      <c r="G39" s="1472">
        <f>IF($X$11,G14,IF($E$39&gt;0,SUMPRODUCT($E$15:$E$38,$G$15:$G$38)/$E$39,0))</f>
        <v>0</v>
      </c>
      <c r="H39" s="2492">
        <f>IF(E39=0,0,J39/E39)</f>
        <v>0</v>
      </c>
      <c r="I39" s="2493"/>
      <c r="J39" s="1407">
        <f>IF($X$11,J14,ROUND(SUM(J15:J38),0))</f>
        <v>0</v>
      </c>
      <c r="K39" s="1482">
        <f>IF(E39=0,0,N39/E39*100)</f>
        <v>0</v>
      </c>
      <c r="L39" s="2499"/>
      <c r="M39" s="2499"/>
      <c r="N39" s="1483">
        <f>IF($X$11,N14,ROUND(SUM(N15:N38),-1))</f>
        <v>0</v>
      </c>
      <c r="O39" s="1069"/>
      <c r="P39" s="320"/>
      <c r="Q39" s="288"/>
      <c r="R39" s="280"/>
      <c r="S39" s="287"/>
      <c r="T39" s="289"/>
      <c r="U39" s="271"/>
      <c r="V39" s="271"/>
      <c r="W39" s="271"/>
      <c r="X39" s="271"/>
      <c r="Y39" s="271"/>
      <c r="Z39" s="271"/>
      <c r="AA39" s="270"/>
      <c r="AB39" s="270"/>
      <c r="AC39" s="270"/>
      <c r="AD39" s="270"/>
      <c r="AE39" s="270"/>
      <c r="AF39" s="270"/>
      <c r="AG39" s="380"/>
      <c r="AH39" s="380"/>
      <c r="AI39" s="380"/>
      <c r="AJ39" s="381"/>
      <c r="AK39" s="381"/>
      <c r="AL39" s="382"/>
      <c r="AM39" s="382"/>
      <c r="AN39" s="382"/>
      <c r="AO39" s="382"/>
      <c r="AP39" s="382"/>
      <c r="AQ39" s="382"/>
      <c r="AR39" s="382"/>
      <c r="AS39" s="382"/>
      <c r="AT39" s="382"/>
      <c r="AU39" s="382"/>
      <c r="AV39" s="382"/>
      <c r="AW39" s="382"/>
      <c r="AX39" s="382"/>
      <c r="AY39" s="382"/>
      <c r="AZ39" s="382"/>
      <c r="BA39" s="382"/>
      <c r="BB39" s="382"/>
      <c r="BC39" s="382"/>
      <c r="BD39" s="382"/>
      <c r="BE39" s="382"/>
      <c r="BF39" s="382"/>
      <c r="BG39" s="382"/>
      <c r="BH39" s="382"/>
      <c r="BI39" s="382"/>
      <c r="BJ39" s="382"/>
      <c r="BK39" s="382"/>
      <c r="BL39" s="382"/>
      <c r="BM39" s="382"/>
      <c r="BN39" s="382"/>
      <c r="BO39" s="382"/>
      <c r="BP39" s="382"/>
    </row>
    <row r="40" spans="1:69" ht="5.95" customHeight="1" x14ac:dyDescent="0.2">
      <c r="A40" s="86" t="s">
        <v>12</v>
      </c>
      <c r="C40" s="101"/>
      <c r="D40" s="101"/>
      <c r="E40" s="101"/>
      <c r="F40" s="101"/>
      <c r="G40" s="101"/>
      <c r="P40" s="270"/>
      <c r="Q40" s="558"/>
      <c r="R40" s="558"/>
      <c r="S40" s="272"/>
      <c r="T40" s="271"/>
      <c r="U40" s="271"/>
      <c r="V40" s="271"/>
      <c r="W40" s="271"/>
      <c r="X40" s="271"/>
      <c r="Y40" s="271"/>
      <c r="Z40" s="271"/>
      <c r="AG40" s="380"/>
      <c r="AJ40" s="381"/>
      <c r="BQ40" s="83"/>
    </row>
    <row r="41" spans="1:69" ht="17.350000000000001" customHeight="1" x14ac:dyDescent="0.25">
      <c r="A41" s="107" t="s">
        <v>102</v>
      </c>
      <c r="B41" s="107"/>
      <c r="F41" s="102"/>
      <c r="G41" s="102"/>
      <c r="H41" s="1069"/>
      <c r="I41" s="1069"/>
      <c r="J41" s="1069"/>
      <c r="K41" s="1069"/>
      <c r="L41" s="1069"/>
      <c r="M41" s="101"/>
      <c r="N41" s="101"/>
      <c r="O41" s="101"/>
      <c r="P41" s="1069"/>
      <c r="Q41" s="1069"/>
      <c r="R41" s="557"/>
      <c r="S41" s="557"/>
      <c r="T41" s="557"/>
      <c r="V41" s="271"/>
      <c r="W41" s="271"/>
      <c r="AD41" s="380"/>
      <c r="AE41" s="380"/>
      <c r="AF41" s="380"/>
      <c r="AG41" s="381"/>
      <c r="AH41" s="381"/>
      <c r="AI41" s="381"/>
      <c r="AJ41" s="381"/>
      <c r="BQ41" s="83"/>
    </row>
    <row r="42" spans="1:69" ht="2.25" customHeight="1" thickBot="1" x14ac:dyDescent="0.25">
      <c r="A42" s="94"/>
      <c r="B42" s="94"/>
      <c r="C42" s="100"/>
      <c r="D42" s="100"/>
      <c r="E42" s="100"/>
      <c r="F42" s="100"/>
      <c r="G42" s="100"/>
      <c r="H42" s="1069"/>
      <c r="I42" s="1069"/>
      <c r="J42" s="1069"/>
      <c r="K42" s="1069"/>
      <c r="L42" s="1069"/>
      <c r="P42" s="1069"/>
      <c r="Q42" s="1069"/>
      <c r="R42" s="558"/>
      <c r="S42" s="271"/>
      <c r="T42" s="271"/>
      <c r="U42" s="271"/>
      <c r="V42" s="271"/>
      <c r="W42" s="271"/>
      <c r="AD42" s="380"/>
      <c r="AE42" s="380"/>
      <c r="AF42" s="380"/>
      <c r="AG42" s="381"/>
      <c r="AH42" s="381"/>
      <c r="AI42" s="381"/>
      <c r="AJ42" s="381"/>
      <c r="BQ42" s="83"/>
    </row>
    <row r="43" spans="1:69" s="382" customFormat="1" ht="12.1" customHeight="1" x14ac:dyDescent="0.2">
      <c r="A43" s="388" t="s">
        <v>535</v>
      </c>
      <c r="B43" s="2720" t="s">
        <v>536</v>
      </c>
      <c r="C43" s="2721"/>
      <c r="D43" s="2722"/>
      <c r="E43" s="2517" t="s">
        <v>656</v>
      </c>
      <c r="F43" s="2518"/>
      <c r="G43" s="1053" t="s">
        <v>319</v>
      </c>
      <c r="H43" s="1054"/>
      <c r="I43" s="1054"/>
      <c r="J43" s="1054"/>
      <c r="K43" s="1054"/>
      <c r="L43" s="1054"/>
      <c r="M43" s="1054"/>
      <c r="N43" s="1055"/>
      <c r="O43" s="1069"/>
      <c r="P43" s="1069"/>
      <c r="Q43" s="1069"/>
      <c r="R43" s="285"/>
      <c r="S43" s="285"/>
      <c r="T43" s="280"/>
      <c r="U43" s="271"/>
      <c r="V43" s="271"/>
      <c r="W43" s="271"/>
      <c r="X43" s="271"/>
      <c r="Y43" s="271"/>
      <c r="Z43" s="271"/>
      <c r="AA43" s="270"/>
      <c r="AB43" s="270"/>
      <c r="AC43" s="270"/>
      <c r="AD43" s="270"/>
      <c r="AE43" s="270"/>
      <c r="AF43" s="270"/>
      <c r="AG43" s="380"/>
      <c r="AH43" s="380"/>
      <c r="AI43" s="380"/>
      <c r="AJ43" s="381"/>
      <c r="AK43" s="381"/>
    </row>
    <row r="44" spans="1:69" s="382" customFormat="1" ht="11.25" customHeight="1" x14ac:dyDescent="0.2">
      <c r="A44" s="849" t="s">
        <v>537</v>
      </c>
      <c r="B44" s="2500"/>
      <c r="C44" s="2501"/>
      <c r="D44" s="2502"/>
      <c r="E44" s="2509"/>
      <c r="F44" s="2510"/>
      <c r="G44" s="2447"/>
      <c r="H44" s="2448"/>
      <c r="I44" s="2448"/>
      <c r="J44" s="2448"/>
      <c r="K44" s="2448"/>
      <c r="L44" s="2448"/>
      <c r="M44" s="2448"/>
      <c r="N44" s="2449"/>
      <c r="O44" s="1069"/>
      <c r="P44" s="1069"/>
      <c r="Q44" s="1069"/>
      <c r="T44" s="280"/>
      <c r="U44" s="271"/>
      <c r="V44" s="271"/>
      <c r="W44" s="271"/>
      <c r="X44" s="271"/>
      <c r="Y44" s="271"/>
      <c r="Z44" s="271"/>
      <c r="AA44" s="270"/>
      <c r="AB44" s="270"/>
      <c r="AC44" s="270"/>
      <c r="AD44" s="270"/>
      <c r="AE44" s="270"/>
      <c r="AF44" s="270"/>
      <c r="AG44" s="380"/>
      <c r="AH44" s="380"/>
      <c r="AI44" s="380"/>
      <c r="AJ44" s="381"/>
      <c r="AK44" s="381"/>
    </row>
    <row r="45" spans="1:69" s="382" customFormat="1" ht="11.25" customHeight="1" x14ac:dyDescent="0.2">
      <c r="A45" s="850" t="s">
        <v>538</v>
      </c>
      <c r="B45" s="2503"/>
      <c r="C45" s="2504"/>
      <c r="D45" s="2505"/>
      <c r="E45" s="2511"/>
      <c r="F45" s="2512"/>
      <c r="G45" s="2450"/>
      <c r="H45" s="2451"/>
      <c r="I45" s="2451"/>
      <c r="J45" s="2451"/>
      <c r="K45" s="2451"/>
      <c r="L45" s="2451"/>
      <c r="M45" s="2451"/>
      <c r="N45" s="2452"/>
      <c r="O45" s="1069"/>
      <c r="T45" s="280"/>
      <c r="U45" s="271"/>
      <c r="V45" s="271"/>
      <c r="W45" s="271"/>
      <c r="X45" s="271"/>
      <c r="Y45" s="271"/>
      <c r="Z45" s="271"/>
      <c r="AA45" s="270"/>
      <c r="AB45" s="270"/>
      <c r="AC45" s="270"/>
      <c r="AD45" s="270"/>
      <c r="AE45" s="270"/>
      <c r="AF45" s="270"/>
      <c r="AG45" s="380"/>
      <c r="AH45" s="380"/>
      <c r="AI45" s="380"/>
      <c r="AJ45" s="381"/>
      <c r="AK45" s="381"/>
    </row>
    <row r="46" spans="1:69" s="382" customFormat="1" ht="11.25" customHeight="1" x14ac:dyDescent="0.2">
      <c r="A46" s="851" t="s">
        <v>539</v>
      </c>
      <c r="B46" s="2506"/>
      <c r="C46" s="2507"/>
      <c r="D46" s="2508"/>
      <c r="E46" s="2513"/>
      <c r="F46" s="2514"/>
      <c r="G46" s="2453"/>
      <c r="H46" s="2454"/>
      <c r="I46" s="2454"/>
      <c r="J46" s="2454"/>
      <c r="K46" s="2454"/>
      <c r="L46" s="2454"/>
      <c r="M46" s="2454"/>
      <c r="N46" s="2455"/>
      <c r="O46" s="1069"/>
      <c r="T46" s="280"/>
      <c r="U46" s="271"/>
      <c r="V46" s="271"/>
      <c r="W46" s="271"/>
      <c r="X46" s="271"/>
      <c r="Y46" s="271"/>
      <c r="Z46" s="271"/>
      <c r="AA46" s="270"/>
      <c r="AB46" s="270"/>
      <c r="AC46" s="270"/>
      <c r="AD46" s="270"/>
      <c r="AE46" s="270"/>
      <c r="AF46" s="270"/>
      <c r="AG46" s="380"/>
      <c r="AH46" s="380"/>
      <c r="AI46" s="380"/>
      <c r="AJ46" s="381"/>
      <c r="AK46" s="381"/>
    </row>
    <row r="47" spans="1:69" s="382" customFormat="1" ht="13.6" customHeight="1" thickBot="1" x14ac:dyDescent="0.25">
      <c r="A47" s="391" t="s">
        <v>14</v>
      </c>
      <c r="B47" s="805"/>
      <c r="C47" s="805"/>
      <c r="D47" s="805"/>
      <c r="E47" s="2515">
        <f>SUM(E44:F46)</f>
        <v>0</v>
      </c>
      <c r="F47" s="2516"/>
      <c r="G47" s="1056"/>
      <c r="H47" s="1056"/>
      <c r="I47" s="1056"/>
      <c r="J47" s="1056"/>
      <c r="K47" s="1056"/>
      <c r="L47" s="1056"/>
      <c r="M47" s="1056"/>
      <c r="N47" s="1057"/>
      <c r="O47" s="1069"/>
      <c r="R47" s="285"/>
      <c r="S47" s="285"/>
      <c r="T47" s="280"/>
      <c r="U47" s="271"/>
      <c r="V47" s="271"/>
      <c r="W47" s="271"/>
      <c r="X47" s="271"/>
      <c r="Y47" s="271"/>
      <c r="Z47" s="271"/>
      <c r="AA47" s="270"/>
      <c r="AB47" s="270"/>
      <c r="AC47" s="270"/>
      <c r="AD47" s="270"/>
      <c r="AE47" s="270"/>
      <c r="AF47" s="270"/>
      <c r="AG47" s="380"/>
      <c r="AH47" s="380"/>
      <c r="AI47" s="380"/>
      <c r="AJ47" s="381"/>
      <c r="AK47" s="381"/>
    </row>
    <row r="48" spans="1:69" ht="5.95" customHeight="1" x14ac:dyDescent="0.2">
      <c r="A48" s="86" t="s">
        <v>12</v>
      </c>
      <c r="C48" s="101"/>
      <c r="D48" s="101"/>
      <c r="E48" s="101"/>
      <c r="F48" s="101"/>
      <c r="G48" s="101"/>
      <c r="P48" s="1069"/>
      <c r="Q48" s="1069"/>
      <c r="R48" s="558"/>
      <c r="S48" s="272"/>
      <c r="T48" s="271"/>
      <c r="U48" s="271"/>
      <c r="V48" s="271"/>
      <c r="W48" s="271"/>
      <c r="X48" s="271"/>
      <c r="Y48" s="271"/>
      <c r="Z48" s="271"/>
      <c r="AG48" s="380"/>
      <c r="AJ48" s="381"/>
      <c r="BQ48" s="83"/>
    </row>
    <row r="49" spans="1:69" ht="17.350000000000001" customHeight="1" x14ac:dyDescent="0.25">
      <c r="A49" s="1108" t="s">
        <v>732</v>
      </c>
      <c r="B49" s="1108"/>
      <c r="F49" s="102"/>
      <c r="G49" s="102"/>
      <c r="H49" s="314"/>
      <c r="I49" s="314"/>
      <c r="J49" s="314"/>
      <c r="K49" s="314"/>
      <c r="L49" s="314"/>
      <c r="M49" s="101"/>
      <c r="N49" s="101"/>
      <c r="O49" s="101"/>
      <c r="P49" s="1069"/>
      <c r="Q49" s="1069"/>
      <c r="R49" s="1069"/>
      <c r="S49" s="1069"/>
      <c r="T49" s="557"/>
      <c r="V49" s="271"/>
      <c r="W49" s="271"/>
      <c r="AD49" s="380"/>
      <c r="AE49" s="380"/>
      <c r="AF49" s="380"/>
      <c r="AG49" s="381"/>
      <c r="AH49" s="381"/>
      <c r="AI49" s="381"/>
      <c r="AJ49" s="381"/>
      <c r="BQ49" s="83"/>
    </row>
    <row r="50" spans="1:69" ht="2.25" customHeight="1" thickBot="1" x14ac:dyDescent="0.25">
      <c r="A50" s="94"/>
      <c r="B50" s="94"/>
      <c r="C50" s="100"/>
      <c r="D50" s="100"/>
      <c r="E50" s="100"/>
      <c r="F50" s="100"/>
      <c r="G50" s="100"/>
      <c r="H50" s="314"/>
      <c r="I50" s="314"/>
      <c r="J50" s="314"/>
      <c r="K50" s="314"/>
      <c r="L50" s="314"/>
      <c r="P50" s="1069"/>
      <c r="Q50" s="1069"/>
      <c r="R50" s="1069"/>
      <c r="S50" s="1069"/>
      <c r="T50" s="271"/>
      <c r="U50" s="271"/>
      <c r="V50" s="271"/>
      <c r="W50" s="271"/>
      <c r="AD50" s="380"/>
      <c r="AE50" s="380"/>
      <c r="AF50" s="380"/>
      <c r="AG50" s="381"/>
      <c r="AH50" s="381"/>
      <c r="AI50" s="381"/>
      <c r="AJ50" s="381"/>
      <c r="BQ50" s="83"/>
    </row>
    <row r="51" spans="1:69" s="382" customFormat="1" ht="11.25" customHeight="1" x14ac:dyDescent="0.2">
      <c r="A51" s="388" t="s">
        <v>318</v>
      </c>
      <c r="B51" s="99"/>
      <c r="C51" s="1460"/>
      <c r="D51" s="1460"/>
      <c r="E51" s="2482" t="s">
        <v>651</v>
      </c>
      <c r="F51" s="2483"/>
      <c r="G51" s="2482" t="s">
        <v>653</v>
      </c>
      <c r="H51" s="2482" t="s">
        <v>667</v>
      </c>
      <c r="I51" s="2483"/>
      <c r="J51" s="2714" t="s">
        <v>730</v>
      </c>
      <c r="K51" s="2482" t="s">
        <v>731</v>
      </c>
      <c r="L51" s="2494"/>
      <c r="M51" s="2494"/>
      <c r="N51" s="2495"/>
      <c r="O51" s="1069"/>
      <c r="P51" s="1069"/>
      <c r="Q51" s="1069"/>
      <c r="R51" s="1069"/>
      <c r="S51" s="1069"/>
      <c r="T51" s="280"/>
      <c r="U51" s="271"/>
      <c r="V51" s="271"/>
      <c r="W51" s="271"/>
      <c r="X51" s="271"/>
      <c r="Y51" s="271"/>
      <c r="Z51" s="271"/>
      <c r="AA51" s="270"/>
      <c r="AB51" s="270"/>
      <c r="AC51" s="270"/>
      <c r="AD51" s="270"/>
      <c r="AE51" s="270"/>
      <c r="AF51" s="270"/>
      <c r="AG51" s="380"/>
      <c r="AH51" s="380"/>
      <c r="AI51" s="380"/>
      <c r="AJ51" s="381"/>
      <c r="AK51" s="381"/>
    </row>
    <row r="52" spans="1:69" s="382" customFormat="1" ht="11.25" customHeight="1" x14ac:dyDescent="0.2">
      <c r="A52" s="389"/>
      <c r="B52" s="1383"/>
      <c r="C52" s="555"/>
      <c r="D52" s="555"/>
      <c r="E52" s="2484"/>
      <c r="F52" s="2485"/>
      <c r="G52" s="2484"/>
      <c r="H52" s="2484"/>
      <c r="I52" s="2485"/>
      <c r="J52" s="2715"/>
      <c r="K52" s="2484"/>
      <c r="L52" s="2496"/>
      <c r="M52" s="2496"/>
      <c r="N52" s="2497"/>
      <c r="O52" s="1069"/>
      <c r="P52" s="1069"/>
      <c r="Q52" s="1069"/>
      <c r="R52" s="1069"/>
      <c r="S52" s="1069"/>
      <c r="T52" s="280"/>
      <c r="U52" s="271"/>
      <c r="V52" s="271"/>
      <c r="W52" s="271"/>
      <c r="X52" s="271"/>
      <c r="Y52" s="271"/>
      <c r="Z52" s="271"/>
      <c r="AA52" s="270"/>
      <c r="AB52" s="270"/>
      <c r="AC52" s="270"/>
      <c r="AD52" s="270"/>
      <c r="AE52" s="270"/>
      <c r="AF52" s="270"/>
      <c r="AG52" s="380"/>
      <c r="AH52" s="380"/>
      <c r="AI52" s="380"/>
      <c r="AJ52" s="381"/>
      <c r="AK52" s="381"/>
    </row>
    <row r="53" spans="1:69" s="382" customFormat="1" ht="11.25" customHeight="1" x14ac:dyDescent="0.2">
      <c r="A53" s="507"/>
      <c r="B53" s="98"/>
      <c r="C53" s="799"/>
      <c r="D53" s="799"/>
      <c r="E53" s="2528" t="s">
        <v>652</v>
      </c>
      <c r="F53" s="2711"/>
      <c r="G53" s="1462" t="s">
        <v>29</v>
      </c>
      <c r="H53" s="2486" t="s">
        <v>641</v>
      </c>
      <c r="I53" s="2487"/>
      <c r="J53" s="693" t="s">
        <v>655</v>
      </c>
      <c r="K53" s="1473" t="s">
        <v>677</v>
      </c>
      <c r="L53" s="2498" t="s">
        <v>668</v>
      </c>
      <c r="M53" s="2498"/>
      <c r="N53" s="1474" t="s">
        <v>655</v>
      </c>
      <c r="O53" s="1069"/>
      <c r="P53" s="1069"/>
      <c r="Q53" s="1069"/>
      <c r="R53" s="1069"/>
      <c r="S53" s="1069"/>
      <c r="T53" s="280"/>
      <c r="U53" s="271"/>
      <c r="V53" s="271"/>
      <c r="W53" s="271"/>
      <c r="X53" s="271"/>
      <c r="Y53" s="271"/>
      <c r="Z53" s="271"/>
      <c r="AA53" s="270"/>
      <c r="AB53" s="270"/>
      <c r="AC53" s="270"/>
      <c r="AD53" s="270"/>
      <c r="AE53" s="270"/>
      <c r="AF53" s="270"/>
      <c r="AG53" s="380"/>
      <c r="AH53" s="380"/>
      <c r="AI53" s="380"/>
      <c r="AJ53" s="381"/>
      <c r="AK53" s="381"/>
    </row>
    <row r="54" spans="1:69" s="88" customFormat="1" ht="14.1" customHeight="1" thickBot="1" x14ac:dyDescent="0.25">
      <c r="A54" s="391" t="s">
        <v>14</v>
      </c>
      <c r="B54" s="91"/>
      <c r="C54" s="90"/>
      <c r="D54" s="90"/>
      <c r="E54" s="2519">
        <f>E39-E47</f>
        <v>0</v>
      </c>
      <c r="F54" s="2519"/>
      <c r="G54" s="1472">
        <f>G39</f>
        <v>0</v>
      </c>
      <c r="H54" s="2492">
        <f>H39</f>
        <v>0</v>
      </c>
      <c r="I54" s="2493"/>
      <c r="J54" s="1407">
        <f>ROUND(E54*H54,-1)</f>
        <v>0</v>
      </c>
      <c r="K54" s="1482">
        <f>IF(E54=0,0,N54/E54*100)</f>
        <v>0</v>
      </c>
      <c r="L54" s="2499"/>
      <c r="M54" s="2499"/>
      <c r="N54" s="1483">
        <f>N39</f>
        <v>0</v>
      </c>
      <c r="O54" s="1069"/>
      <c r="P54" s="320"/>
      <c r="Q54" s="288"/>
      <c r="R54" s="280"/>
      <c r="S54" s="287"/>
      <c r="T54" s="289"/>
      <c r="U54" s="271"/>
      <c r="V54" s="271"/>
      <c r="W54" s="271"/>
      <c r="X54" s="271"/>
      <c r="Y54" s="271"/>
      <c r="Z54" s="271"/>
      <c r="AA54" s="270"/>
      <c r="AB54" s="270"/>
      <c r="AC54" s="270"/>
      <c r="AD54" s="270"/>
      <c r="AE54" s="270"/>
      <c r="AF54" s="270"/>
      <c r="AG54" s="380"/>
      <c r="AH54" s="380"/>
      <c r="AI54" s="380"/>
      <c r="AJ54" s="381"/>
      <c r="AK54" s="381"/>
      <c r="AL54" s="382"/>
      <c r="AM54" s="382"/>
      <c r="AN54" s="382"/>
      <c r="AO54" s="382"/>
      <c r="AP54" s="382"/>
      <c r="AQ54" s="382"/>
      <c r="AR54" s="382"/>
      <c r="AS54" s="382"/>
      <c r="AT54" s="382"/>
      <c r="AU54" s="382"/>
      <c r="AV54" s="382"/>
      <c r="AW54" s="382"/>
      <c r="AX54" s="382"/>
      <c r="AY54" s="382"/>
      <c r="AZ54" s="382"/>
      <c r="BA54" s="382"/>
      <c r="BB54" s="382"/>
      <c r="BC54" s="382"/>
      <c r="BD54" s="382"/>
      <c r="BE54" s="382"/>
      <c r="BF54" s="382"/>
      <c r="BG54" s="382"/>
      <c r="BH54" s="382"/>
      <c r="BI54" s="382"/>
      <c r="BJ54" s="382"/>
      <c r="BK54" s="382"/>
      <c r="BL54" s="382"/>
      <c r="BM54" s="382"/>
      <c r="BN54" s="382"/>
      <c r="BO54" s="382"/>
      <c r="BP54" s="382"/>
    </row>
    <row r="55" spans="1:69" s="798" customFormat="1" ht="5.95" customHeight="1" x14ac:dyDescent="0.2">
      <c r="A55" s="1186"/>
      <c r="B55" s="1156"/>
      <c r="C55" s="2567"/>
      <c r="D55" s="2567"/>
      <c r="E55" s="2567"/>
      <c r="F55" s="2566"/>
      <c r="G55" s="2566"/>
      <c r="H55" s="1187"/>
      <c r="I55" s="1187"/>
      <c r="J55" s="1187"/>
      <c r="K55" s="1187"/>
      <c r="L55" s="1187"/>
      <c r="M55" s="1187"/>
      <c r="N55" s="1187"/>
      <c r="O55" s="884"/>
      <c r="P55" s="800">
        <f>IF(ISBLANK(I55),H55,I55)</f>
        <v>0</v>
      </c>
      <c r="Q55" s="801"/>
      <c r="R55" s="286"/>
      <c r="S55" s="802"/>
      <c r="T55" s="291"/>
      <c r="U55" s="291"/>
      <c r="V55" s="291"/>
      <c r="W55" s="291"/>
      <c r="X55" s="291"/>
      <c r="Y55" s="291"/>
      <c r="Z55" s="291"/>
      <c r="AA55" s="803"/>
      <c r="AB55" s="803"/>
      <c r="AC55" s="803"/>
      <c r="AD55" s="803"/>
      <c r="AE55" s="803"/>
      <c r="AF55" s="803"/>
      <c r="AG55" s="804"/>
      <c r="AH55" s="804"/>
      <c r="AI55" s="804"/>
      <c r="AJ55" s="555"/>
      <c r="AK55" s="555"/>
      <c r="AL55" s="555"/>
      <c r="AM55" s="555"/>
      <c r="AN55" s="555"/>
      <c r="AO55" s="555"/>
      <c r="AP55" s="555"/>
      <c r="AQ55" s="555"/>
      <c r="AR55" s="555"/>
      <c r="AS55" s="555"/>
      <c r="AT55" s="555"/>
      <c r="AU55" s="555"/>
      <c r="AV55" s="555"/>
      <c r="AW55" s="555"/>
      <c r="AX55" s="555"/>
      <c r="AY55" s="555"/>
      <c r="AZ55" s="555"/>
      <c r="BA55" s="555"/>
      <c r="BB55" s="555"/>
      <c r="BC55" s="555"/>
      <c r="BD55" s="555"/>
      <c r="BE55" s="555"/>
      <c r="BF55" s="555"/>
      <c r="BG55" s="555"/>
      <c r="BH55" s="555"/>
      <c r="BI55" s="555"/>
      <c r="BJ55" s="555"/>
      <c r="BK55" s="555"/>
      <c r="BL55" s="555"/>
      <c r="BM55" s="555"/>
      <c r="BN55" s="555"/>
      <c r="BO55" s="555"/>
      <c r="BP55" s="555"/>
    </row>
    <row r="56" spans="1:69" ht="17.350000000000001" customHeight="1" x14ac:dyDescent="0.25">
      <c r="A56" s="1108" t="s">
        <v>30</v>
      </c>
      <c r="B56" s="1108"/>
      <c r="C56" s="2563" t="str">
        <f>IF(R109=1,"(inkl. externe Kosten)","(ohne externe Kosten)")</f>
        <v>(ohne externe Kosten)</v>
      </c>
      <c r="D56" s="2563"/>
      <c r="F56" s="102"/>
      <c r="G56" s="102"/>
      <c r="K56" s="101"/>
      <c r="L56" s="101"/>
      <c r="M56" s="101"/>
      <c r="N56" s="101"/>
      <c r="O56" s="101"/>
      <c r="P56" s="270"/>
      <c r="Q56" s="559"/>
      <c r="R56" s="557"/>
      <c r="S56" s="557"/>
      <c r="T56" s="557"/>
      <c r="V56" s="271"/>
      <c r="W56" s="271"/>
      <c r="AD56" s="380"/>
      <c r="AE56" s="380"/>
      <c r="AF56" s="380"/>
      <c r="AG56" s="381"/>
      <c r="AH56" s="381"/>
      <c r="AI56" s="381"/>
      <c r="AJ56" s="381"/>
      <c r="BQ56" s="83"/>
    </row>
    <row r="57" spans="1:69" ht="2.25" customHeight="1" thickBot="1" x14ac:dyDescent="0.25">
      <c r="A57" s="94"/>
      <c r="B57" s="94"/>
      <c r="C57" s="100"/>
      <c r="D57" s="100"/>
      <c r="E57" s="100"/>
      <c r="F57" s="100"/>
      <c r="G57" s="100"/>
      <c r="H57" s="94"/>
      <c r="I57" s="94"/>
      <c r="J57" s="94"/>
      <c r="K57" s="94"/>
      <c r="P57" s="272"/>
      <c r="Q57" s="558"/>
      <c r="R57" s="558"/>
      <c r="S57" s="271"/>
      <c r="T57" s="271"/>
      <c r="U57" s="271"/>
      <c r="V57" s="271"/>
      <c r="W57" s="271"/>
      <c r="AD57" s="380"/>
      <c r="AE57" s="380"/>
      <c r="AF57" s="380"/>
      <c r="AG57" s="381"/>
      <c r="AH57" s="381"/>
      <c r="AI57" s="381"/>
      <c r="AJ57" s="381"/>
      <c r="BQ57" s="83"/>
    </row>
    <row r="58" spans="1:69" s="88" customFormat="1" ht="11.25" customHeight="1" x14ac:dyDescent="0.2">
      <c r="A58" s="388" t="s">
        <v>13</v>
      </c>
      <c r="B58" s="99"/>
      <c r="C58" s="99"/>
      <c r="E58" s="2441" t="s">
        <v>631</v>
      </c>
      <c r="F58" s="2443"/>
      <c r="G58" s="2482" t="s">
        <v>31</v>
      </c>
      <c r="H58" s="2494"/>
      <c r="I58" s="2483"/>
      <c r="J58" s="2482" t="s">
        <v>297</v>
      </c>
      <c r="K58" s="2483"/>
      <c r="L58" s="2482" t="s">
        <v>658</v>
      </c>
      <c r="M58" s="2494"/>
      <c r="N58" s="2495"/>
      <c r="S58" s="436" t="s">
        <v>471</v>
      </c>
      <c r="T58" s="285"/>
      <c r="U58" s="280"/>
      <c r="V58" s="271"/>
      <c r="W58" s="271"/>
      <c r="X58" s="271"/>
      <c r="Y58" s="271"/>
      <c r="Z58" s="271"/>
      <c r="AA58" s="270"/>
      <c r="AB58" s="270"/>
      <c r="AC58" s="270"/>
      <c r="AD58" s="270"/>
      <c r="AE58" s="270"/>
      <c r="AF58" s="270"/>
      <c r="AG58" s="380"/>
      <c r="AH58" s="380"/>
      <c r="AI58" s="380"/>
      <c r="AJ58" s="381"/>
      <c r="AK58" s="381"/>
      <c r="AL58" s="382"/>
      <c r="AM58" s="382"/>
      <c r="AN58" s="382"/>
      <c r="AO58" s="382"/>
      <c r="AP58" s="382"/>
      <c r="AQ58" s="382"/>
      <c r="AR58" s="382"/>
      <c r="AS58" s="382"/>
      <c r="AT58" s="382"/>
      <c r="AU58" s="382"/>
      <c r="AV58" s="382"/>
      <c r="AW58" s="382"/>
      <c r="AX58" s="382"/>
      <c r="AY58" s="382"/>
      <c r="AZ58" s="382"/>
      <c r="BA58" s="382"/>
      <c r="BB58" s="382"/>
      <c r="BC58" s="382"/>
      <c r="BD58" s="382"/>
      <c r="BE58" s="382"/>
      <c r="BF58" s="382"/>
      <c r="BG58" s="382"/>
      <c r="BH58" s="382"/>
      <c r="BI58" s="382"/>
      <c r="BJ58" s="382"/>
      <c r="BK58" s="382"/>
      <c r="BL58" s="382"/>
      <c r="BM58" s="382"/>
      <c r="BN58" s="382"/>
      <c r="BO58" s="382"/>
      <c r="BP58" s="382"/>
      <c r="BQ58" s="382"/>
    </row>
    <row r="59" spans="1:69" s="88" customFormat="1" ht="11.25" customHeight="1" x14ac:dyDescent="0.2">
      <c r="A59" s="389"/>
      <c r="B59" s="1383"/>
      <c r="C59" s="1383"/>
      <c r="D59" s="1517"/>
      <c r="E59" s="2570"/>
      <c r="F59" s="2571"/>
      <c r="G59" s="2484"/>
      <c r="H59" s="2496"/>
      <c r="I59" s="2485"/>
      <c r="J59" s="2484"/>
      <c r="K59" s="2485"/>
      <c r="L59" s="2484"/>
      <c r="M59" s="2496"/>
      <c r="N59" s="2497"/>
      <c r="S59" s="431">
        <f ca="1">Grunddaten!$AT$10</f>
        <v>2016</v>
      </c>
      <c r="T59" s="421">
        <f ca="1">S59+1</f>
        <v>2017</v>
      </c>
      <c r="U59" s="421">
        <f t="shared" ref="U59:BP59" ca="1" si="3">T59+1</f>
        <v>2018</v>
      </c>
      <c r="V59" s="421">
        <f t="shared" ca="1" si="3"/>
        <v>2019</v>
      </c>
      <c r="W59" s="421">
        <f t="shared" ca="1" si="3"/>
        <v>2020</v>
      </c>
      <c r="X59" s="421">
        <f t="shared" ca="1" si="3"/>
        <v>2021</v>
      </c>
      <c r="Y59" s="421">
        <f t="shared" ca="1" si="3"/>
        <v>2022</v>
      </c>
      <c r="Z59" s="421">
        <f t="shared" ca="1" si="3"/>
        <v>2023</v>
      </c>
      <c r="AA59" s="421">
        <f t="shared" ca="1" si="3"/>
        <v>2024</v>
      </c>
      <c r="AB59" s="421">
        <f t="shared" ca="1" si="3"/>
        <v>2025</v>
      </c>
      <c r="AC59" s="421">
        <f t="shared" ca="1" si="3"/>
        <v>2026</v>
      </c>
      <c r="AD59" s="421">
        <f t="shared" ca="1" si="3"/>
        <v>2027</v>
      </c>
      <c r="AE59" s="421">
        <f t="shared" ca="1" si="3"/>
        <v>2028</v>
      </c>
      <c r="AF59" s="421">
        <f t="shared" ca="1" si="3"/>
        <v>2029</v>
      </c>
      <c r="AG59" s="421">
        <f t="shared" ca="1" si="3"/>
        <v>2030</v>
      </c>
      <c r="AH59" s="421">
        <f t="shared" ca="1" si="3"/>
        <v>2031</v>
      </c>
      <c r="AI59" s="421">
        <f t="shared" ca="1" si="3"/>
        <v>2032</v>
      </c>
      <c r="AJ59" s="421">
        <f t="shared" ca="1" si="3"/>
        <v>2033</v>
      </c>
      <c r="AK59" s="421">
        <f t="shared" ca="1" si="3"/>
        <v>2034</v>
      </c>
      <c r="AL59" s="421">
        <f t="shared" ca="1" si="3"/>
        <v>2035</v>
      </c>
      <c r="AM59" s="421">
        <f t="shared" ca="1" si="3"/>
        <v>2036</v>
      </c>
      <c r="AN59" s="421">
        <f t="shared" ca="1" si="3"/>
        <v>2037</v>
      </c>
      <c r="AO59" s="421">
        <f t="shared" ca="1" si="3"/>
        <v>2038</v>
      </c>
      <c r="AP59" s="421">
        <f t="shared" ca="1" si="3"/>
        <v>2039</v>
      </c>
      <c r="AQ59" s="421">
        <f t="shared" ca="1" si="3"/>
        <v>2040</v>
      </c>
      <c r="AR59" s="421">
        <f t="shared" ca="1" si="3"/>
        <v>2041</v>
      </c>
      <c r="AS59" s="421">
        <f t="shared" ca="1" si="3"/>
        <v>2042</v>
      </c>
      <c r="AT59" s="421">
        <f t="shared" ca="1" si="3"/>
        <v>2043</v>
      </c>
      <c r="AU59" s="421">
        <f t="shared" ca="1" si="3"/>
        <v>2044</v>
      </c>
      <c r="AV59" s="421">
        <f t="shared" ca="1" si="3"/>
        <v>2045</v>
      </c>
      <c r="AW59" s="421">
        <f t="shared" ca="1" si="3"/>
        <v>2046</v>
      </c>
      <c r="AX59" s="421">
        <f t="shared" ca="1" si="3"/>
        <v>2047</v>
      </c>
      <c r="AY59" s="421">
        <f t="shared" ca="1" si="3"/>
        <v>2048</v>
      </c>
      <c r="AZ59" s="421">
        <f t="shared" ca="1" si="3"/>
        <v>2049</v>
      </c>
      <c r="BA59" s="421">
        <f t="shared" ca="1" si="3"/>
        <v>2050</v>
      </c>
      <c r="BB59" s="421">
        <f t="shared" ca="1" si="3"/>
        <v>2051</v>
      </c>
      <c r="BC59" s="421">
        <f t="shared" ca="1" si="3"/>
        <v>2052</v>
      </c>
      <c r="BD59" s="421">
        <f t="shared" ca="1" si="3"/>
        <v>2053</v>
      </c>
      <c r="BE59" s="421">
        <f t="shared" ca="1" si="3"/>
        <v>2054</v>
      </c>
      <c r="BF59" s="421">
        <f t="shared" ca="1" si="3"/>
        <v>2055</v>
      </c>
      <c r="BG59" s="421">
        <f t="shared" ca="1" si="3"/>
        <v>2056</v>
      </c>
      <c r="BH59" s="421">
        <f t="shared" ca="1" si="3"/>
        <v>2057</v>
      </c>
      <c r="BI59" s="421">
        <f t="shared" ca="1" si="3"/>
        <v>2058</v>
      </c>
      <c r="BJ59" s="421">
        <f t="shared" ca="1" si="3"/>
        <v>2059</v>
      </c>
      <c r="BK59" s="421">
        <f t="shared" ca="1" si="3"/>
        <v>2060</v>
      </c>
      <c r="BL59" s="421">
        <f t="shared" ca="1" si="3"/>
        <v>2061</v>
      </c>
      <c r="BM59" s="421">
        <f t="shared" ca="1" si="3"/>
        <v>2062</v>
      </c>
      <c r="BN59" s="421">
        <f t="shared" ca="1" si="3"/>
        <v>2063</v>
      </c>
      <c r="BO59" s="421">
        <f t="shared" ca="1" si="3"/>
        <v>2064</v>
      </c>
      <c r="BP59" s="421">
        <f t="shared" ca="1" si="3"/>
        <v>2065</v>
      </c>
      <c r="BQ59" s="426">
        <f ca="1">BP59+1</f>
        <v>2066</v>
      </c>
    </row>
    <row r="60" spans="1:69" s="88" customFormat="1" ht="11.25" customHeight="1" x14ac:dyDescent="0.2">
      <c r="A60" s="507"/>
      <c r="B60" s="98"/>
      <c r="C60" s="98"/>
      <c r="D60" s="696"/>
      <c r="E60" s="2444" t="s">
        <v>655</v>
      </c>
      <c r="F60" s="2446"/>
      <c r="G60" s="2444" t="s">
        <v>32</v>
      </c>
      <c r="H60" s="2445"/>
      <c r="I60" s="2446"/>
      <c r="J60" s="2444" t="s">
        <v>657</v>
      </c>
      <c r="K60" s="2446"/>
      <c r="L60" s="2486" t="s">
        <v>655</v>
      </c>
      <c r="M60" s="2488"/>
      <c r="N60" s="2489"/>
      <c r="S60" s="1518"/>
      <c r="T60" s="557"/>
      <c r="U60" s="557"/>
      <c r="V60" s="557"/>
      <c r="W60" s="557"/>
      <c r="X60" s="557"/>
      <c r="Y60" s="557"/>
      <c r="Z60" s="557"/>
      <c r="AA60" s="557"/>
      <c r="AB60" s="557"/>
      <c r="AC60" s="557"/>
      <c r="AD60" s="557"/>
      <c r="AE60" s="557"/>
      <c r="AF60" s="557"/>
      <c r="AG60" s="557"/>
      <c r="AH60" s="557"/>
      <c r="AI60" s="557"/>
      <c r="AJ60" s="557"/>
      <c r="AK60" s="557"/>
      <c r="AL60" s="557"/>
      <c r="AM60" s="557"/>
      <c r="AN60" s="557"/>
      <c r="AO60" s="557"/>
      <c r="AP60" s="557"/>
      <c r="AQ60" s="557"/>
      <c r="AR60" s="557"/>
      <c r="AS60" s="557"/>
      <c r="AT60" s="557"/>
      <c r="AU60" s="557"/>
      <c r="AV60" s="557"/>
      <c r="AW60" s="557"/>
      <c r="AX60" s="557"/>
      <c r="AY60" s="557"/>
      <c r="AZ60" s="557"/>
      <c r="BA60" s="557"/>
      <c r="BB60" s="557"/>
      <c r="BC60" s="557"/>
      <c r="BD60" s="557"/>
      <c r="BE60" s="557"/>
      <c r="BF60" s="557"/>
      <c r="BG60" s="557"/>
      <c r="BH60" s="557"/>
      <c r="BI60" s="557"/>
      <c r="BJ60" s="557"/>
      <c r="BK60" s="557"/>
      <c r="BL60" s="557"/>
      <c r="BM60" s="557"/>
      <c r="BN60" s="557"/>
      <c r="BO60" s="557"/>
      <c r="BP60" s="557"/>
      <c r="BQ60" s="1519"/>
    </row>
    <row r="61" spans="1:69" s="88" customFormat="1" ht="11.25" customHeight="1" x14ac:dyDescent="0.2">
      <c r="A61" s="1520" t="s">
        <v>33</v>
      </c>
      <c r="B61" s="1384"/>
      <c r="C61" s="2490"/>
      <c r="D61" s="2491"/>
      <c r="E61" s="2708">
        <f xml:space="preserve"> VLOOKUP(Projektdaten!G20,Grunddaten!C11:AI44,33,FALSE) * EV_Var1!I67</f>
        <v>0</v>
      </c>
      <c r="F61" s="2709"/>
      <c r="G61" s="2553" t="s">
        <v>34</v>
      </c>
      <c r="H61" s="2710"/>
      <c r="I61" s="2554"/>
      <c r="J61" s="2553" t="s">
        <v>35</v>
      </c>
      <c r="K61" s="2554"/>
      <c r="L61" s="2528" t="s">
        <v>35</v>
      </c>
      <c r="M61" s="2529"/>
      <c r="N61" s="2530"/>
      <c r="S61" s="422"/>
      <c r="T61" s="423"/>
      <c r="U61" s="423"/>
      <c r="V61" s="423"/>
      <c r="W61" s="423"/>
      <c r="X61" s="423"/>
      <c r="Y61" s="423"/>
      <c r="Z61" s="423"/>
      <c r="AA61" s="423"/>
      <c r="AB61" s="423"/>
      <c r="AC61" s="423"/>
      <c r="AD61" s="423"/>
      <c r="AE61" s="423"/>
      <c r="AF61" s="423"/>
      <c r="AG61" s="423"/>
      <c r="AH61" s="423"/>
      <c r="AI61" s="423"/>
      <c r="AJ61" s="423"/>
      <c r="AK61" s="423"/>
      <c r="AL61" s="423"/>
      <c r="AM61" s="423"/>
      <c r="AN61" s="423"/>
      <c r="AO61" s="423"/>
      <c r="AP61" s="423"/>
      <c r="AQ61" s="423"/>
      <c r="AR61" s="423"/>
      <c r="AS61" s="423"/>
      <c r="AT61" s="423"/>
      <c r="AU61" s="423"/>
      <c r="AV61" s="423"/>
      <c r="AW61" s="423"/>
      <c r="AX61" s="423"/>
      <c r="AY61" s="423"/>
      <c r="AZ61" s="423"/>
      <c r="BA61" s="423"/>
      <c r="BB61" s="423"/>
      <c r="BC61" s="423"/>
      <c r="BD61" s="423"/>
      <c r="BE61" s="423"/>
      <c r="BF61" s="423"/>
      <c r="BG61" s="423"/>
      <c r="BH61" s="423"/>
      <c r="BI61" s="423"/>
      <c r="BJ61" s="423"/>
      <c r="BK61" s="423"/>
      <c r="BL61" s="423"/>
      <c r="BM61" s="423"/>
      <c r="BN61" s="423"/>
      <c r="BO61" s="423"/>
      <c r="BP61" s="423"/>
      <c r="BQ61" s="424"/>
    </row>
    <row r="62" spans="1:69" s="88" customFormat="1" ht="11.25" customHeight="1" x14ac:dyDescent="0.2">
      <c r="A62" s="509" t="s">
        <v>52</v>
      </c>
      <c r="B62" s="1385"/>
      <c r="C62" s="2557">
        <v>0.7</v>
      </c>
      <c r="D62" s="2558"/>
      <c r="E62" s="2473">
        <f>IF(G62,E$61*G62/SUM(G$62:G$65),0)</f>
        <v>0</v>
      </c>
      <c r="F62" s="2474"/>
      <c r="G62" s="2463">
        <f>IF(EV_Var1!$E$67&gt;0,IF(EV_Var1!$E$67&gt;=(EV_Var1!$E$33 + EV_Var1!$E$37),EV_Var1!$E$67-(EV_Var1!$E$33 + EV_Var1!$E$37),0),EV_Var1!$E$67)*C62</f>
        <v>0</v>
      </c>
      <c r="H62" s="2464"/>
      <c r="I62" s="2465"/>
      <c r="J62" s="2551">
        <f ca="1">OFFSET(Grunddaten!$AJ$11,El_Produkt,0)-(1-$R$109)*OFFSET(Grunddaten!$Q$11,El_Produkt,0)</f>
        <v>22.999464000000003</v>
      </c>
      <c r="K62" s="2552"/>
      <c r="L62" s="2525">
        <f ca="1">ROUND(E62+G62*J62/100,-1)</f>
        <v>0</v>
      </c>
      <c r="M62" s="2526"/>
      <c r="N62" s="2527"/>
      <c r="S62" s="427">
        <f ca="1">IF($G62=0,0,ROUND(OFFSET(Grunddaten!AT11,El_Produkt,0)*((OFFSET(Grunddaten!$AJ$11,El_Produkt,0)-OFFSET(Grunddaten!$Q$11,El_Produkt,0))/100*$G62+$E62),-1))</f>
        <v>0</v>
      </c>
      <c r="T62" s="428">
        <f ca="1">IF($G62=0,0,ROUND(OFFSET(Grunddaten!AU11,El_Produkt,0)*((OFFSET(Grunddaten!$AJ$11,El_Produkt,0)-OFFSET(Grunddaten!$Q$11,El_Produkt,0))/100*$G62+$E62),-1))</f>
        <v>0</v>
      </c>
      <c r="U62" s="428">
        <f ca="1">IF($G62=0,0,ROUND(OFFSET(Grunddaten!AV11,El_Produkt,0)*((OFFSET(Grunddaten!$AJ$11,El_Produkt,0)-OFFSET(Grunddaten!$Q$11,El_Produkt,0))/100*$G62+$E62),-1))</f>
        <v>0</v>
      </c>
      <c r="V62" s="428">
        <f ca="1">IF($G62=0,0,ROUND(OFFSET(Grunddaten!AW11,El_Produkt,0)*((OFFSET(Grunddaten!$AJ$11,El_Produkt,0)-OFFSET(Grunddaten!$Q$11,El_Produkt,0))/100*$G62+$E62),-1))</f>
        <v>0</v>
      </c>
      <c r="W62" s="428">
        <f ca="1">IF($G62=0,0,ROUND(OFFSET(Grunddaten!AX11,El_Produkt,0)*((OFFSET(Grunddaten!$AJ$11,El_Produkt,0)-OFFSET(Grunddaten!$Q$11,El_Produkt,0))/100*$G62+$E62),-1))</f>
        <v>0</v>
      </c>
      <c r="X62" s="428">
        <f ca="1">IF($G62=0,0,ROUND(OFFSET(Grunddaten!AY11,El_Produkt,0)*((OFFSET(Grunddaten!$AJ$11,El_Produkt,0)-OFFSET(Grunddaten!$Q$11,El_Produkt,0))/100*$G62+$E62),-1))</f>
        <v>0</v>
      </c>
      <c r="Y62" s="428">
        <f ca="1">IF($G62=0,0,ROUND(OFFSET(Grunddaten!AZ11,El_Produkt,0)*((OFFSET(Grunddaten!$AJ$11,El_Produkt,0)-OFFSET(Grunddaten!$Q$11,El_Produkt,0))/100*$G62+$E62),-1))</f>
        <v>0</v>
      </c>
      <c r="Z62" s="428">
        <f ca="1">IF($G62=0,0,ROUND(OFFSET(Grunddaten!BA11,El_Produkt,0)*((OFFSET(Grunddaten!$AJ$11,El_Produkt,0)-OFFSET(Grunddaten!$Q$11,El_Produkt,0))/100*$G62+$E62),-1))</f>
        <v>0</v>
      </c>
      <c r="AA62" s="428">
        <f ca="1">IF($G62=0,0,ROUND(OFFSET(Grunddaten!BB11,El_Produkt,0)*((OFFSET(Grunddaten!$AJ$11,El_Produkt,0)-OFFSET(Grunddaten!$Q$11,El_Produkt,0))/100*$G62+$E62),-1))</f>
        <v>0</v>
      </c>
      <c r="AB62" s="473">
        <f ca="1">IF($G62=0,0,ROUND(OFFSET(Grunddaten!BC11,El_Produkt,0)*((OFFSET(Grunddaten!$AJ$11,El_Produkt,0)-OFFSET(Grunddaten!$Q$11,El_Produkt,0))/100*$G62+$E62),-1))</f>
        <v>0</v>
      </c>
      <c r="AC62" s="473">
        <f ca="1">IF($G62=0,0,ROUND(OFFSET(Grunddaten!BD11,El_Produkt,0)*((OFFSET(Grunddaten!$AJ$11,El_Produkt,0)-OFFSET(Grunddaten!$Q$11,El_Produkt,0))/100*$G62+$E62),-1))</f>
        <v>0</v>
      </c>
      <c r="AD62" s="473">
        <f ca="1">IF($G62=0,0,ROUND(OFFSET(Grunddaten!BE11,El_Produkt,0)*((OFFSET(Grunddaten!$AJ$11,El_Produkt,0)-OFFSET(Grunddaten!$Q$11,El_Produkt,0))/100*$G62+$E62),-1))</f>
        <v>0</v>
      </c>
      <c r="AE62" s="473">
        <f ca="1">IF($G62=0,0,ROUND(OFFSET(Grunddaten!BF11,El_Produkt,0)*((OFFSET(Grunddaten!$AJ$11,El_Produkt,0)-OFFSET(Grunddaten!$Q$11,El_Produkt,0))/100*$G62+$E62),-1))</f>
        <v>0</v>
      </c>
      <c r="AF62" s="473">
        <f ca="1">IF($G62=0,0,ROUND(OFFSET(Grunddaten!BG11,El_Produkt,0)*((OFFSET(Grunddaten!$AJ$11,El_Produkt,0)-OFFSET(Grunddaten!$Q$11,El_Produkt,0))/100*$G62+$E62),-1))</f>
        <v>0</v>
      </c>
      <c r="AG62" s="473">
        <f ca="1">IF($G62=0,0,ROUND(OFFSET(Grunddaten!BH11,El_Produkt,0)*((OFFSET(Grunddaten!$AJ$11,El_Produkt,0)-OFFSET(Grunddaten!$Q$11,El_Produkt,0))/100*$G62+$E62),-1))</f>
        <v>0</v>
      </c>
      <c r="AH62" s="474">
        <f ca="1">IF($G62=0,0,ROUND(OFFSET(Grunddaten!BI11,El_Produkt,0)*((OFFSET(Grunddaten!$AJ$11,El_Produkt,0)-OFFSET(Grunddaten!$Q$11,El_Produkt,0))/100*$G62+$E62),-1))</f>
        <v>0</v>
      </c>
      <c r="AI62" s="474">
        <f ca="1">IF($G62=0,0,ROUND(OFFSET(Grunddaten!BJ11,El_Produkt,0)*((OFFSET(Grunddaten!$AJ$11,El_Produkt,0)-OFFSET(Grunddaten!$Q$11,El_Produkt,0))/100*$G62+$E62),-1))</f>
        <v>0</v>
      </c>
      <c r="AJ62" s="474">
        <f ca="1">IF($G62=0,0,ROUND(OFFSET(Grunddaten!BK11,El_Produkt,0)*((OFFSET(Grunddaten!$AJ$11,El_Produkt,0)-OFFSET(Grunddaten!$Q$11,El_Produkt,0))/100*$G62+$E62),-1))</f>
        <v>0</v>
      </c>
      <c r="AK62" s="474">
        <f ca="1">IF($G62=0,0,ROUND(OFFSET(Grunddaten!BL11,El_Produkt,0)*((OFFSET(Grunddaten!$AJ$11,El_Produkt,0)-OFFSET(Grunddaten!$Q$11,El_Produkt,0))/100*$G62+$E62),-1))</f>
        <v>0</v>
      </c>
      <c r="AL62" s="474">
        <f ca="1">IF($G62=0,0,ROUND(OFFSET(Grunddaten!BM11,El_Produkt,0)*((OFFSET(Grunddaten!$AJ$11,El_Produkt,0)-OFFSET(Grunddaten!$Q$11,El_Produkt,0))/100*$G62+$E62),-1))</f>
        <v>0</v>
      </c>
      <c r="AM62" s="474">
        <f ca="1">IF($G62=0,0,ROUND(OFFSET(Grunddaten!BN11,El_Produkt,0)*((OFFSET(Grunddaten!$AJ$11,El_Produkt,0)-OFFSET(Grunddaten!$Q$11,El_Produkt,0))/100*$G62+$E62),-1))</f>
        <v>0</v>
      </c>
      <c r="AN62" s="474">
        <f ca="1">IF($G62=0,0,ROUND(OFFSET(Grunddaten!BO11,El_Produkt,0)*((OFFSET(Grunddaten!$AJ$11,El_Produkt,0)-OFFSET(Grunddaten!$Q$11,El_Produkt,0))/100*$G62+$E62),-1))</f>
        <v>0</v>
      </c>
      <c r="AO62" s="474">
        <f ca="1">IF($G62=0,0,ROUND(OFFSET(Grunddaten!BP11,El_Produkt,0)*((OFFSET(Grunddaten!$AJ$11,El_Produkt,0)-OFFSET(Grunddaten!$Q$11,El_Produkt,0))/100*$G62+$E62),-1))</f>
        <v>0</v>
      </c>
      <c r="AP62" s="474">
        <f ca="1">IF($G62=0,0,ROUND(OFFSET(Grunddaten!BQ11,El_Produkt,0)*((OFFSET(Grunddaten!$AJ$11,El_Produkt,0)-OFFSET(Grunddaten!$Q$11,El_Produkt,0))/100*$G62+$E62),-1))</f>
        <v>0</v>
      </c>
      <c r="AQ62" s="474">
        <f ca="1">IF($G62=0,0,ROUND(OFFSET(Grunddaten!BR11,El_Produkt,0)*((OFFSET(Grunddaten!$AJ$11,El_Produkt,0)-OFFSET(Grunddaten!$Q$11,El_Produkt,0))/100*$G62+$E62),-1))</f>
        <v>0</v>
      </c>
      <c r="AR62" s="474">
        <f ca="1">IF($G62=0,0,ROUND(OFFSET(Grunddaten!BS11,El_Produkt,0)*((OFFSET(Grunddaten!$AJ$11,El_Produkt,0)-OFFSET(Grunddaten!$Q$11,El_Produkt,0))/100*$G62+$E62),-1))</f>
        <v>0</v>
      </c>
      <c r="AS62" s="474">
        <f ca="1">IF($G62=0,0,ROUND(OFFSET(Grunddaten!BT11,El_Produkt,0)*((OFFSET(Grunddaten!$AJ$11,El_Produkt,0)-OFFSET(Grunddaten!$Q$11,El_Produkt,0))/100*$G62+$E62),-1))</f>
        <v>0</v>
      </c>
      <c r="AT62" s="474">
        <f ca="1">IF($G62=0,0,ROUND(OFFSET(Grunddaten!BU11,El_Produkt,0)*((OFFSET(Grunddaten!$AJ$11,El_Produkt,0)-OFFSET(Grunddaten!$Q$11,El_Produkt,0))/100*$G62+$E62),-1))</f>
        <v>0</v>
      </c>
      <c r="AU62" s="474">
        <f ca="1">IF($G62=0,0,ROUND(OFFSET(Grunddaten!BV11,El_Produkt,0)*((OFFSET(Grunddaten!$AJ$11,El_Produkt,0)-OFFSET(Grunddaten!$Q$11,El_Produkt,0))/100*$G62+$E62),-1))</f>
        <v>0</v>
      </c>
      <c r="AV62" s="474">
        <f ca="1">IF($G62=0,0,ROUND(OFFSET(Grunddaten!BW11,El_Produkt,0)*((OFFSET(Grunddaten!$AJ$11,El_Produkt,0)-OFFSET(Grunddaten!$Q$11,El_Produkt,0))/100*$G62+$E62),-1))</f>
        <v>0</v>
      </c>
      <c r="AW62" s="474">
        <f ca="1">IF($G62=0,0,ROUND(OFFSET(Grunddaten!BX11,El_Produkt,0)*((OFFSET(Grunddaten!$AJ$11,El_Produkt,0)-OFFSET(Grunddaten!$Q$11,El_Produkt,0))/100*$G62+$E62),-1))</f>
        <v>0</v>
      </c>
      <c r="AX62" s="474">
        <f ca="1">IF($G62=0,0,ROUND(OFFSET(Grunddaten!BY11,El_Produkt,0)*((OFFSET(Grunddaten!$AJ$11,El_Produkt,0)-OFFSET(Grunddaten!$Q$11,El_Produkt,0))/100*$G62+$E62),-1))</f>
        <v>0</v>
      </c>
      <c r="AY62" s="474">
        <f ca="1">IF($G62=0,0,ROUND(OFFSET(Grunddaten!BZ11,El_Produkt,0)*((OFFSET(Grunddaten!$AJ$11,El_Produkt,0)-OFFSET(Grunddaten!$Q$11,El_Produkt,0))/100*$G62+$E62),-1))</f>
        <v>0</v>
      </c>
      <c r="AZ62" s="474">
        <f ca="1">IF($G62=0,0,ROUND(OFFSET(Grunddaten!CA11,El_Produkt,0)*((OFFSET(Grunddaten!$AJ$11,El_Produkt,0)-OFFSET(Grunddaten!$Q$11,El_Produkt,0))/100*$G62+$E62),-1))</f>
        <v>0</v>
      </c>
      <c r="BA62" s="474">
        <f ca="1">IF($G62=0,0,ROUND(OFFSET(Grunddaten!CB11,El_Produkt,0)*((OFFSET(Grunddaten!$AJ$11,El_Produkt,0)-OFFSET(Grunddaten!$Q$11,El_Produkt,0))/100*$G62+$E62),-1))</f>
        <v>0</v>
      </c>
      <c r="BB62" s="474">
        <f ca="1">IF($G62=0,0,ROUND(OFFSET(Grunddaten!CC11,El_Produkt,0)*((OFFSET(Grunddaten!$AJ$11,El_Produkt,0)-OFFSET(Grunddaten!$Q$11,El_Produkt,0))/100*$G62+$E62),-1))</f>
        <v>0</v>
      </c>
      <c r="BC62" s="474">
        <f ca="1">IF($G62=0,0,ROUND(OFFSET(Grunddaten!CD11,El_Produkt,0)*((OFFSET(Grunddaten!$AJ$11,El_Produkt,0)-OFFSET(Grunddaten!$Q$11,El_Produkt,0))/100*$G62+$E62),-1))</f>
        <v>0</v>
      </c>
      <c r="BD62" s="474">
        <f ca="1">IF($G62=0,0,ROUND(OFFSET(Grunddaten!CE11,El_Produkt,0)*((OFFSET(Grunddaten!$AJ$11,El_Produkt,0)-OFFSET(Grunddaten!$Q$11,El_Produkt,0))/100*$G62+$E62),-1))</f>
        <v>0</v>
      </c>
      <c r="BE62" s="474">
        <f ca="1">IF($G62=0,0,ROUND(OFFSET(Grunddaten!CF11,El_Produkt,0)*((OFFSET(Grunddaten!$AJ$11,El_Produkt,0)-OFFSET(Grunddaten!$Q$11,El_Produkt,0))/100*$G62+$E62),-1))</f>
        <v>0</v>
      </c>
      <c r="BF62" s="474">
        <f ca="1">IF($G62=0,0,ROUND(OFFSET(Grunddaten!CG11,El_Produkt,0)*((OFFSET(Grunddaten!$AJ$11,El_Produkt,0)-OFFSET(Grunddaten!$Q$11,El_Produkt,0))/100*$G62+$E62),-1))</f>
        <v>0</v>
      </c>
      <c r="BG62" s="474">
        <f ca="1">IF($G62=0,0,ROUND(OFFSET(Grunddaten!CH11,El_Produkt,0)*((OFFSET(Grunddaten!$AJ$11,El_Produkt,0)-OFFSET(Grunddaten!$Q$11,El_Produkt,0))/100*$G62+$E62),-1))</f>
        <v>0</v>
      </c>
      <c r="BH62" s="474">
        <f ca="1">IF($G62=0,0,ROUND(OFFSET(Grunddaten!CI11,El_Produkt,0)*((OFFSET(Grunddaten!$AJ$11,El_Produkt,0)-OFFSET(Grunddaten!$Q$11,El_Produkt,0))/100*$G62+$E62),-1))</f>
        <v>0</v>
      </c>
      <c r="BI62" s="474">
        <f ca="1">IF($G62=0,0,ROUND(OFFSET(Grunddaten!CJ11,El_Produkt,0)*((OFFSET(Grunddaten!$AJ$11,El_Produkt,0)-OFFSET(Grunddaten!$Q$11,El_Produkt,0))/100*$G62+$E62),-1))</f>
        <v>0</v>
      </c>
      <c r="BJ62" s="474">
        <f ca="1">IF($G62=0,0,ROUND(OFFSET(Grunddaten!CK11,El_Produkt,0)*((OFFSET(Grunddaten!$AJ$11,El_Produkt,0)-OFFSET(Grunddaten!$Q$11,El_Produkt,0))/100*$G62+$E62),-1))</f>
        <v>0</v>
      </c>
      <c r="BK62" s="474">
        <f ca="1">IF($G62=0,0,ROUND(OFFSET(Grunddaten!CL11,El_Produkt,0)*((OFFSET(Grunddaten!$AJ$11,El_Produkt,0)-OFFSET(Grunddaten!$Q$11,El_Produkt,0))/100*$G62+$E62),-1))</f>
        <v>0</v>
      </c>
      <c r="BL62" s="474">
        <f ca="1">IF($G62=0,0,ROUND(OFFSET(Grunddaten!CM11,El_Produkt,0)*((OFFSET(Grunddaten!$AJ$11,El_Produkt,0)-OFFSET(Grunddaten!$Q$11,El_Produkt,0))/100*$G62+$E62),-1))</f>
        <v>0</v>
      </c>
      <c r="BM62" s="474">
        <f ca="1">IF($G62=0,0,ROUND(OFFSET(Grunddaten!CN11,El_Produkt,0)*((OFFSET(Grunddaten!$AJ$11,El_Produkt,0)-OFFSET(Grunddaten!$Q$11,El_Produkt,0))/100*$G62+$E62),-1))</f>
        <v>0</v>
      </c>
      <c r="BN62" s="474">
        <f ca="1">IF($G62=0,0,ROUND(OFFSET(Grunddaten!CO11,El_Produkt,0)*((OFFSET(Grunddaten!$AJ$11,El_Produkt,0)-OFFSET(Grunddaten!$Q$11,El_Produkt,0))/100*$G62+$E62),-1))</f>
        <v>0</v>
      </c>
      <c r="BO62" s="474">
        <f ca="1">IF($G62=0,0,ROUND(OFFSET(Grunddaten!CP11,El_Produkt,0)*((OFFSET(Grunddaten!$AJ$11,El_Produkt,0)-OFFSET(Grunddaten!$Q$11,El_Produkt,0))/100*$G62+$E62),-1))</f>
        <v>0</v>
      </c>
      <c r="BP62" s="474">
        <f ca="1">IF($G62=0,0,ROUND(OFFSET(Grunddaten!CQ11,El_Produkt,0)*((OFFSET(Grunddaten!$AJ$11,El_Produkt,0)-OFFSET(Grunddaten!$Q$11,El_Produkt,0))/100*$G62+$E62),-1))</f>
        <v>0</v>
      </c>
      <c r="BQ62" s="475">
        <f ca="1">IF($G62=0,0,ROUND(OFFSET(Grunddaten!CR11,El_Produkt,0)*((OFFSET(Grunddaten!$AJ$11,El_Produkt,0)-OFFSET(Grunddaten!$Q$11,El_Produkt,0))/100*$G62+$E62),-1))</f>
        <v>0</v>
      </c>
    </row>
    <row r="63" spans="1:69" s="88" customFormat="1" ht="11.25" customHeight="1" x14ac:dyDescent="0.2">
      <c r="A63" s="510" t="s">
        <v>53</v>
      </c>
      <c r="B63" s="1386"/>
      <c r="C63" s="2559">
        <f>1-C62</f>
        <v>0.30000000000000004</v>
      </c>
      <c r="D63" s="2560"/>
      <c r="E63" s="2475">
        <f>IF(G63,E$61*G63/SUM(G$62:G$65),0)</f>
        <v>0</v>
      </c>
      <c r="F63" s="2476"/>
      <c r="G63" s="2470">
        <f>IF(EV_Var1!$E$67&gt;0,IF(EV_Var1!$E$67&gt;=(EV_Var1!$E$33 + EV_Var1!$E$37),EV_Var1!$E$67-(EV_Var1!$E$33 + EV_Var1!$E$37),0),EV_Var1!$E$67)*C63</f>
        <v>0</v>
      </c>
      <c r="H63" s="2471"/>
      <c r="I63" s="2472"/>
      <c r="J63" s="2555">
        <f ca="1">OFFSET(Grunddaten!$AK$11,El_Produkt,0)-(1-$R$109)*OFFSET(Grunddaten!$Q$11,El_Produkt,0)</f>
        <v>13.916124</v>
      </c>
      <c r="K63" s="2556"/>
      <c r="L63" s="2531">
        <f ca="1">ROUND(E63+G63*J63/100,-1)</f>
        <v>0</v>
      </c>
      <c r="M63" s="2532"/>
      <c r="N63" s="2533"/>
      <c r="S63" s="429">
        <f ca="1">IF($G63=0,0,ROUND(OFFSET(Grunddaten!AT11,El_Produkt,0)*((OFFSET(Grunddaten!$AK$11,El_Produkt,0)-OFFSET(Grunddaten!$Q$11,El_Produkt,0))/100*$G63+$E63),-1))</f>
        <v>0</v>
      </c>
      <c r="T63" s="430">
        <f ca="1">IF($G63=0,0,ROUND(OFFSET(Grunddaten!AU11,El_Produkt,0)*((OFFSET(Grunddaten!$AK$11,El_Produkt,0)-OFFSET(Grunddaten!$Q$11,El_Produkt,0))/100*$G63+$E63),-1))</f>
        <v>0</v>
      </c>
      <c r="U63" s="430">
        <f ca="1">IF($G63=0,0,ROUND(OFFSET(Grunddaten!AV11,El_Produkt,0)*((OFFSET(Grunddaten!$AK$11,El_Produkt,0)-OFFSET(Grunddaten!$Q$11,El_Produkt,0))/100*$G63+$E63),-1))</f>
        <v>0</v>
      </c>
      <c r="V63" s="430">
        <f ca="1">IF($G63=0,0,ROUND(OFFSET(Grunddaten!AW11,El_Produkt,0)*((OFFSET(Grunddaten!$AK$11,El_Produkt,0)-OFFSET(Grunddaten!$Q$11,El_Produkt,0))/100*$G63+$E63),-1))</f>
        <v>0</v>
      </c>
      <c r="W63" s="430">
        <f ca="1">IF($G63=0,0,ROUND(OFFSET(Grunddaten!AX11,El_Produkt,0)*((OFFSET(Grunddaten!$AK$11,El_Produkt,0)-OFFSET(Grunddaten!$Q$11,El_Produkt,0))/100*$G63+$E63),-1))</f>
        <v>0</v>
      </c>
      <c r="X63" s="430">
        <f ca="1">IF($G63=0,0,ROUND(OFFSET(Grunddaten!AY11,El_Produkt,0)*((OFFSET(Grunddaten!$AK$11,El_Produkt,0)-OFFSET(Grunddaten!$Q$11,El_Produkt,0))/100*$G63+$E63),-1))</f>
        <v>0</v>
      </c>
      <c r="Y63" s="430">
        <f ca="1">IF($G63=0,0,ROUND(OFFSET(Grunddaten!AZ11,El_Produkt,0)*((OFFSET(Grunddaten!$AK$11,El_Produkt,0)-OFFSET(Grunddaten!$Q$11,El_Produkt,0))/100*$G63+$E63),-1))</f>
        <v>0</v>
      </c>
      <c r="Z63" s="430">
        <f ca="1">IF($G63=0,0,ROUND(OFFSET(Grunddaten!BA11,El_Produkt,0)*((OFFSET(Grunddaten!$AK$11,El_Produkt,0)-OFFSET(Grunddaten!$Q$11,El_Produkt,0))/100*$G63+$E63),-1))</f>
        <v>0</v>
      </c>
      <c r="AA63" s="430">
        <f ca="1">IF($G63=0,0,ROUND(OFFSET(Grunddaten!BB11,El_Produkt,0)*((OFFSET(Grunddaten!$AK$11,El_Produkt,0)-OFFSET(Grunddaten!$Q$11,El_Produkt,0))/100*$G63+$E63),-1))</f>
        <v>0</v>
      </c>
      <c r="AB63" s="476">
        <f ca="1">IF($G63=0,0,ROUND(OFFSET(Grunddaten!BC11,El_Produkt,0)*((OFFSET(Grunddaten!$AK$11,El_Produkt,0)-OFFSET(Grunddaten!$Q$11,El_Produkt,0))/100*$G63+$E63),-1))</f>
        <v>0</v>
      </c>
      <c r="AC63" s="476">
        <f ca="1">IF($G63=0,0,ROUND(OFFSET(Grunddaten!BD11,El_Produkt,0)*((OFFSET(Grunddaten!$AK$11,El_Produkt,0)-OFFSET(Grunddaten!$Q$11,El_Produkt,0))/100*$G63+$E63),-1))</f>
        <v>0</v>
      </c>
      <c r="AD63" s="476">
        <f ca="1">IF($G63=0,0,ROUND(OFFSET(Grunddaten!BE11,El_Produkt,0)*((OFFSET(Grunddaten!$AK$11,El_Produkt,0)-OFFSET(Grunddaten!$Q$11,El_Produkt,0))/100*$G63+$E63),-1))</f>
        <v>0</v>
      </c>
      <c r="AE63" s="476">
        <f ca="1">IF($G63=0,0,ROUND(OFFSET(Grunddaten!BF11,El_Produkt,0)*((OFFSET(Grunddaten!$AK$11,El_Produkt,0)-OFFSET(Grunddaten!$Q$11,El_Produkt,0))/100*$G63+$E63),-1))</f>
        <v>0</v>
      </c>
      <c r="AF63" s="476">
        <f ca="1">IF($G63=0,0,ROUND(OFFSET(Grunddaten!BG11,El_Produkt,0)*((OFFSET(Grunddaten!$AK$11,El_Produkt,0)-OFFSET(Grunddaten!$Q$11,El_Produkt,0))/100*$G63+$E63),-1))</f>
        <v>0</v>
      </c>
      <c r="AG63" s="476">
        <f ca="1">IF($G63=0,0,ROUND(OFFSET(Grunddaten!BH11,El_Produkt,0)*((OFFSET(Grunddaten!$AK$11,El_Produkt,0)-OFFSET(Grunddaten!$Q$11,El_Produkt,0))/100*$G63+$E63),-1))</f>
        <v>0</v>
      </c>
      <c r="AH63" s="477">
        <f ca="1">IF($G63=0,0,ROUND(OFFSET(Grunddaten!BI11,El_Produkt,0)*((OFFSET(Grunddaten!$AK$11,El_Produkt,0)-OFFSET(Grunddaten!$Q$11,El_Produkt,0))/100*$G63+$E63),-1))</f>
        <v>0</v>
      </c>
      <c r="AI63" s="477">
        <f ca="1">IF($G63=0,0,ROUND(OFFSET(Grunddaten!BJ11,El_Produkt,0)*((OFFSET(Grunddaten!$AK$11,El_Produkt,0)-OFFSET(Grunddaten!$Q$11,El_Produkt,0))/100*$G63+$E63),-1))</f>
        <v>0</v>
      </c>
      <c r="AJ63" s="477">
        <f ca="1">IF($G63=0,0,ROUND(OFFSET(Grunddaten!BK11,El_Produkt,0)*((OFFSET(Grunddaten!$AK$11,El_Produkt,0)-OFFSET(Grunddaten!$Q$11,El_Produkt,0))/100*$G63+$E63),-1))</f>
        <v>0</v>
      </c>
      <c r="AK63" s="477">
        <f ca="1">IF($G63=0,0,ROUND(OFFSET(Grunddaten!BL11,El_Produkt,0)*((OFFSET(Grunddaten!$AK$11,El_Produkt,0)-OFFSET(Grunddaten!$Q$11,El_Produkt,0))/100*$G63+$E63),-1))</f>
        <v>0</v>
      </c>
      <c r="AL63" s="477">
        <f ca="1">IF($G63=0,0,ROUND(OFFSET(Grunddaten!BM11,El_Produkt,0)*((OFFSET(Grunddaten!$AK$11,El_Produkt,0)-OFFSET(Grunddaten!$Q$11,El_Produkt,0))/100*$G63+$E63),-1))</f>
        <v>0</v>
      </c>
      <c r="AM63" s="477">
        <f ca="1">IF($G63=0,0,ROUND(OFFSET(Grunddaten!BN11,El_Produkt,0)*((OFFSET(Grunddaten!$AK$11,El_Produkt,0)-OFFSET(Grunddaten!$Q$11,El_Produkt,0))/100*$G63+$E63),-1))</f>
        <v>0</v>
      </c>
      <c r="AN63" s="477">
        <f ca="1">IF($G63=0,0,ROUND(OFFSET(Grunddaten!BO11,El_Produkt,0)*((OFFSET(Grunddaten!$AK$11,El_Produkt,0)-OFFSET(Grunddaten!$Q$11,El_Produkt,0))/100*$G63+$E63),-1))</f>
        <v>0</v>
      </c>
      <c r="AO63" s="477">
        <f ca="1">IF($G63=0,0,ROUND(OFFSET(Grunddaten!BP11,El_Produkt,0)*((OFFSET(Grunddaten!$AK$11,El_Produkt,0)-OFFSET(Grunddaten!$Q$11,El_Produkt,0))/100*$G63+$E63),-1))</f>
        <v>0</v>
      </c>
      <c r="AP63" s="477">
        <f ca="1">IF($G63=0,0,ROUND(OFFSET(Grunddaten!BQ11,El_Produkt,0)*((OFFSET(Grunddaten!$AK$11,El_Produkt,0)-OFFSET(Grunddaten!$Q$11,El_Produkt,0))/100*$G63+$E63),-1))</f>
        <v>0</v>
      </c>
      <c r="AQ63" s="477">
        <f ca="1">IF($G63=0,0,ROUND(OFFSET(Grunddaten!BR11,El_Produkt,0)*((OFFSET(Grunddaten!$AK$11,El_Produkt,0)-OFFSET(Grunddaten!$Q$11,El_Produkt,0))/100*$G63+$E63),-1))</f>
        <v>0</v>
      </c>
      <c r="AR63" s="477">
        <f ca="1">IF($G63=0,0,ROUND(OFFSET(Grunddaten!BS11,El_Produkt,0)*((OFFSET(Grunddaten!$AK$11,El_Produkt,0)-OFFSET(Grunddaten!$Q$11,El_Produkt,0))/100*$G63+$E63),-1))</f>
        <v>0</v>
      </c>
      <c r="AS63" s="477">
        <f ca="1">IF($G63=0,0,ROUND(OFFSET(Grunddaten!BT11,El_Produkt,0)*((OFFSET(Grunddaten!$AK$11,El_Produkt,0)-OFFSET(Grunddaten!$Q$11,El_Produkt,0))/100*$G63+$E63),-1))</f>
        <v>0</v>
      </c>
      <c r="AT63" s="477">
        <f ca="1">IF($G63=0,0,ROUND(OFFSET(Grunddaten!BU11,El_Produkt,0)*((OFFSET(Grunddaten!$AK$11,El_Produkt,0)-OFFSET(Grunddaten!$Q$11,El_Produkt,0))/100*$G63+$E63),-1))</f>
        <v>0</v>
      </c>
      <c r="AU63" s="477">
        <f ca="1">IF($G63=0,0,ROUND(OFFSET(Grunddaten!BV11,El_Produkt,0)*((OFFSET(Grunddaten!$AK$11,El_Produkt,0)-OFFSET(Grunddaten!$Q$11,El_Produkt,0))/100*$G63+$E63),-1))</f>
        <v>0</v>
      </c>
      <c r="AV63" s="477">
        <f ca="1">IF($G63=0,0,ROUND(OFFSET(Grunddaten!BW11,El_Produkt,0)*((OFFSET(Grunddaten!$AK$11,El_Produkt,0)-OFFSET(Grunddaten!$Q$11,El_Produkt,0))/100*$G63+$E63),-1))</f>
        <v>0</v>
      </c>
      <c r="AW63" s="477">
        <f ca="1">IF($G63=0,0,ROUND(OFFSET(Grunddaten!BX11,El_Produkt,0)*((OFFSET(Grunddaten!$AK$11,El_Produkt,0)-OFFSET(Grunddaten!$Q$11,El_Produkt,0))/100*$G63+$E63),-1))</f>
        <v>0</v>
      </c>
      <c r="AX63" s="477">
        <f ca="1">IF($G63=0,0,ROUND(OFFSET(Grunddaten!BY11,El_Produkt,0)*((OFFSET(Grunddaten!$AK$11,El_Produkt,0)-OFFSET(Grunddaten!$Q$11,El_Produkt,0))/100*$G63+$E63),-1))</f>
        <v>0</v>
      </c>
      <c r="AY63" s="477">
        <f ca="1">IF($G63=0,0,ROUND(OFFSET(Grunddaten!BZ11,El_Produkt,0)*((OFFSET(Grunddaten!$AK$11,El_Produkt,0)-OFFSET(Grunddaten!$Q$11,El_Produkt,0))/100*$G63+$E63),-1))</f>
        <v>0</v>
      </c>
      <c r="AZ63" s="477">
        <f ca="1">IF($G63=0,0,ROUND(OFFSET(Grunddaten!CA11,El_Produkt,0)*((OFFSET(Grunddaten!$AK$11,El_Produkt,0)-OFFSET(Grunddaten!$Q$11,El_Produkt,0))/100*$G63+$E63),-1))</f>
        <v>0</v>
      </c>
      <c r="BA63" s="477">
        <f ca="1">IF($G63=0,0,ROUND(OFFSET(Grunddaten!CB11,El_Produkt,0)*((OFFSET(Grunddaten!$AK$11,El_Produkt,0)-OFFSET(Grunddaten!$Q$11,El_Produkt,0))/100*$G63+$E63),-1))</f>
        <v>0</v>
      </c>
      <c r="BB63" s="477">
        <f ca="1">IF($G63=0,0,ROUND(OFFSET(Grunddaten!CC11,El_Produkt,0)*((OFFSET(Grunddaten!$AK$11,El_Produkt,0)-OFFSET(Grunddaten!$Q$11,El_Produkt,0))/100*$G63+$E63),-1))</f>
        <v>0</v>
      </c>
      <c r="BC63" s="477">
        <f ca="1">IF($G63=0,0,ROUND(OFFSET(Grunddaten!CD11,El_Produkt,0)*((OFFSET(Grunddaten!$AK$11,El_Produkt,0)-OFFSET(Grunddaten!$Q$11,El_Produkt,0))/100*$G63+$E63),-1))</f>
        <v>0</v>
      </c>
      <c r="BD63" s="477">
        <f ca="1">IF($G63=0,0,ROUND(OFFSET(Grunddaten!CE11,El_Produkt,0)*((OFFSET(Grunddaten!$AK$11,El_Produkt,0)-OFFSET(Grunddaten!$Q$11,El_Produkt,0))/100*$G63+$E63),-1))</f>
        <v>0</v>
      </c>
      <c r="BE63" s="477">
        <f ca="1">IF($G63=0,0,ROUND(OFFSET(Grunddaten!CF11,El_Produkt,0)*((OFFSET(Grunddaten!$AK$11,El_Produkt,0)-OFFSET(Grunddaten!$Q$11,El_Produkt,0))/100*$G63+$E63),-1))</f>
        <v>0</v>
      </c>
      <c r="BF63" s="477">
        <f ca="1">IF($G63=0,0,ROUND(OFFSET(Grunddaten!CG11,El_Produkt,0)*((OFFSET(Grunddaten!$AK$11,El_Produkt,0)-OFFSET(Grunddaten!$Q$11,El_Produkt,0))/100*$G63+$E63),-1))</f>
        <v>0</v>
      </c>
      <c r="BG63" s="477">
        <f ca="1">IF($G63=0,0,ROUND(OFFSET(Grunddaten!CH11,El_Produkt,0)*((OFFSET(Grunddaten!$AK$11,El_Produkt,0)-OFFSET(Grunddaten!$Q$11,El_Produkt,0))/100*$G63+$E63),-1))</f>
        <v>0</v>
      </c>
      <c r="BH63" s="477">
        <f ca="1">IF($G63=0,0,ROUND(OFFSET(Grunddaten!CI11,El_Produkt,0)*((OFFSET(Grunddaten!$AK$11,El_Produkt,0)-OFFSET(Grunddaten!$Q$11,El_Produkt,0))/100*$G63+$E63),-1))</f>
        <v>0</v>
      </c>
      <c r="BI63" s="477">
        <f ca="1">IF($G63=0,0,ROUND(OFFSET(Grunddaten!CJ11,El_Produkt,0)*((OFFSET(Grunddaten!$AK$11,El_Produkt,0)-OFFSET(Grunddaten!$Q$11,El_Produkt,0))/100*$G63+$E63),-1))</f>
        <v>0</v>
      </c>
      <c r="BJ63" s="477">
        <f ca="1">IF($G63=0,0,ROUND(OFFSET(Grunddaten!CK11,El_Produkt,0)*((OFFSET(Grunddaten!$AK$11,El_Produkt,0)-OFFSET(Grunddaten!$Q$11,El_Produkt,0))/100*$G63+$E63),-1))</f>
        <v>0</v>
      </c>
      <c r="BK63" s="477">
        <f ca="1">IF($G63=0,0,ROUND(OFFSET(Grunddaten!CL11,El_Produkt,0)*((OFFSET(Grunddaten!$AK$11,El_Produkt,0)-OFFSET(Grunddaten!$Q$11,El_Produkt,0))/100*$G63+$E63),-1))</f>
        <v>0</v>
      </c>
      <c r="BL63" s="477">
        <f ca="1">IF($G63=0,0,ROUND(OFFSET(Grunddaten!CM11,El_Produkt,0)*((OFFSET(Grunddaten!$AK$11,El_Produkt,0)-OFFSET(Grunddaten!$Q$11,El_Produkt,0))/100*$G63+$E63),-1))</f>
        <v>0</v>
      </c>
      <c r="BM63" s="477">
        <f ca="1">IF($G63=0,0,ROUND(OFFSET(Grunddaten!CN11,El_Produkt,0)*((OFFSET(Grunddaten!$AK$11,El_Produkt,0)-OFFSET(Grunddaten!$Q$11,El_Produkt,0))/100*$G63+$E63),-1))</f>
        <v>0</v>
      </c>
      <c r="BN63" s="477">
        <f ca="1">IF($G63=0,0,ROUND(OFFSET(Grunddaten!CO11,El_Produkt,0)*((OFFSET(Grunddaten!$AK$11,El_Produkt,0)-OFFSET(Grunddaten!$Q$11,El_Produkt,0))/100*$G63+$E63),-1))</f>
        <v>0</v>
      </c>
      <c r="BO63" s="477">
        <f ca="1">IF($G63=0,0,ROUND(OFFSET(Grunddaten!CP11,El_Produkt,0)*((OFFSET(Grunddaten!$AK$11,El_Produkt,0)-OFFSET(Grunddaten!$Q$11,El_Produkt,0))/100*$G63+$E63),-1))</f>
        <v>0</v>
      </c>
      <c r="BP63" s="477">
        <f ca="1">IF($G63=0,0,ROUND(OFFSET(Grunddaten!CQ11,El_Produkt,0)*((OFFSET(Grunddaten!$AK$11,El_Produkt,0)-OFFSET(Grunddaten!$Q$11,El_Produkt,0))/100*$G63+$E63),-1))</f>
        <v>0</v>
      </c>
      <c r="BQ63" s="478">
        <f ca="1">IF($G63=0,0,ROUND(OFFSET(Grunddaten!CR11,El_Produkt,0)*((OFFSET(Grunddaten!$AK$11,El_Produkt,0)-OFFSET(Grunddaten!$Q$11,El_Produkt,0))/100*$G63+$E63),-1))</f>
        <v>0</v>
      </c>
    </row>
    <row r="64" spans="1:69" s="88" customFormat="1" ht="11.25" customHeight="1" x14ac:dyDescent="0.2">
      <c r="A64" s="511" t="s">
        <v>453</v>
      </c>
      <c r="B64" s="1387"/>
      <c r="C64" s="2557">
        <v>0.7</v>
      </c>
      <c r="D64" s="2558"/>
      <c r="E64" s="2473">
        <f>IF(G64,E$61*G64/SUM(G$62:G$65),0)</f>
        <v>0</v>
      </c>
      <c r="F64" s="2474"/>
      <c r="G64" s="2463">
        <f>IF(EV_Var1!$E$67&gt;=0,IF(EV_Var1!$E$67&gt;=(EV_Var1!$E$33 + EV_Var1!$E$37),(EV_Var1!$E$33 + EV_Var1!$E$37),EV_Var1!$E$67),0)*C64</f>
        <v>0</v>
      </c>
      <c r="H64" s="2464"/>
      <c r="I64" s="2465"/>
      <c r="J64" s="2551">
        <f ca="1">OFFSET(Grunddaten!$AL$11,El_Produkt,0)-(1-$R$109)*OFFSET(Grunddaten!$Q$11,El_Produkt,0)</f>
        <v>22.999464000000003</v>
      </c>
      <c r="K64" s="2552"/>
      <c r="L64" s="2525">
        <f ca="1">ROUND(E64+G64*J64/100,-1)</f>
        <v>0</v>
      </c>
      <c r="M64" s="2526"/>
      <c r="N64" s="2527"/>
      <c r="P64" s="2538" t="s">
        <v>489</v>
      </c>
      <c r="Q64" s="2536">
        <f ca="1">OFFSET(Grunddaten!AT11,MATCH(Projektdaten!$G$20,Grunddaten!$C$11:$C$44,0)-1,-1)</f>
        <v>0</v>
      </c>
      <c r="S64" s="427">
        <f ca="1">IF($G64=0,0,ROUND(OFFSET(Grunddaten!AT11,El_Produkt,0)*((OFFSET(Grunddaten!$AL$11,El_Produkt,0)-OFFSET(Grunddaten!$Q$11,El_Produkt,0))/100*$G64+$E64),-1))</f>
        <v>0</v>
      </c>
      <c r="T64" s="428">
        <f ca="1">IF($G64=0,0,ROUND(OFFSET(Grunddaten!AU11,El_Produkt,0)*((OFFSET(Grunddaten!$AL$11,El_Produkt,0)-OFFSET(Grunddaten!$Q$11,El_Produkt,0))/100*$G64+$E64),-1))</f>
        <v>0</v>
      </c>
      <c r="U64" s="428">
        <f ca="1">IF($G64=0,0,ROUND(OFFSET(Grunddaten!AV11,El_Produkt,0)*((OFFSET(Grunddaten!$AL$11,El_Produkt,0)-OFFSET(Grunddaten!$Q$11,El_Produkt,0))/100*$G64+$E64),-1))</f>
        <v>0</v>
      </c>
      <c r="V64" s="428">
        <f ca="1">IF($G64=0,0,ROUND(OFFSET(Grunddaten!AW11,El_Produkt,0)*((OFFSET(Grunddaten!$AL$11,El_Produkt,0)-OFFSET(Grunddaten!$Q$11,El_Produkt,0))/100*$G64+$E64),-1))</f>
        <v>0</v>
      </c>
      <c r="W64" s="428">
        <f ca="1">IF($G64=0,0,ROUND(OFFSET(Grunddaten!AX11,El_Produkt,0)*((OFFSET(Grunddaten!$AL$11,El_Produkt,0)-OFFSET(Grunddaten!$Q$11,El_Produkt,0))/100*$G64+$E64),-1))</f>
        <v>0</v>
      </c>
      <c r="X64" s="428">
        <f ca="1">IF($G64=0,0,ROUND(OFFSET(Grunddaten!AY11,El_Produkt,0)*((OFFSET(Grunddaten!$AL$11,El_Produkt,0)-OFFSET(Grunddaten!$Q$11,El_Produkt,0))/100*$G64+$E64),-1))</f>
        <v>0</v>
      </c>
      <c r="Y64" s="428">
        <f ca="1">IF($G64=0,0,ROUND(OFFSET(Grunddaten!AZ11,El_Produkt,0)*((OFFSET(Grunddaten!$AL$11,El_Produkt,0)-OFFSET(Grunddaten!$Q$11,El_Produkt,0))/100*$G64+$E64),-1))</f>
        <v>0</v>
      </c>
      <c r="Z64" s="428">
        <f ca="1">IF($G64=0,0,ROUND(OFFSET(Grunddaten!BA11,El_Produkt,0)*((OFFSET(Grunddaten!$AL$11,El_Produkt,0)-OFFSET(Grunddaten!$Q$11,El_Produkt,0))/100*$G64+$E64),-1))</f>
        <v>0</v>
      </c>
      <c r="AA64" s="428">
        <f ca="1">IF($G64=0,0,ROUND(OFFSET(Grunddaten!BB11,El_Produkt,0)*((OFFSET(Grunddaten!$AL$11,El_Produkt,0)-OFFSET(Grunddaten!$Q$11,El_Produkt,0))/100*$G64+$E64),-1))</f>
        <v>0</v>
      </c>
      <c r="AB64" s="473">
        <f ca="1">IF($G64=0,0,ROUND(OFFSET(Grunddaten!BC11,El_Produkt,0)*((OFFSET(Grunddaten!$AL$11,El_Produkt,0)-OFFSET(Grunddaten!$Q$11,El_Produkt,0))/100*$G64+$E64),-1))</f>
        <v>0</v>
      </c>
      <c r="AC64" s="473">
        <f ca="1">IF($G64=0,0,ROUND(OFFSET(Grunddaten!BD11,El_Produkt,0)*((OFFSET(Grunddaten!$AL$11,El_Produkt,0)-OFFSET(Grunddaten!$Q$11,El_Produkt,0))/100*$G64+$E64),-1))</f>
        <v>0</v>
      </c>
      <c r="AD64" s="473">
        <f ca="1">IF($G64=0,0,ROUND(OFFSET(Grunddaten!BE11,El_Produkt,0)*((OFFSET(Grunddaten!$AL$11,El_Produkt,0)-OFFSET(Grunddaten!$Q$11,El_Produkt,0))/100*$G64+$E64),-1))</f>
        <v>0</v>
      </c>
      <c r="AE64" s="473">
        <f ca="1">IF($G64=0,0,ROUND(OFFSET(Grunddaten!BF11,El_Produkt,0)*((OFFSET(Grunddaten!$AL$11,El_Produkt,0)-OFFSET(Grunddaten!$Q$11,El_Produkt,0))/100*$G64+$E64),-1))</f>
        <v>0</v>
      </c>
      <c r="AF64" s="473">
        <f ca="1">IF($G64=0,0,ROUND(OFFSET(Grunddaten!BG11,El_Produkt,0)*((OFFSET(Grunddaten!$AL$11,El_Produkt,0)-OFFSET(Grunddaten!$Q$11,El_Produkt,0))/100*$G64+$E64),-1))</f>
        <v>0</v>
      </c>
      <c r="AG64" s="473">
        <f ca="1">IF($G64=0,0,ROUND(OFFSET(Grunddaten!BH11,El_Produkt,0)*((OFFSET(Grunddaten!$AL$11,El_Produkt,0)-OFFSET(Grunddaten!$Q$11,El_Produkt,0))/100*$G64+$E64),-1))</f>
        <v>0</v>
      </c>
      <c r="AH64" s="474">
        <f ca="1">IF($G64=0,0,ROUND(OFFSET(Grunddaten!BI11,El_Produkt,0)*((OFFSET(Grunddaten!$AL$11,El_Produkt,0)-OFFSET(Grunddaten!$Q$11,El_Produkt,0))/100*$G64+$E64),-1))</f>
        <v>0</v>
      </c>
      <c r="AI64" s="474">
        <f ca="1">IF($G64=0,0,ROUND(OFFSET(Grunddaten!BJ11,El_Produkt,0)*((OFFSET(Grunddaten!$AL$11,El_Produkt,0)-OFFSET(Grunddaten!$Q$11,El_Produkt,0))/100*$G64+$E64),-1))</f>
        <v>0</v>
      </c>
      <c r="AJ64" s="474">
        <f ca="1">IF($G64=0,0,ROUND(OFFSET(Grunddaten!BK11,El_Produkt,0)*((OFFSET(Grunddaten!$AL$11,El_Produkt,0)-OFFSET(Grunddaten!$Q$11,El_Produkt,0))/100*$G64+$E64),-1))</f>
        <v>0</v>
      </c>
      <c r="AK64" s="474">
        <f ca="1">IF($G64=0,0,ROUND(OFFSET(Grunddaten!BL11,El_Produkt,0)*((OFFSET(Grunddaten!$AL$11,El_Produkt,0)-OFFSET(Grunddaten!$Q$11,El_Produkt,0))/100*$G64+$E64),-1))</f>
        <v>0</v>
      </c>
      <c r="AL64" s="474">
        <f ca="1">IF($G64=0,0,ROUND(OFFSET(Grunddaten!BM11,El_Produkt,0)*((OFFSET(Grunddaten!$AL$11,El_Produkt,0)-OFFSET(Grunddaten!$Q$11,El_Produkt,0))/100*$G64+$E64),-1))</f>
        <v>0</v>
      </c>
      <c r="AM64" s="474">
        <f ca="1">IF($G64=0,0,ROUND(OFFSET(Grunddaten!BN11,El_Produkt,0)*((OFFSET(Grunddaten!$AL$11,El_Produkt,0)-OFFSET(Grunddaten!$Q$11,El_Produkt,0))/100*$G64+$E64),-1))</f>
        <v>0</v>
      </c>
      <c r="AN64" s="474">
        <f ca="1">IF($G64=0,0,ROUND(OFFSET(Grunddaten!BO11,El_Produkt,0)*((OFFSET(Grunddaten!$AL$11,El_Produkt,0)-OFFSET(Grunddaten!$Q$11,El_Produkt,0))/100*$G64+$E64),-1))</f>
        <v>0</v>
      </c>
      <c r="AO64" s="474">
        <f ca="1">IF($G64=0,0,ROUND(OFFSET(Grunddaten!BP11,El_Produkt,0)*((OFFSET(Grunddaten!$AL$11,El_Produkt,0)-OFFSET(Grunddaten!$Q$11,El_Produkt,0))/100*$G64+$E64),-1))</f>
        <v>0</v>
      </c>
      <c r="AP64" s="474">
        <f ca="1">IF($G64=0,0,ROUND(OFFSET(Grunddaten!BQ11,El_Produkt,0)*((OFFSET(Grunddaten!$AL$11,El_Produkt,0)-OFFSET(Grunddaten!$Q$11,El_Produkt,0))/100*$G64+$E64),-1))</f>
        <v>0</v>
      </c>
      <c r="AQ64" s="474">
        <f ca="1">IF($G64=0,0,ROUND(OFFSET(Grunddaten!BR11,El_Produkt,0)*((OFFSET(Grunddaten!$AL$11,El_Produkt,0)-OFFSET(Grunddaten!$Q$11,El_Produkt,0))/100*$G64+$E64),-1))</f>
        <v>0</v>
      </c>
      <c r="AR64" s="474">
        <f ca="1">IF($G64=0,0,ROUND(OFFSET(Grunddaten!BS11,El_Produkt,0)*((OFFSET(Grunddaten!$AL$11,El_Produkt,0)-OFFSET(Grunddaten!$Q$11,El_Produkt,0))/100*$G64+$E64),-1))</f>
        <v>0</v>
      </c>
      <c r="AS64" s="474">
        <f ca="1">IF($G64=0,0,ROUND(OFFSET(Grunddaten!BT11,El_Produkt,0)*((OFFSET(Grunddaten!$AL$11,El_Produkt,0)-OFFSET(Grunddaten!$Q$11,El_Produkt,0))/100*$G64+$E64),-1))</f>
        <v>0</v>
      </c>
      <c r="AT64" s="474">
        <f ca="1">IF($G64=0,0,ROUND(OFFSET(Grunddaten!BU11,El_Produkt,0)*((OFFSET(Grunddaten!$AL$11,El_Produkt,0)-OFFSET(Grunddaten!$Q$11,El_Produkt,0))/100*$G64+$E64),-1))</f>
        <v>0</v>
      </c>
      <c r="AU64" s="474">
        <f ca="1">IF($G64=0,0,ROUND(OFFSET(Grunddaten!BV11,El_Produkt,0)*((OFFSET(Grunddaten!$AL$11,El_Produkt,0)-OFFSET(Grunddaten!$Q$11,El_Produkt,0))/100*$G64+$E64),-1))</f>
        <v>0</v>
      </c>
      <c r="AV64" s="474">
        <f ca="1">IF($G64=0,0,ROUND(OFFSET(Grunddaten!BW11,El_Produkt,0)*((OFFSET(Grunddaten!$AL$11,El_Produkt,0)-OFFSET(Grunddaten!$Q$11,El_Produkt,0))/100*$G64+$E64),-1))</f>
        <v>0</v>
      </c>
      <c r="AW64" s="474">
        <f ca="1">IF($G64=0,0,ROUND(OFFSET(Grunddaten!BX11,El_Produkt,0)*((OFFSET(Grunddaten!$AL$11,El_Produkt,0)-OFFSET(Grunddaten!$Q$11,El_Produkt,0))/100*$G64+$E64),-1))</f>
        <v>0</v>
      </c>
      <c r="AX64" s="474">
        <f ca="1">IF($G64=0,0,ROUND(OFFSET(Grunddaten!BY11,El_Produkt,0)*((OFFSET(Grunddaten!$AL$11,El_Produkt,0)-OFFSET(Grunddaten!$Q$11,El_Produkt,0))/100*$G64+$E64),-1))</f>
        <v>0</v>
      </c>
      <c r="AY64" s="474">
        <f ca="1">IF($G64=0,0,ROUND(OFFSET(Grunddaten!BZ11,El_Produkt,0)*((OFFSET(Grunddaten!$AL$11,El_Produkt,0)-OFFSET(Grunddaten!$Q$11,El_Produkt,0))/100*$G64+$E64),-1))</f>
        <v>0</v>
      </c>
      <c r="AZ64" s="474">
        <f ca="1">IF($G64=0,0,ROUND(OFFSET(Grunddaten!CA11,El_Produkt,0)*((OFFSET(Grunddaten!$AL$11,El_Produkt,0)-OFFSET(Grunddaten!$Q$11,El_Produkt,0))/100*$G64+$E64),-1))</f>
        <v>0</v>
      </c>
      <c r="BA64" s="474">
        <f ca="1">IF($G64=0,0,ROUND(OFFSET(Grunddaten!CB11,El_Produkt,0)*((OFFSET(Grunddaten!$AL$11,El_Produkt,0)-OFFSET(Grunddaten!$Q$11,El_Produkt,0))/100*$G64+$E64),-1))</f>
        <v>0</v>
      </c>
      <c r="BB64" s="474">
        <f ca="1">IF($G64=0,0,ROUND(OFFSET(Grunddaten!CC11,El_Produkt,0)*((OFFSET(Grunddaten!$AL$11,El_Produkt,0)-OFFSET(Grunddaten!$Q$11,El_Produkt,0))/100*$G64+$E64),-1))</f>
        <v>0</v>
      </c>
      <c r="BC64" s="474">
        <f ca="1">IF($G64=0,0,ROUND(OFFSET(Grunddaten!CD11,El_Produkt,0)*((OFFSET(Grunddaten!$AL$11,El_Produkt,0)-OFFSET(Grunddaten!$Q$11,El_Produkt,0))/100*$G64+$E64),-1))</f>
        <v>0</v>
      </c>
      <c r="BD64" s="474">
        <f ca="1">IF($G64=0,0,ROUND(OFFSET(Grunddaten!CE11,El_Produkt,0)*((OFFSET(Grunddaten!$AL$11,El_Produkt,0)-OFFSET(Grunddaten!$Q$11,El_Produkt,0))/100*$G64+$E64),-1))</f>
        <v>0</v>
      </c>
      <c r="BE64" s="474">
        <f ca="1">IF($G64=0,0,ROUND(OFFSET(Grunddaten!CF11,El_Produkt,0)*((OFFSET(Grunddaten!$AL$11,El_Produkt,0)-OFFSET(Grunddaten!$Q$11,El_Produkt,0))/100*$G64+$E64),-1))</f>
        <v>0</v>
      </c>
      <c r="BF64" s="474">
        <f ca="1">IF($G64=0,0,ROUND(OFFSET(Grunddaten!CG11,El_Produkt,0)*((OFFSET(Grunddaten!$AL$11,El_Produkt,0)-OFFSET(Grunddaten!$Q$11,El_Produkt,0))/100*$G64+$E64),-1))</f>
        <v>0</v>
      </c>
      <c r="BG64" s="474">
        <f ca="1">IF($G64=0,0,ROUND(OFFSET(Grunddaten!CH11,El_Produkt,0)*((OFFSET(Grunddaten!$AL$11,El_Produkt,0)-OFFSET(Grunddaten!$Q$11,El_Produkt,0))/100*$G64+$E64),-1))</f>
        <v>0</v>
      </c>
      <c r="BH64" s="474">
        <f ca="1">IF($G64=0,0,ROUND(OFFSET(Grunddaten!CI11,El_Produkt,0)*((OFFSET(Grunddaten!$AL$11,El_Produkt,0)-OFFSET(Grunddaten!$Q$11,El_Produkt,0))/100*$G64+$E64),-1))</f>
        <v>0</v>
      </c>
      <c r="BI64" s="474">
        <f ca="1">IF($G64=0,0,ROUND(OFFSET(Grunddaten!CJ11,El_Produkt,0)*((OFFSET(Grunddaten!$AL$11,El_Produkt,0)-OFFSET(Grunddaten!$Q$11,El_Produkt,0))/100*$G64+$E64),-1))</f>
        <v>0</v>
      </c>
      <c r="BJ64" s="474">
        <f ca="1">IF($G64=0,0,ROUND(OFFSET(Grunddaten!CK11,El_Produkt,0)*((OFFSET(Grunddaten!$AL$11,El_Produkt,0)-OFFSET(Grunddaten!$Q$11,El_Produkt,0))/100*$G64+$E64),-1))</f>
        <v>0</v>
      </c>
      <c r="BK64" s="474">
        <f ca="1">IF($G64=0,0,ROUND(OFFSET(Grunddaten!CL11,El_Produkt,0)*((OFFSET(Grunddaten!$AL$11,El_Produkt,0)-OFFSET(Grunddaten!$Q$11,El_Produkt,0))/100*$G64+$E64),-1))</f>
        <v>0</v>
      </c>
      <c r="BL64" s="474">
        <f ca="1">IF($G64=0,0,ROUND(OFFSET(Grunddaten!CM11,El_Produkt,0)*((OFFSET(Grunddaten!$AL$11,El_Produkt,0)-OFFSET(Grunddaten!$Q$11,El_Produkt,0))/100*$G64+$E64),-1))</f>
        <v>0</v>
      </c>
      <c r="BM64" s="474">
        <f ca="1">IF($G64=0,0,ROUND(OFFSET(Grunddaten!CN11,El_Produkt,0)*((OFFSET(Grunddaten!$AL$11,El_Produkt,0)-OFFSET(Grunddaten!$Q$11,El_Produkt,0))/100*$G64+$E64),-1))</f>
        <v>0</v>
      </c>
      <c r="BN64" s="474">
        <f ca="1">IF($G64=0,0,ROUND(OFFSET(Grunddaten!CO11,El_Produkt,0)*((OFFSET(Grunddaten!$AL$11,El_Produkt,0)-OFFSET(Grunddaten!$Q$11,El_Produkt,0))/100*$G64+$E64),-1))</f>
        <v>0</v>
      </c>
      <c r="BO64" s="474">
        <f ca="1">IF($G64=0,0,ROUND(OFFSET(Grunddaten!CP11,El_Produkt,0)*((OFFSET(Grunddaten!$AL$11,El_Produkt,0)-OFFSET(Grunddaten!$Q$11,El_Produkt,0))/100*$G64+$E64),-1))</f>
        <v>0</v>
      </c>
      <c r="BP64" s="474">
        <f ca="1">IF($G64=0,0,ROUND(OFFSET(Grunddaten!CQ11,El_Produkt,0)*((OFFSET(Grunddaten!$AL$11,El_Produkt,0)-OFFSET(Grunddaten!$Q$11,El_Produkt,0))/100*$G64+$E64),-1))</f>
        <v>0</v>
      </c>
      <c r="BQ64" s="475">
        <f ca="1">IF($G64=0,0,ROUND(OFFSET(Grunddaten!CR11,El_Produkt,0)*((OFFSET(Grunddaten!$AL$11,El_Produkt,0)-OFFSET(Grunddaten!$Q$11,El_Produkt,0))/100*$G64+$E64),-1))</f>
        <v>0</v>
      </c>
    </row>
    <row r="65" spans="1:69" s="88" customFormat="1" ht="11.25" customHeight="1" x14ac:dyDescent="0.2">
      <c r="A65" s="512" t="s">
        <v>454</v>
      </c>
      <c r="B65" s="1388"/>
      <c r="C65" s="2559">
        <f>1-C64</f>
        <v>0.30000000000000004</v>
      </c>
      <c r="D65" s="2560"/>
      <c r="E65" s="2475">
        <f>IF(G65,E$61*G65/SUM(G$62:G$65),0)</f>
        <v>0</v>
      </c>
      <c r="F65" s="2476"/>
      <c r="G65" s="2470">
        <f>IF(EV_Var1!$E$67&gt;=0,IF(EV_Var1!$E$67&gt;=(EV_Var1!$E$33 + EV_Var1!$E$37),(EV_Var1!$E$33 + EV_Var1!$E$37),EV_Var1!$E$67),0)*C65</f>
        <v>0</v>
      </c>
      <c r="H65" s="2471"/>
      <c r="I65" s="2472"/>
      <c r="J65" s="2555">
        <f ca="1">OFFSET(Grunddaten!$AM$11,El_Produkt,0)-(1-$R$109)*OFFSET(Grunddaten!$Q$11,El_Produkt,0)</f>
        <v>13.916124</v>
      </c>
      <c r="K65" s="2556"/>
      <c r="L65" s="2531">
        <f ca="1">ROUND(E65+G65*J65/100,-1)</f>
        <v>0</v>
      </c>
      <c r="M65" s="2532"/>
      <c r="N65" s="2533"/>
      <c r="P65" s="2539"/>
      <c r="Q65" s="2537"/>
      <c r="S65" s="429">
        <f ca="1">IF($G65=0,0,ROUND(OFFSET(Grunddaten!AT11,El_Produkt,0)*((OFFSET(Grunddaten!$AM$11,El_Produkt,0)-OFFSET(Grunddaten!$Q$11,El_Produkt,0))/100*$G65+$E65),-1))</f>
        <v>0</v>
      </c>
      <c r="T65" s="430">
        <f ca="1">IF($G65=0,0,ROUND(OFFSET(Grunddaten!AU11,El_Produkt,0)*((OFFSET(Grunddaten!$AM$11,El_Produkt,0)-OFFSET(Grunddaten!$Q$11,El_Produkt,0))/100*$G65+$E65),-1))</f>
        <v>0</v>
      </c>
      <c r="U65" s="430">
        <f ca="1">IF($G65=0,0,ROUND(OFFSET(Grunddaten!AV11,El_Produkt,0)*((OFFSET(Grunddaten!$AM$11,El_Produkt,0)-OFFSET(Grunddaten!$Q$11,El_Produkt,0))/100*$G65+$E65),-1))</f>
        <v>0</v>
      </c>
      <c r="V65" s="430">
        <f ca="1">IF($G65=0,0,ROUND(OFFSET(Grunddaten!AW11,El_Produkt,0)*((OFFSET(Grunddaten!$AM$11,El_Produkt,0)-OFFSET(Grunddaten!$Q$11,El_Produkt,0))/100*$G65+$E65),-1))</f>
        <v>0</v>
      </c>
      <c r="W65" s="430">
        <f ca="1">IF($G65=0,0,ROUND(OFFSET(Grunddaten!AX11,El_Produkt,0)*((OFFSET(Grunddaten!$AM$11,El_Produkt,0)-OFFSET(Grunddaten!$Q$11,El_Produkt,0))/100*$G65+$E65),-1))</f>
        <v>0</v>
      </c>
      <c r="X65" s="430">
        <f ca="1">IF($G65=0,0,ROUND(OFFSET(Grunddaten!AY11,El_Produkt,0)*((OFFSET(Grunddaten!$AM$11,El_Produkt,0)-OFFSET(Grunddaten!$Q$11,El_Produkt,0))/100*$G65+$E65),-1))</f>
        <v>0</v>
      </c>
      <c r="Y65" s="430">
        <f ca="1">IF($G65=0,0,ROUND(OFFSET(Grunddaten!AZ11,El_Produkt,0)*((OFFSET(Grunddaten!$AM$11,El_Produkt,0)-OFFSET(Grunddaten!$Q$11,El_Produkt,0))/100*$G65+$E65),-1))</f>
        <v>0</v>
      </c>
      <c r="Z65" s="430">
        <f ca="1">IF($G65=0,0,ROUND(OFFSET(Grunddaten!BA11,El_Produkt,0)*((OFFSET(Grunddaten!$AM$11,El_Produkt,0)-OFFSET(Grunddaten!$Q$11,El_Produkt,0))/100*$G65+$E65),-1))</f>
        <v>0</v>
      </c>
      <c r="AA65" s="430">
        <f ca="1">IF($G65=0,0,ROUND(OFFSET(Grunddaten!BB11,El_Produkt,0)*((OFFSET(Grunddaten!$AM$11,El_Produkt,0)-OFFSET(Grunddaten!$Q$11,El_Produkt,0))/100*$G65+$E65),-1))</f>
        <v>0</v>
      </c>
      <c r="AB65" s="476">
        <f ca="1">IF($G65=0,0,ROUND(OFFSET(Grunddaten!BC11,El_Produkt,0)*((OFFSET(Grunddaten!$AM$11,El_Produkt,0)-OFFSET(Grunddaten!$Q$11,El_Produkt,0))/100*$G65+$E65),-1))</f>
        <v>0</v>
      </c>
      <c r="AC65" s="476">
        <f ca="1">IF($G65=0,0,ROUND(OFFSET(Grunddaten!BD11,El_Produkt,0)*((OFFSET(Grunddaten!$AM$11,El_Produkt,0)-OFFSET(Grunddaten!$Q$11,El_Produkt,0))/100*$G65+$E65),-1))</f>
        <v>0</v>
      </c>
      <c r="AD65" s="476">
        <f ca="1">IF($G65=0,0,ROUND(OFFSET(Grunddaten!BE11,El_Produkt,0)*((OFFSET(Grunddaten!$AM$11,El_Produkt,0)-OFFSET(Grunddaten!$Q$11,El_Produkt,0))/100*$G65+$E65),-1))</f>
        <v>0</v>
      </c>
      <c r="AE65" s="476">
        <f ca="1">IF($G65=0,0,ROUND(OFFSET(Grunddaten!BF11,El_Produkt,0)*((OFFSET(Grunddaten!$AM$11,El_Produkt,0)-OFFSET(Grunddaten!$Q$11,El_Produkt,0))/100*$G65+$E65),-1))</f>
        <v>0</v>
      </c>
      <c r="AF65" s="476">
        <f ca="1">IF($G65=0,0,ROUND(OFFSET(Grunddaten!BG11,El_Produkt,0)*((OFFSET(Grunddaten!$AM$11,El_Produkt,0)-OFFSET(Grunddaten!$Q$11,El_Produkt,0))/100*$G65+$E65),-1))</f>
        <v>0</v>
      </c>
      <c r="AG65" s="476">
        <f ca="1">IF($G65=0,0,ROUND(OFFSET(Grunddaten!BH11,El_Produkt,0)*((OFFSET(Grunddaten!$AM$11,El_Produkt,0)-OFFSET(Grunddaten!$Q$11,El_Produkt,0))/100*$G65+$E65),-1))</f>
        <v>0</v>
      </c>
      <c r="AH65" s="477">
        <f ca="1">IF($G65=0,0,ROUND(OFFSET(Grunddaten!BI11,El_Produkt,0)*((OFFSET(Grunddaten!$AM$11,El_Produkt,0)-OFFSET(Grunddaten!$Q$11,El_Produkt,0))/100*$G65+$E65),-1))</f>
        <v>0</v>
      </c>
      <c r="AI65" s="477">
        <f ca="1">IF($G65=0,0,ROUND(OFFSET(Grunddaten!BJ11,El_Produkt,0)*((OFFSET(Grunddaten!$AM$11,El_Produkt,0)-OFFSET(Grunddaten!$Q$11,El_Produkt,0))/100*$G65+$E65),-1))</f>
        <v>0</v>
      </c>
      <c r="AJ65" s="477">
        <f ca="1">IF($G65=0,0,ROUND(OFFSET(Grunddaten!BK11,El_Produkt,0)*((OFFSET(Grunddaten!$AM$11,El_Produkt,0)-OFFSET(Grunddaten!$Q$11,El_Produkt,0))/100*$G65+$E65),-1))</f>
        <v>0</v>
      </c>
      <c r="AK65" s="477">
        <f ca="1">IF($G65=0,0,ROUND(OFFSET(Grunddaten!BL11,El_Produkt,0)*((OFFSET(Grunddaten!$AM$11,El_Produkt,0)-OFFSET(Grunddaten!$Q$11,El_Produkt,0))/100*$G65+$E65),-1))</f>
        <v>0</v>
      </c>
      <c r="AL65" s="477">
        <f ca="1">IF($G65=0,0,ROUND(OFFSET(Grunddaten!BM11,El_Produkt,0)*((OFFSET(Grunddaten!$AM$11,El_Produkt,0)-OFFSET(Grunddaten!$Q$11,El_Produkt,0))/100*$G65+$E65),-1))</f>
        <v>0</v>
      </c>
      <c r="AM65" s="477">
        <f ca="1">IF($G65=0,0,ROUND(OFFSET(Grunddaten!BN11,El_Produkt,0)*((OFFSET(Grunddaten!$AM$11,El_Produkt,0)-OFFSET(Grunddaten!$Q$11,El_Produkt,0))/100*$G65+$E65),-1))</f>
        <v>0</v>
      </c>
      <c r="AN65" s="477">
        <f ca="1">IF($G65=0,0,ROUND(OFFSET(Grunddaten!BO11,El_Produkt,0)*((OFFSET(Grunddaten!$AM$11,El_Produkt,0)-OFFSET(Grunddaten!$Q$11,El_Produkt,0))/100*$G65+$E65),-1))</f>
        <v>0</v>
      </c>
      <c r="AO65" s="477">
        <f ca="1">IF($G65=0,0,ROUND(OFFSET(Grunddaten!BP11,El_Produkt,0)*((OFFSET(Grunddaten!$AM$11,El_Produkt,0)-OFFSET(Grunddaten!$Q$11,El_Produkt,0))/100*$G65+$E65),-1))</f>
        <v>0</v>
      </c>
      <c r="AP65" s="477">
        <f ca="1">IF($G65=0,0,ROUND(OFFSET(Grunddaten!BQ11,El_Produkt,0)*((OFFSET(Grunddaten!$AM$11,El_Produkt,0)-OFFSET(Grunddaten!$Q$11,El_Produkt,0))/100*$G65+$E65),-1))</f>
        <v>0</v>
      </c>
      <c r="AQ65" s="477">
        <f ca="1">IF($G65=0,0,ROUND(OFFSET(Grunddaten!BR11,El_Produkt,0)*((OFFSET(Grunddaten!$AM$11,El_Produkt,0)-OFFSET(Grunddaten!$Q$11,El_Produkt,0))/100*$G65+$E65),-1))</f>
        <v>0</v>
      </c>
      <c r="AR65" s="477">
        <f ca="1">IF($G65=0,0,ROUND(OFFSET(Grunddaten!BS11,El_Produkt,0)*((OFFSET(Grunddaten!$AM$11,El_Produkt,0)-OFFSET(Grunddaten!$Q$11,El_Produkt,0))/100*$G65+$E65),-1))</f>
        <v>0</v>
      </c>
      <c r="AS65" s="477">
        <f ca="1">IF($G65=0,0,ROUND(OFFSET(Grunddaten!BT11,El_Produkt,0)*((OFFSET(Grunddaten!$AM$11,El_Produkt,0)-OFFSET(Grunddaten!$Q$11,El_Produkt,0))/100*$G65+$E65),-1))</f>
        <v>0</v>
      </c>
      <c r="AT65" s="477">
        <f ca="1">IF($G65=0,0,ROUND(OFFSET(Grunddaten!BU11,El_Produkt,0)*((OFFSET(Grunddaten!$AM$11,El_Produkt,0)-OFFSET(Grunddaten!$Q$11,El_Produkt,0))/100*$G65+$E65),-1))</f>
        <v>0</v>
      </c>
      <c r="AU65" s="477">
        <f ca="1">IF($G65=0,0,ROUND(OFFSET(Grunddaten!BV11,El_Produkt,0)*((OFFSET(Grunddaten!$AM$11,El_Produkt,0)-OFFSET(Grunddaten!$Q$11,El_Produkt,0))/100*$G65+$E65),-1))</f>
        <v>0</v>
      </c>
      <c r="AV65" s="477">
        <f ca="1">IF($G65=0,0,ROUND(OFFSET(Grunddaten!BW11,El_Produkt,0)*((OFFSET(Grunddaten!$AM$11,El_Produkt,0)-OFFSET(Grunddaten!$Q$11,El_Produkt,0))/100*$G65+$E65),-1))</f>
        <v>0</v>
      </c>
      <c r="AW65" s="477">
        <f ca="1">IF($G65=0,0,ROUND(OFFSET(Grunddaten!BX11,El_Produkt,0)*((OFFSET(Grunddaten!$AM$11,El_Produkt,0)-OFFSET(Grunddaten!$Q$11,El_Produkt,0))/100*$G65+$E65),-1))</f>
        <v>0</v>
      </c>
      <c r="AX65" s="477">
        <f ca="1">IF($G65=0,0,ROUND(OFFSET(Grunddaten!BY11,El_Produkt,0)*((OFFSET(Grunddaten!$AM$11,El_Produkt,0)-OFFSET(Grunddaten!$Q$11,El_Produkt,0))/100*$G65+$E65),-1))</f>
        <v>0</v>
      </c>
      <c r="AY65" s="477">
        <f ca="1">IF($G65=0,0,ROUND(OFFSET(Grunddaten!BZ11,El_Produkt,0)*((OFFSET(Grunddaten!$AM$11,El_Produkt,0)-OFFSET(Grunddaten!$Q$11,El_Produkt,0))/100*$G65+$E65),-1))</f>
        <v>0</v>
      </c>
      <c r="AZ65" s="477">
        <f ca="1">IF($G65=0,0,ROUND(OFFSET(Grunddaten!CA11,El_Produkt,0)*((OFFSET(Grunddaten!$AM$11,El_Produkt,0)-OFFSET(Grunddaten!$Q$11,El_Produkt,0))/100*$G65+$E65),-1))</f>
        <v>0</v>
      </c>
      <c r="BA65" s="477">
        <f ca="1">IF($G65=0,0,ROUND(OFFSET(Grunddaten!CB11,El_Produkt,0)*((OFFSET(Grunddaten!$AM$11,El_Produkt,0)-OFFSET(Grunddaten!$Q$11,El_Produkt,0))/100*$G65+$E65),-1))</f>
        <v>0</v>
      </c>
      <c r="BB65" s="477">
        <f ca="1">IF($G65=0,0,ROUND(OFFSET(Grunddaten!CC11,El_Produkt,0)*((OFFSET(Grunddaten!$AM$11,El_Produkt,0)-OFFSET(Grunddaten!$Q$11,El_Produkt,0))/100*$G65+$E65),-1))</f>
        <v>0</v>
      </c>
      <c r="BC65" s="477">
        <f ca="1">IF($G65=0,0,ROUND(OFFSET(Grunddaten!CD11,El_Produkt,0)*((OFFSET(Grunddaten!$AM$11,El_Produkt,0)-OFFSET(Grunddaten!$Q$11,El_Produkt,0))/100*$G65+$E65),-1))</f>
        <v>0</v>
      </c>
      <c r="BD65" s="477">
        <f ca="1">IF($G65=0,0,ROUND(OFFSET(Grunddaten!CE11,El_Produkt,0)*((OFFSET(Grunddaten!$AM$11,El_Produkt,0)-OFFSET(Grunddaten!$Q$11,El_Produkt,0))/100*$G65+$E65),-1))</f>
        <v>0</v>
      </c>
      <c r="BE65" s="477">
        <f ca="1">IF($G65=0,0,ROUND(OFFSET(Grunddaten!CF11,El_Produkt,0)*((OFFSET(Grunddaten!$AM$11,El_Produkt,0)-OFFSET(Grunddaten!$Q$11,El_Produkt,0))/100*$G65+$E65),-1))</f>
        <v>0</v>
      </c>
      <c r="BF65" s="477">
        <f ca="1">IF($G65=0,0,ROUND(OFFSET(Grunddaten!CG11,El_Produkt,0)*((OFFSET(Grunddaten!$AM$11,El_Produkt,0)-OFFSET(Grunddaten!$Q$11,El_Produkt,0))/100*$G65+$E65),-1))</f>
        <v>0</v>
      </c>
      <c r="BG65" s="477">
        <f ca="1">IF($G65=0,0,ROUND(OFFSET(Grunddaten!CH11,El_Produkt,0)*((OFFSET(Grunddaten!$AM$11,El_Produkt,0)-OFFSET(Grunddaten!$Q$11,El_Produkt,0))/100*$G65+$E65),-1))</f>
        <v>0</v>
      </c>
      <c r="BH65" s="477">
        <f ca="1">IF($G65=0,0,ROUND(OFFSET(Grunddaten!CI11,El_Produkt,0)*((OFFSET(Grunddaten!$AM$11,El_Produkt,0)-OFFSET(Grunddaten!$Q$11,El_Produkt,0))/100*$G65+$E65),-1))</f>
        <v>0</v>
      </c>
      <c r="BI65" s="477">
        <f ca="1">IF($G65=0,0,ROUND(OFFSET(Grunddaten!CJ11,El_Produkt,0)*((OFFSET(Grunddaten!$AM$11,El_Produkt,0)-OFFSET(Grunddaten!$Q$11,El_Produkt,0))/100*$G65+$E65),-1))</f>
        <v>0</v>
      </c>
      <c r="BJ65" s="477">
        <f ca="1">IF($G65=0,0,ROUND(OFFSET(Grunddaten!CK11,El_Produkt,0)*((OFFSET(Grunddaten!$AM$11,El_Produkt,0)-OFFSET(Grunddaten!$Q$11,El_Produkt,0))/100*$G65+$E65),-1))</f>
        <v>0</v>
      </c>
      <c r="BK65" s="477">
        <f ca="1">IF($G65=0,0,ROUND(OFFSET(Grunddaten!CL11,El_Produkt,0)*((OFFSET(Grunddaten!$AM$11,El_Produkt,0)-OFFSET(Grunddaten!$Q$11,El_Produkt,0))/100*$G65+$E65),-1))</f>
        <v>0</v>
      </c>
      <c r="BL65" s="477">
        <f ca="1">IF($G65=0,0,ROUND(OFFSET(Grunddaten!CM11,El_Produkt,0)*((OFFSET(Grunddaten!$AM$11,El_Produkt,0)-OFFSET(Grunddaten!$Q$11,El_Produkt,0))/100*$G65+$E65),-1))</f>
        <v>0</v>
      </c>
      <c r="BM65" s="477">
        <f ca="1">IF($G65=0,0,ROUND(OFFSET(Grunddaten!CN11,El_Produkt,0)*((OFFSET(Grunddaten!$AM$11,El_Produkt,0)-OFFSET(Grunddaten!$Q$11,El_Produkt,0))/100*$G65+$E65),-1))</f>
        <v>0</v>
      </c>
      <c r="BN65" s="477">
        <f ca="1">IF($G65=0,0,ROUND(OFFSET(Grunddaten!CO11,El_Produkt,0)*((OFFSET(Grunddaten!$AM$11,El_Produkt,0)-OFFSET(Grunddaten!$Q$11,El_Produkt,0))/100*$G65+$E65),-1))</f>
        <v>0</v>
      </c>
      <c r="BO65" s="477">
        <f ca="1">IF($G65=0,0,ROUND(OFFSET(Grunddaten!CP11,El_Produkt,0)*((OFFSET(Grunddaten!$AM$11,El_Produkt,0)-OFFSET(Grunddaten!$Q$11,El_Produkt,0))/100*$G65+$E65),-1))</f>
        <v>0</v>
      </c>
      <c r="BP65" s="477">
        <f ca="1">IF($G65=0,0,ROUND(OFFSET(Grunddaten!CQ11,El_Produkt,0)*((OFFSET(Grunddaten!$AM$11,El_Produkt,0)-OFFSET(Grunddaten!$Q$11,El_Produkt,0))/100*$G65+$E65),-1))</f>
        <v>0</v>
      </c>
      <c r="BQ65" s="478">
        <f ca="1">IF($G65=0,0,ROUND(OFFSET(Grunddaten!CR11,El_Produkt,0)*((OFFSET(Grunddaten!$AM$11,El_Produkt,0)-OFFSET(Grunddaten!$Q$11,El_Produkt,0))/100*$G65+$E65),-1))</f>
        <v>0</v>
      </c>
    </row>
    <row r="66" spans="1:69" s="88" customFormat="1" ht="11.25" customHeight="1" x14ac:dyDescent="0.2">
      <c r="A66" s="511" t="s">
        <v>627</v>
      </c>
      <c r="B66" s="1387"/>
      <c r="C66" s="2557">
        <v>0.9</v>
      </c>
      <c r="D66" s="2558"/>
      <c r="E66" s="2473"/>
      <c r="F66" s="2474"/>
      <c r="G66" s="2463">
        <f>-Berechnungen!$D$55*C66</f>
        <v>0</v>
      </c>
      <c r="H66" s="2464"/>
      <c r="I66" s="2465"/>
      <c r="J66" s="2551">
        <f>Grunddaten!$S$29-(1-$R$109)*Grunddaten!$Q$29</f>
        <v>8.5</v>
      </c>
      <c r="K66" s="2552"/>
      <c r="L66" s="2525">
        <f t="shared" ref="L66:L75" si="4">ROUND(E66+G66*J66/100,-1)</f>
        <v>0</v>
      </c>
      <c r="M66" s="2526"/>
      <c r="N66" s="2527"/>
      <c r="S66" s="427">
        <f ca="1">ROUND(Grunddaten!AT29*((Grunddaten!$S29-Grunddaten!$Q29)/100*$G66+$E66),-1)</f>
        <v>0</v>
      </c>
      <c r="T66" s="428">
        <f ca="1">ROUND(Grunddaten!AU29*((Grunddaten!$S29-Grunddaten!$Q29)/100*$G66+$E66),-1)</f>
        <v>0</v>
      </c>
      <c r="U66" s="428">
        <f ca="1">ROUND(Grunddaten!AV29*((Grunddaten!$S29-Grunddaten!$Q29)/100*$G66+$E66),-1)</f>
        <v>0</v>
      </c>
      <c r="V66" s="428">
        <f ca="1">ROUND(Grunddaten!AW29*((Grunddaten!$S29-Grunddaten!$Q29)/100*$G66+$E66),-1)</f>
        <v>0</v>
      </c>
      <c r="W66" s="428">
        <f ca="1">ROUND(Grunddaten!AX29*((Grunddaten!$S29-Grunddaten!$Q29)/100*$G66+$E66),-1)</f>
        <v>0</v>
      </c>
      <c r="X66" s="428">
        <f ca="1">ROUND(Grunddaten!AY29*((Grunddaten!$S29-Grunddaten!$Q29)/100*$G66+$E66),-1)</f>
        <v>0</v>
      </c>
      <c r="Y66" s="428">
        <f ca="1">ROUND(Grunddaten!AZ29*((Grunddaten!$S29-Grunddaten!$Q29)/100*$G66+$E66),-1)</f>
        <v>0</v>
      </c>
      <c r="Z66" s="428">
        <f ca="1">ROUND(Grunddaten!BA29*((Grunddaten!$S29-Grunddaten!$Q29)/100*$G66+$E66),-1)</f>
        <v>0</v>
      </c>
      <c r="AA66" s="428">
        <f ca="1">ROUND(Grunddaten!BB29*((Grunddaten!$S29-Grunddaten!$Q29)/100*$G66+$E66),-1)</f>
        <v>0</v>
      </c>
      <c r="AB66" s="473">
        <f ca="1">ROUND(Grunddaten!BC29*((Grunddaten!$S29-Grunddaten!$Q29)/100*$G66+$E66),-1)</f>
        <v>0</v>
      </c>
      <c r="AC66" s="473">
        <f ca="1">ROUND(Grunddaten!BD29*((Grunddaten!$S29-Grunddaten!$Q29)/100*$G66+$E66),-1)</f>
        <v>0</v>
      </c>
      <c r="AD66" s="473">
        <f ca="1">ROUND(Grunddaten!BE29*((Grunddaten!$S29-Grunddaten!$Q29)/100*$G66+$E66),-1)</f>
        <v>0</v>
      </c>
      <c r="AE66" s="473">
        <f ca="1">ROUND(Grunddaten!BF29*((Grunddaten!$S29-Grunddaten!$Q29)/100*$G66+$E66),-1)</f>
        <v>0</v>
      </c>
      <c r="AF66" s="473">
        <f ca="1">ROUND(Grunddaten!BG29*((Grunddaten!$S29-Grunddaten!$Q29)/100*$G66+$E66),-1)</f>
        <v>0</v>
      </c>
      <c r="AG66" s="473">
        <f ca="1">ROUND(Grunddaten!BH29*((Grunddaten!$S29-Grunddaten!$Q29)/100*$G66+$E66),-1)</f>
        <v>0</v>
      </c>
      <c r="AH66" s="474">
        <f ca="1">ROUND(Grunddaten!BI29*((Grunddaten!$S29-Grunddaten!$Q29)/100*$G66+$E66),-1)</f>
        <v>0</v>
      </c>
      <c r="AI66" s="474">
        <f ca="1">ROUND(Grunddaten!BJ29*((Grunddaten!$S29-Grunddaten!$Q29)/100*$G66+$E66),-1)</f>
        <v>0</v>
      </c>
      <c r="AJ66" s="474">
        <f ca="1">ROUND(Grunddaten!BK29*((Grunddaten!$S29-Grunddaten!$Q29)/100*$G66+$E66),-1)</f>
        <v>0</v>
      </c>
      <c r="AK66" s="474">
        <f ca="1">ROUND(Grunddaten!BL29*((Grunddaten!$S29-Grunddaten!$Q29)/100*$G66+$E66),-1)</f>
        <v>0</v>
      </c>
      <c r="AL66" s="474">
        <f ca="1">ROUND(Grunddaten!BM29*((Grunddaten!$S29-Grunddaten!$Q29)/100*$G66+$E66),-1)</f>
        <v>0</v>
      </c>
      <c r="AM66" s="474">
        <f ca="1">ROUND(Grunddaten!BN29*((Grunddaten!$S29-Grunddaten!$Q29)/100*$G66+$E66),-1)</f>
        <v>0</v>
      </c>
      <c r="AN66" s="474">
        <f ca="1">ROUND(Grunddaten!BO29*((Grunddaten!$S29-Grunddaten!$Q29)/100*$G66+$E66),-1)</f>
        <v>0</v>
      </c>
      <c r="AO66" s="474">
        <f ca="1">ROUND(Grunddaten!BP29*((Grunddaten!$S29-Grunddaten!$Q29)/100*$G66+$E66),-1)</f>
        <v>0</v>
      </c>
      <c r="AP66" s="474">
        <f ca="1">ROUND(Grunddaten!BQ29*((Grunddaten!$S29-Grunddaten!$Q29)/100*$G66+$E66),-1)</f>
        <v>0</v>
      </c>
      <c r="AQ66" s="474">
        <f ca="1">ROUND(Grunddaten!BR29*((Grunddaten!$S29-Grunddaten!$Q29)/100*$G66+$E66),-1)</f>
        <v>0</v>
      </c>
      <c r="AR66" s="474">
        <f ca="1">ROUND(Grunddaten!BS29*((Grunddaten!$S29-Grunddaten!$Q29)/100*$G66+$E66),-1)</f>
        <v>0</v>
      </c>
      <c r="AS66" s="474">
        <f ca="1">ROUND(Grunddaten!BT29*((Grunddaten!$S29-Grunddaten!$Q29)/100*$G66+$E66),-1)</f>
        <v>0</v>
      </c>
      <c r="AT66" s="474">
        <f ca="1">ROUND(Grunddaten!BU29*((Grunddaten!$S29-Grunddaten!$Q29)/100*$G66+$E66),-1)</f>
        <v>0</v>
      </c>
      <c r="AU66" s="474">
        <f ca="1">ROUND(Grunddaten!BV29*((Grunddaten!$S29-Grunddaten!$Q29)/100*$G66+$E66),-1)</f>
        <v>0</v>
      </c>
      <c r="AV66" s="474">
        <f ca="1">ROUND(Grunddaten!BW29*((Grunddaten!$S29-Grunddaten!$Q29)/100*$G66+$E66),-1)</f>
        <v>0</v>
      </c>
      <c r="AW66" s="474">
        <f ca="1">ROUND(Grunddaten!BX29*((Grunddaten!$S29-Grunddaten!$Q29)/100*$G66+$E66),-1)</f>
        <v>0</v>
      </c>
      <c r="AX66" s="474">
        <f ca="1">ROUND(Grunddaten!BY29*((Grunddaten!$S29-Grunddaten!$Q29)/100*$G66+$E66),-1)</f>
        <v>0</v>
      </c>
      <c r="AY66" s="474">
        <f ca="1">ROUND(Grunddaten!BZ29*((Grunddaten!$S29-Grunddaten!$Q29)/100*$G66+$E66),-1)</f>
        <v>0</v>
      </c>
      <c r="AZ66" s="474">
        <f ca="1">ROUND(Grunddaten!CA29*((Grunddaten!$S29-Grunddaten!$Q29)/100*$G66+$E66),-1)</f>
        <v>0</v>
      </c>
      <c r="BA66" s="474">
        <f ca="1">ROUND(Grunddaten!CB29*((Grunddaten!$S29-Grunddaten!$Q29)/100*$G66+$E66),-1)</f>
        <v>0</v>
      </c>
      <c r="BB66" s="474">
        <f ca="1">ROUND(Grunddaten!CC29*((Grunddaten!$S29-Grunddaten!$Q29)/100*$G66+$E66),-1)</f>
        <v>0</v>
      </c>
      <c r="BC66" s="474">
        <f ca="1">ROUND(Grunddaten!CD29*((Grunddaten!$S29-Grunddaten!$Q29)/100*$G66+$E66),-1)</f>
        <v>0</v>
      </c>
      <c r="BD66" s="474">
        <f ca="1">ROUND(Grunddaten!CE29*((Grunddaten!$S29-Grunddaten!$Q29)/100*$G66+$E66),-1)</f>
        <v>0</v>
      </c>
      <c r="BE66" s="474">
        <f ca="1">ROUND(Grunddaten!CF29*((Grunddaten!$S29-Grunddaten!$Q29)/100*$G66+$E66),-1)</f>
        <v>0</v>
      </c>
      <c r="BF66" s="474">
        <f ca="1">ROUND(Grunddaten!CG29*((Grunddaten!$S29-Grunddaten!$Q29)/100*$G66+$E66),-1)</f>
        <v>0</v>
      </c>
      <c r="BG66" s="474">
        <f ca="1">ROUND(Grunddaten!CH29*((Grunddaten!$S29-Grunddaten!$Q29)/100*$G66+$E66),-1)</f>
        <v>0</v>
      </c>
      <c r="BH66" s="474">
        <f ca="1">ROUND(Grunddaten!CI29*((Grunddaten!$S29-Grunddaten!$Q29)/100*$G66+$E66),-1)</f>
        <v>0</v>
      </c>
      <c r="BI66" s="474">
        <f ca="1">ROUND(Grunddaten!CJ29*((Grunddaten!$S29-Grunddaten!$Q29)/100*$G66+$E66),-1)</f>
        <v>0</v>
      </c>
      <c r="BJ66" s="474">
        <f ca="1">ROUND(Grunddaten!CK29*((Grunddaten!$S29-Grunddaten!$Q29)/100*$G66+$E66),-1)</f>
        <v>0</v>
      </c>
      <c r="BK66" s="474">
        <f ca="1">ROUND(Grunddaten!CL29*((Grunddaten!$S29-Grunddaten!$Q29)/100*$G66+$E66),-1)</f>
        <v>0</v>
      </c>
      <c r="BL66" s="474">
        <f ca="1">ROUND(Grunddaten!CM29*((Grunddaten!$S29-Grunddaten!$Q29)/100*$G66+$E66),-1)</f>
        <v>0</v>
      </c>
      <c r="BM66" s="474">
        <f ca="1">ROUND(Grunddaten!CN29*((Grunddaten!$S29-Grunddaten!$Q29)/100*$G66+$E66),-1)</f>
        <v>0</v>
      </c>
      <c r="BN66" s="474">
        <f ca="1">ROUND(Grunddaten!CO29*((Grunddaten!$S29-Grunddaten!$Q29)/100*$G66+$E66),-1)</f>
        <v>0</v>
      </c>
      <c r="BO66" s="474">
        <f ca="1">ROUND(Grunddaten!CP29*((Grunddaten!$S29-Grunddaten!$Q29)/100*$G66+$E66),-1)</f>
        <v>0</v>
      </c>
      <c r="BP66" s="474">
        <f ca="1">ROUND(Grunddaten!CQ29*((Grunddaten!$S29-Grunddaten!$Q29)/100*$G66+$E66),-1)</f>
        <v>0</v>
      </c>
      <c r="BQ66" s="475">
        <f ca="1">ROUND(Grunddaten!CR29*((Grunddaten!$S29-Grunddaten!$Q29)/100*$G66+$E66),-1)</f>
        <v>0</v>
      </c>
    </row>
    <row r="67" spans="1:69" s="88" customFormat="1" ht="11.25" customHeight="1" x14ac:dyDescent="0.2">
      <c r="A67" s="512" t="s">
        <v>628</v>
      </c>
      <c r="B67" s="1388"/>
      <c r="C67" s="2559">
        <f>1-C66</f>
        <v>9.9999999999999978E-2</v>
      </c>
      <c r="D67" s="2560"/>
      <c r="E67" s="2475"/>
      <c r="F67" s="2476"/>
      <c r="G67" s="2470">
        <f>-Berechnungen!$D$55*C67</f>
        <v>0</v>
      </c>
      <c r="H67" s="2471"/>
      <c r="I67" s="2472"/>
      <c r="J67" s="2555">
        <f>Grunddaten!$S$30-(1-$R$109)*Grunddaten!$Q$29</f>
        <v>4.45</v>
      </c>
      <c r="K67" s="2556"/>
      <c r="L67" s="2531">
        <f t="shared" si="4"/>
        <v>0</v>
      </c>
      <c r="M67" s="2532"/>
      <c r="N67" s="2533"/>
      <c r="P67" s="1069"/>
      <c r="Q67" s="1069"/>
      <c r="S67" s="429">
        <f ca="1">ROUND(Grunddaten!AT30*((Grunddaten!$S30-Grunddaten!$Q29)/100*$G67+$E67),-1)</f>
        <v>0</v>
      </c>
      <c r="T67" s="430">
        <f ca="1">ROUND(Grunddaten!AU30*((Grunddaten!$S30-Grunddaten!$Q29)/100*$G67+$E67),-1)</f>
        <v>0</v>
      </c>
      <c r="U67" s="430">
        <f ca="1">ROUND(Grunddaten!AV30*((Grunddaten!$S30-Grunddaten!$Q29)/100*$G67+$E67),-1)</f>
        <v>0</v>
      </c>
      <c r="V67" s="430">
        <f ca="1">ROUND(Grunddaten!AW30*((Grunddaten!$S30-Grunddaten!$Q29)/100*$G67+$E67),-1)</f>
        <v>0</v>
      </c>
      <c r="W67" s="430">
        <f ca="1">ROUND(Grunddaten!AX30*((Grunddaten!$S30-Grunddaten!$Q29)/100*$G67+$E67),-1)</f>
        <v>0</v>
      </c>
      <c r="X67" s="430">
        <f ca="1">ROUND(Grunddaten!AY30*((Grunddaten!$S30-Grunddaten!$Q29)/100*$G67+$E67),-1)</f>
        <v>0</v>
      </c>
      <c r="Y67" s="430">
        <f ca="1">ROUND(Grunddaten!AZ30*((Grunddaten!$S30-Grunddaten!$Q29)/100*$G67+$E67),-1)</f>
        <v>0</v>
      </c>
      <c r="Z67" s="430">
        <f ca="1">ROUND(Grunddaten!BA30*((Grunddaten!$S30-Grunddaten!$Q29)/100*$G67+$E67),-1)</f>
        <v>0</v>
      </c>
      <c r="AA67" s="430">
        <f ca="1">ROUND(Grunddaten!BB30*((Grunddaten!$S30-Grunddaten!$Q29)/100*$G67+$E67),-1)</f>
        <v>0</v>
      </c>
      <c r="AB67" s="476">
        <f ca="1">ROUND(Grunddaten!BC30*((Grunddaten!$S30-Grunddaten!$Q29)/100*$G67+$E67),-1)</f>
        <v>0</v>
      </c>
      <c r="AC67" s="476">
        <f ca="1">ROUND(Grunddaten!BD30*((Grunddaten!$S30-Grunddaten!$Q29)/100*$G67+$E67),-1)</f>
        <v>0</v>
      </c>
      <c r="AD67" s="476">
        <f ca="1">ROUND(Grunddaten!BE30*((Grunddaten!$S30-Grunddaten!$Q29)/100*$G67+$E67),-1)</f>
        <v>0</v>
      </c>
      <c r="AE67" s="476">
        <f ca="1">ROUND(Grunddaten!BF30*((Grunddaten!$S30-Grunddaten!$Q29)/100*$G67+$E67),-1)</f>
        <v>0</v>
      </c>
      <c r="AF67" s="476">
        <f ca="1">ROUND(Grunddaten!BG30*((Grunddaten!$S30-Grunddaten!$Q29)/100*$G67+$E67),-1)</f>
        <v>0</v>
      </c>
      <c r="AG67" s="476">
        <f ca="1">ROUND(Grunddaten!BH30*((Grunddaten!$S30-Grunddaten!$Q29)/100*$G67+$E67),-1)</f>
        <v>0</v>
      </c>
      <c r="AH67" s="477">
        <f ca="1">ROUND(Grunddaten!BI30*((Grunddaten!$S30-Grunddaten!$Q29)/100*$G67+$E67),-1)</f>
        <v>0</v>
      </c>
      <c r="AI67" s="477">
        <f ca="1">ROUND(Grunddaten!BJ30*((Grunddaten!$S30-Grunddaten!$Q29)/100*$G67+$E67),-1)</f>
        <v>0</v>
      </c>
      <c r="AJ67" s="477">
        <f ca="1">ROUND(Grunddaten!BK30*((Grunddaten!$S30-Grunddaten!$Q29)/100*$G67+$E67),-1)</f>
        <v>0</v>
      </c>
      <c r="AK67" s="477">
        <f ca="1">ROUND(Grunddaten!BL30*((Grunddaten!$S30-Grunddaten!$Q29)/100*$G67+$E67),-1)</f>
        <v>0</v>
      </c>
      <c r="AL67" s="477">
        <f ca="1">ROUND(Grunddaten!BM30*((Grunddaten!$S30-Grunddaten!$Q29)/100*$G67+$E67),-1)</f>
        <v>0</v>
      </c>
      <c r="AM67" s="477">
        <f ca="1">ROUND(Grunddaten!BN30*((Grunddaten!$S30-Grunddaten!$Q29)/100*$G67+$E67),-1)</f>
        <v>0</v>
      </c>
      <c r="AN67" s="477">
        <f ca="1">ROUND(Grunddaten!BO30*((Grunddaten!$S30-Grunddaten!$Q29)/100*$G67+$E67),-1)</f>
        <v>0</v>
      </c>
      <c r="AO67" s="477">
        <f ca="1">ROUND(Grunddaten!BP30*((Grunddaten!$S30-Grunddaten!$Q29)/100*$G67+$E67),-1)</f>
        <v>0</v>
      </c>
      <c r="AP67" s="477">
        <f ca="1">ROUND(Grunddaten!BQ30*((Grunddaten!$S30-Grunddaten!$Q29)/100*$G67+$E67),-1)</f>
        <v>0</v>
      </c>
      <c r="AQ67" s="477">
        <f ca="1">ROUND(Grunddaten!BR30*((Grunddaten!$S30-Grunddaten!$Q29)/100*$G67+$E67),-1)</f>
        <v>0</v>
      </c>
      <c r="AR67" s="477">
        <f ca="1">ROUND(Grunddaten!BS30*((Grunddaten!$S30-Grunddaten!$Q29)/100*$G67+$E67),-1)</f>
        <v>0</v>
      </c>
      <c r="AS67" s="477">
        <f ca="1">ROUND(Grunddaten!BT30*((Grunddaten!$S30-Grunddaten!$Q29)/100*$G67+$E67),-1)</f>
        <v>0</v>
      </c>
      <c r="AT67" s="477">
        <f ca="1">ROUND(Grunddaten!BU30*((Grunddaten!$S30-Grunddaten!$Q29)/100*$G67+$E67),-1)</f>
        <v>0</v>
      </c>
      <c r="AU67" s="477">
        <f ca="1">ROUND(Grunddaten!BV30*((Grunddaten!$S30-Grunddaten!$Q29)/100*$G67+$E67),-1)</f>
        <v>0</v>
      </c>
      <c r="AV67" s="477">
        <f ca="1">ROUND(Grunddaten!BW30*((Grunddaten!$S30-Grunddaten!$Q29)/100*$G67+$E67),-1)</f>
        <v>0</v>
      </c>
      <c r="AW67" s="477">
        <f ca="1">ROUND(Grunddaten!BX30*((Grunddaten!$S30-Grunddaten!$Q29)/100*$G67+$E67),-1)</f>
        <v>0</v>
      </c>
      <c r="AX67" s="477">
        <f ca="1">ROUND(Grunddaten!BY30*((Grunddaten!$S30-Grunddaten!$Q29)/100*$G67+$E67),-1)</f>
        <v>0</v>
      </c>
      <c r="AY67" s="477">
        <f ca="1">ROUND(Grunddaten!BZ30*((Grunddaten!$S30-Grunddaten!$Q29)/100*$G67+$E67),-1)</f>
        <v>0</v>
      </c>
      <c r="AZ67" s="477">
        <f ca="1">ROUND(Grunddaten!CA30*((Grunddaten!$S30-Grunddaten!$Q29)/100*$G67+$E67),-1)</f>
        <v>0</v>
      </c>
      <c r="BA67" s="477">
        <f ca="1">ROUND(Grunddaten!CB30*((Grunddaten!$S30-Grunddaten!$Q29)/100*$G67+$E67),-1)</f>
        <v>0</v>
      </c>
      <c r="BB67" s="477">
        <f ca="1">ROUND(Grunddaten!CC30*((Grunddaten!$S30-Grunddaten!$Q29)/100*$G67+$E67),-1)</f>
        <v>0</v>
      </c>
      <c r="BC67" s="477">
        <f ca="1">ROUND(Grunddaten!CD30*((Grunddaten!$S30-Grunddaten!$Q29)/100*$G67+$E67),-1)</f>
        <v>0</v>
      </c>
      <c r="BD67" s="477">
        <f ca="1">ROUND(Grunddaten!CE30*((Grunddaten!$S30-Grunddaten!$Q29)/100*$G67+$E67),-1)</f>
        <v>0</v>
      </c>
      <c r="BE67" s="477">
        <f ca="1">ROUND(Grunddaten!CF30*((Grunddaten!$S30-Grunddaten!$Q29)/100*$G67+$E67),-1)</f>
        <v>0</v>
      </c>
      <c r="BF67" s="477">
        <f ca="1">ROUND(Grunddaten!CG30*((Grunddaten!$S30-Grunddaten!$Q29)/100*$G67+$E67),-1)</f>
        <v>0</v>
      </c>
      <c r="BG67" s="477">
        <f ca="1">ROUND(Grunddaten!CH30*((Grunddaten!$S30-Grunddaten!$Q29)/100*$G67+$E67),-1)</f>
        <v>0</v>
      </c>
      <c r="BH67" s="477">
        <f ca="1">ROUND(Grunddaten!CI30*((Grunddaten!$S30-Grunddaten!$Q29)/100*$G67+$E67),-1)</f>
        <v>0</v>
      </c>
      <c r="BI67" s="477">
        <f ca="1">ROUND(Grunddaten!CJ30*((Grunddaten!$S30-Grunddaten!$Q29)/100*$G67+$E67),-1)</f>
        <v>0</v>
      </c>
      <c r="BJ67" s="477">
        <f ca="1">ROUND(Grunddaten!CK30*((Grunddaten!$S30-Grunddaten!$Q29)/100*$G67+$E67),-1)</f>
        <v>0</v>
      </c>
      <c r="BK67" s="477">
        <f ca="1">ROUND(Grunddaten!CL30*((Grunddaten!$S30-Grunddaten!$Q29)/100*$G67+$E67),-1)</f>
        <v>0</v>
      </c>
      <c r="BL67" s="477">
        <f ca="1">ROUND(Grunddaten!CM30*((Grunddaten!$S30-Grunddaten!$Q29)/100*$G67+$E67),-1)</f>
        <v>0</v>
      </c>
      <c r="BM67" s="477">
        <f ca="1">ROUND(Grunddaten!CN30*((Grunddaten!$S30-Grunddaten!$Q29)/100*$G67+$E67),-1)</f>
        <v>0</v>
      </c>
      <c r="BN67" s="477">
        <f ca="1">ROUND(Grunddaten!CO30*((Grunddaten!$S30-Grunddaten!$Q29)/100*$G67+$E67),-1)</f>
        <v>0</v>
      </c>
      <c r="BO67" s="477">
        <f ca="1">ROUND(Grunddaten!CP30*((Grunddaten!$S30-Grunddaten!$Q29)/100*$G67+$E67),-1)</f>
        <v>0</v>
      </c>
      <c r="BP67" s="477">
        <f ca="1">ROUND(Grunddaten!CQ30*((Grunddaten!$S30-Grunddaten!$Q29)/100*$G67+$E67),-1)</f>
        <v>0</v>
      </c>
      <c r="BQ67" s="478">
        <f ca="1">ROUND(Grunddaten!CR30*((Grunddaten!$S30-Grunddaten!$Q29)/100*$G67+$E67),-1)</f>
        <v>0</v>
      </c>
    </row>
    <row r="68" spans="1:69" s="88" customFormat="1" ht="11.25" customHeight="1" x14ac:dyDescent="0.2">
      <c r="A68" s="511" t="s">
        <v>629</v>
      </c>
      <c r="B68" s="1387"/>
      <c r="C68" s="2557">
        <v>0.7</v>
      </c>
      <c r="D68" s="2558"/>
      <c r="E68" s="2473"/>
      <c r="F68" s="2474"/>
      <c r="G68" s="2463">
        <f>-Berechnungen!$D$54*C68</f>
        <v>0</v>
      </c>
      <c r="H68" s="2464"/>
      <c r="I68" s="2465"/>
      <c r="J68" s="2551">
        <f>Grunddaten!$S$31-(1-$R$109)*Grunddaten!$Q$31</f>
        <v>8.5</v>
      </c>
      <c r="K68" s="2552"/>
      <c r="L68" s="2525">
        <f t="shared" ref="L68:L69" si="5">ROUND(E68+G68*J68/100,-1)</f>
        <v>0</v>
      </c>
      <c r="M68" s="2526"/>
      <c r="N68" s="2527"/>
      <c r="S68" s="427">
        <f ca="1">ROUND(Grunddaten!AT31*((Grunddaten!$S31-Grunddaten!$Q31)/100*$G68+$E68),-1)</f>
        <v>0</v>
      </c>
      <c r="T68" s="428">
        <f ca="1">ROUND(Grunddaten!AU31*((Grunddaten!$S31-Grunddaten!$Q31)/100*$G68+$E68),-1)</f>
        <v>0</v>
      </c>
      <c r="U68" s="428">
        <f ca="1">ROUND(Grunddaten!AV31*((Grunddaten!$S31-Grunddaten!$Q31)/100*$G68+$E68),-1)</f>
        <v>0</v>
      </c>
      <c r="V68" s="428">
        <f ca="1">ROUND(Grunddaten!AW31*((Grunddaten!$S31-Grunddaten!$Q31)/100*$G68+$E68),-1)</f>
        <v>0</v>
      </c>
      <c r="W68" s="428">
        <f ca="1">ROUND(Grunddaten!AX31*((Grunddaten!$S31-Grunddaten!$Q31)/100*$G68+$E68),-1)</f>
        <v>0</v>
      </c>
      <c r="X68" s="428">
        <f ca="1">ROUND(Grunddaten!AY31*((Grunddaten!$S31-Grunddaten!$Q31)/100*$G68+$E68),-1)</f>
        <v>0</v>
      </c>
      <c r="Y68" s="428">
        <f ca="1">ROUND(Grunddaten!AZ31*((Grunddaten!$S31-Grunddaten!$Q31)/100*$G68+$E68),-1)</f>
        <v>0</v>
      </c>
      <c r="Z68" s="428">
        <f ca="1">ROUND(Grunddaten!BA31*((Grunddaten!$S31-Grunddaten!$Q31)/100*$G68+$E68),-1)</f>
        <v>0</v>
      </c>
      <c r="AA68" s="428">
        <f ca="1">ROUND(Grunddaten!BB31*((Grunddaten!$S31-Grunddaten!$Q31)/100*$G68+$E68),-1)</f>
        <v>0</v>
      </c>
      <c r="AB68" s="473">
        <f ca="1">ROUND(Grunddaten!BC31*((Grunddaten!$S31-Grunddaten!$Q31)/100*$G68+$E68),-1)</f>
        <v>0</v>
      </c>
      <c r="AC68" s="473">
        <f ca="1">ROUND(Grunddaten!BD31*((Grunddaten!$S31-Grunddaten!$Q31)/100*$G68+$E68),-1)</f>
        <v>0</v>
      </c>
      <c r="AD68" s="473">
        <f ca="1">ROUND(Grunddaten!BE31*((Grunddaten!$S31-Grunddaten!$Q31)/100*$G68+$E68),-1)</f>
        <v>0</v>
      </c>
      <c r="AE68" s="473">
        <f ca="1">ROUND(Grunddaten!BF31*((Grunddaten!$S31-Grunddaten!$Q31)/100*$G68+$E68),-1)</f>
        <v>0</v>
      </c>
      <c r="AF68" s="473">
        <f ca="1">ROUND(Grunddaten!BG31*((Grunddaten!$S31-Grunddaten!$Q31)/100*$G68+$E68),-1)</f>
        <v>0</v>
      </c>
      <c r="AG68" s="473">
        <f ca="1">ROUND(Grunddaten!BH31*((Grunddaten!$S31-Grunddaten!$Q31)/100*$G68+$E68),-1)</f>
        <v>0</v>
      </c>
      <c r="AH68" s="474">
        <f ca="1">ROUND(Grunddaten!BI31*((Grunddaten!$S31-Grunddaten!$Q31)/100*$G68+$E68),-1)</f>
        <v>0</v>
      </c>
      <c r="AI68" s="474">
        <f ca="1">ROUND(Grunddaten!BJ31*((Grunddaten!$S31-Grunddaten!$Q31)/100*$G68+$E68),-1)</f>
        <v>0</v>
      </c>
      <c r="AJ68" s="474">
        <f ca="1">ROUND(Grunddaten!BK31*((Grunddaten!$S31-Grunddaten!$Q31)/100*$G68+$E68),-1)</f>
        <v>0</v>
      </c>
      <c r="AK68" s="474">
        <f ca="1">ROUND(Grunddaten!BL31*((Grunddaten!$S31-Grunddaten!$Q31)/100*$G68+$E68),-1)</f>
        <v>0</v>
      </c>
      <c r="AL68" s="474">
        <f ca="1">ROUND(Grunddaten!BM31*((Grunddaten!$S31-Grunddaten!$Q31)/100*$G68+$E68),-1)</f>
        <v>0</v>
      </c>
      <c r="AM68" s="474">
        <f ca="1">ROUND(Grunddaten!BN31*((Grunddaten!$S31-Grunddaten!$Q31)/100*$G68+$E68),-1)</f>
        <v>0</v>
      </c>
      <c r="AN68" s="474">
        <f ca="1">ROUND(Grunddaten!BO31*((Grunddaten!$S31-Grunddaten!$Q31)/100*$G68+$E68),-1)</f>
        <v>0</v>
      </c>
      <c r="AO68" s="474">
        <f ca="1">ROUND(Grunddaten!BP31*((Grunddaten!$S31-Grunddaten!$Q31)/100*$G68+$E68),-1)</f>
        <v>0</v>
      </c>
      <c r="AP68" s="474">
        <f ca="1">ROUND(Grunddaten!BQ31*((Grunddaten!$S31-Grunddaten!$Q31)/100*$G68+$E68),-1)</f>
        <v>0</v>
      </c>
      <c r="AQ68" s="474">
        <f ca="1">ROUND(Grunddaten!BR31*((Grunddaten!$S31-Grunddaten!$Q31)/100*$G68+$E68),-1)</f>
        <v>0</v>
      </c>
      <c r="AR68" s="474">
        <f ca="1">ROUND(Grunddaten!BS31*((Grunddaten!$S31-Grunddaten!$Q31)/100*$G68+$E68),-1)</f>
        <v>0</v>
      </c>
      <c r="AS68" s="474">
        <f ca="1">ROUND(Grunddaten!BT31*((Grunddaten!$S31-Grunddaten!$Q31)/100*$G68+$E68),-1)</f>
        <v>0</v>
      </c>
      <c r="AT68" s="474">
        <f ca="1">ROUND(Grunddaten!BU31*((Grunddaten!$S31-Grunddaten!$Q31)/100*$G68+$E68),-1)</f>
        <v>0</v>
      </c>
      <c r="AU68" s="474">
        <f ca="1">ROUND(Grunddaten!BV31*((Grunddaten!$S31-Grunddaten!$Q31)/100*$G68+$E68),-1)</f>
        <v>0</v>
      </c>
      <c r="AV68" s="474">
        <f ca="1">ROUND(Grunddaten!BW31*((Grunddaten!$S31-Grunddaten!$Q31)/100*$G68+$E68),-1)</f>
        <v>0</v>
      </c>
      <c r="AW68" s="474">
        <f ca="1">ROUND(Grunddaten!BX31*((Grunddaten!$S31-Grunddaten!$Q31)/100*$G68+$E68),-1)</f>
        <v>0</v>
      </c>
      <c r="AX68" s="474">
        <f ca="1">ROUND(Grunddaten!BY31*((Grunddaten!$S31-Grunddaten!$Q31)/100*$G68+$E68),-1)</f>
        <v>0</v>
      </c>
      <c r="AY68" s="474">
        <f ca="1">ROUND(Grunddaten!BZ31*((Grunddaten!$S31-Grunddaten!$Q31)/100*$G68+$E68),-1)</f>
        <v>0</v>
      </c>
      <c r="AZ68" s="474">
        <f ca="1">ROUND(Grunddaten!CA31*((Grunddaten!$S31-Grunddaten!$Q31)/100*$G68+$E68),-1)</f>
        <v>0</v>
      </c>
      <c r="BA68" s="474">
        <f ca="1">ROUND(Grunddaten!CB31*((Grunddaten!$S31-Grunddaten!$Q31)/100*$G68+$E68),-1)</f>
        <v>0</v>
      </c>
      <c r="BB68" s="474">
        <f ca="1">ROUND(Grunddaten!CC31*((Grunddaten!$S31-Grunddaten!$Q31)/100*$G68+$E68),-1)</f>
        <v>0</v>
      </c>
      <c r="BC68" s="474">
        <f ca="1">ROUND(Grunddaten!CD31*((Grunddaten!$S31-Grunddaten!$Q31)/100*$G68+$E68),-1)</f>
        <v>0</v>
      </c>
      <c r="BD68" s="474">
        <f ca="1">ROUND(Grunddaten!CE31*((Grunddaten!$S31-Grunddaten!$Q31)/100*$G68+$E68),-1)</f>
        <v>0</v>
      </c>
      <c r="BE68" s="474">
        <f ca="1">ROUND(Grunddaten!CF31*((Grunddaten!$S31-Grunddaten!$Q31)/100*$G68+$E68),-1)</f>
        <v>0</v>
      </c>
      <c r="BF68" s="474">
        <f ca="1">ROUND(Grunddaten!CG31*((Grunddaten!$S31-Grunddaten!$Q31)/100*$G68+$E68),-1)</f>
        <v>0</v>
      </c>
      <c r="BG68" s="474">
        <f ca="1">ROUND(Grunddaten!CH31*((Grunddaten!$S31-Grunddaten!$Q31)/100*$G68+$E68),-1)</f>
        <v>0</v>
      </c>
      <c r="BH68" s="474">
        <f ca="1">ROUND(Grunddaten!CI31*((Grunddaten!$S31-Grunddaten!$Q31)/100*$G68+$E68),-1)</f>
        <v>0</v>
      </c>
      <c r="BI68" s="474">
        <f ca="1">ROUND(Grunddaten!CJ31*((Grunddaten!$S31-Grunddaten!$Q31)/100*$G68+$E68),-1)</f>
        <v>0</v>
      </c>
      <c r="BJ68" s="474">
        <f ca="1">ROUND(Grunddaten!CK31*((Grunddaten!$S31-Grunddaten!$Q31)/100*$G68+$E68),-1)</f>
        <v>0</v>
      </c>
      <c r="BK68" s="474">
        <f ca="1">ROUND(Grunddaten!CL31*((Grunddaten!$S31-Grunddaten!$Q31)/100*$G68+$E68),-1)</f>
        <v>0</v>
      </c>
      <c r="BL68" s="474">
        <f ca="1">ROUND(Grunddaten!CM31*((Grunddaten!$S31-Grunddaten!$Q31)/100*$G68+$E68),-1)</f>
        <v>0</v>
      </c>
      <c r="BM68" s="474">
        <f ca="1">ROUND(Grunddaten!CN31*((Grunddaten!$S31-Grunddaten!$Q31)/100*$G68+$E68),-1)</f>
        <v>0</v>
      </c>
      <c r="BN68" s="474">
        <f ca="1">ROUND(Grunddaten!CO31*((Grunddaten!$S31-Grunddaten!$Q31)/100*$G68+$E68),-1)</f>
        <v>0</v>
      </c>
      <c r="BO68" s="474">
        <f ca="1">ROUND(Grunddaten!CP31*((Grunddaten!$S31-Grunddaten!$Q31)/100*$G68+$E68),-1)</f>
        <v>0</v>
      </c>
      <c r="BP68" s="474">
        <f ca="1">ROUND(Grunddaten!CQ31*((Grunddaten!$S31-Grunddaten!$Q31)/100*$G68+$E68),-1)</f>
        <v>0</v>
      </c>
      <c r="BQ68" s="475">
        <f ca="1">ROUND(Grunddaten!CR31*((Grunddaten!$S31-Grunddaten!$Q31)/100*$G68+$E68),-1)</f>
        <v>0</v>
      </c>
    </row>
    <row r="69" spans="1:69" s="88" customFormat="1" ht="11.25" customHeight="1" x14ac:dyDescent="0.2">
      <c r="A69" s="512" t="s">
        <v>630</v>
      </c>
      <c r="B69" s="1388"/>
      <c r="C69" s="2559">
        <f>1-C68</f>
        <v>0.30000000000000004</v>
      </c>
      <c r="D69" s="2560"/>
      <c r="E69" s="2475"/>
      <c r="F69" s="2476"/>
      <c r="G69" s="2470">
        <f>-Berechnungen!$D$54*C69</f>
        <v>0</v>
      </c>
      <c r="H69" s="2471"/>
      <c r="I69" s="2472"/>
      <c r="J69" s="2555">
        <f>Grunddaten!$S$32-(1-$R$109)*Grunddaten!$Q$31</f>
        <v>4.45</v>
      </c>
      <c r="K69" s="2556"/>
      <c r="L69" s="2531">
        <f t="shared" si="5"/>
        <v>0</v>
      </c>
      <c r="M69" s="2532"/>
      <c r="N69" s="2533"/>
      <c r="P69" s="1359"/>
      <c r="Q69" s="1359"/>
      <c r="S69" s="429">
        <f ca="1">ROUND(Grunddaten!AT32*((Grunddaten!$S32-Grunddaten!$Q31)/100*$G69+$E69),-1)</f>
        <v>0</v>
      </c>
      <c r="T69" s="430">
        <f ca="1">ROUND(Grunddaten!AU32*((Grunddaten!$S32-Grunddaten!$Q31)/100*$G69+$E69),-1)</f>
        <v>0</v>
      </c>
      <c r="U69" s="430">
        <f ca="1">ROUND(Grunddaten!AV32*((Grunddaten!$S32-Grunddaten!$Q31)/100*$G69+$E69),-1)</f>
        <v>0</v>
      </c>
      <c r="V69" s="430">
        <f ca="1">ROUND(Grunddaten!AW32*((Grunddaten!$S32-Grunddaten!$Q31)/100*$G69+$E69),-1)</f>
        <v>0</v>
      </c>
      <c r="W69" s="430">
        <f ca="1">ROUND(Grunddaten!AX32*((Grunddaten!$S32-Grunddaten!$Q31)/100*$G69+$E69),-1)</f>
        <v>0</v>
      </c>
      <c r="X69" s="430">
        <f ca="1">ROUND(Grunddaten!AY32*((Grunddaten!$S32-Grunddaten!$Q31)/100*$G69+$E69),-1)</f>
        <v>0</v>
      </c>
      <c r="Y69" s="430">
        <f ca="1">ROUND(Grunddaten!AZ32*((Grunddaten!$S32-Grunddaten!$Q31)/100*$G69+$E69),-1)</f>
        <v>0</v>
      </c>
      <c r="Z69" s="430">
        <f ca="1">ROUND(Grunddaten!BA32*((Grunddaten!$S32-Grunddaten!$Q31)/100*$G69+$E69),-1)</f>
        <v>0</v>
      </c>
      <c r="AA69" s="430">
        <f ca="1">ROUND(Grunddaten!BB32*((Grunddaten!$S32-Grunddaten!$Q31)/100*$G69+$E69),-1)</f>
        <v>0</v>
      </c>
      <c r="AB69" s="476">
        <f ca="1">ROUND(Grunddaten!BC32*((Grunddaten!$S32-Grunddaten!$Q31)/100*$G69+$E69),-1)</f>
        <v>0</v>
      </c>
      <c r="AC69" s="476">
        <f ca="1">ROUND(Grunddaten!BD32*((Grunddaten!$S32-Grunddaten!$Q31)/100*$G69+$E69),-1)</f>
        <v>0</v>
      </c>
      <c r="AD69" s="476">
        <f ca="1">ROUND(Grunddaten!BE32*((Grunddaten!$S32-Grunddaten!$Q31)/100*$G69+$E69),-1)</f>
        <v>0</v>
      </c>
      <c r="AE69" s="476">
        <f ca="1">ROUND(Grunddaten!BF32*((Grunddaten!$S32-Grunddaten!$Q31)/100*$G69+$E69),-1)</f>
        <v>0</v>
      </c>
      <c r="AF69" s="476">
        <f ca="1">ROUND(Grunddaten!BG32*((Grunddaten!$S32-Grunddaten!$Q31)/100*$G69+$E69),-1)</f>
        <v>0</v>
      </c>
      <c r="AG69" s="476">
        <f ca="1">ROUND(Grunddaten!BH32*((Grunddaten!$S32-Grunddaten!$Q31)/100*$G69+$E69),-1)</f>
        <v>0</v>
      </c>
      <c r="AH69" s="477">
        <f ca="1">ROUND(Grunddaten!BI32*((Grunddaten!$S32-Grunddaten!$Q31)/100*$G69+$E69),-1)</f>
        <v>0</v>
      </c>
      <c r="AI69" s="477">
        <f ca="1">ROUND(Grunddaten!BJ32*((Grunddaten!$S32-Grunddaten!$Q31)/100*$G69+$E69),-1)</f>
        <v>0</v>
      </c>
      <c r="AJ69" s="477">
        <f ca="1">ROUND(Grunddaten!BK32*((Grunddaten!$S32-Grunddaten!$Q31)/100*$G69+$E69),-1)</f>
        <v>0</v>
      </c>
      <c r="AK69" s="477">
        <f ca="1">ROUND(Grunddaten!BL32*((Grunddaten!$S32-Grunddaten!$Q31)/100*$G69+$E69),-1)</f>
        <v>0</v>
      </c>
      <c r="AL69" s="477">
        <f ca="1">ROUND(Grunddaten!BM32*((Grunddaten!$S32-Grunddaten!$Q31)/100*$G69+$E69),-1)</f>
        <v>0</v>
      </c>
      <c r="AM69" s="477">
        <f ca="1">ROUND(Grunddaten!BN32*((Grunddaten!$S32-Grunddaten!$Q31)/100*$G69+$E69),-1)</f>
        <v>0</v>
      </c>
      <c r="AN69" s="477">
        <f ca="1">ROUND(Grunddaten!BO32*((Grunddaten!$S32-Grunddaten!$Q31)/100*$G69+$E69),-1)</f>
        <v>0</v>
      </c>
      <c r="AO69" s="477">
        <f ca="1">ROUND(Grunddaten!BP32*((Grunddaten!$S32-Grunddaten!$Q31)/100*$G69+$E69),-1)</f>
        <v>0</v>
      </c>
      <c r="AP69" s="477">
        <f ca="1">ROUND(Grunddaten!BQ32*((Grunddaten!$S32-Grunddaten!$Q31)/100*$G69+$E69),-1)</f>
        <v>0</v>
      </c>
      <c r="AQ69" s="477">
        <f ca="1">ROUND(Grunddaten!BR32*((Grunddaten!$S32-Grunddaten!$Q31)/100*$G69+$E69),-1)</f>
        <v>0</v>
      </c>
      <c r="AR69" s="477">
        <f ca="1">ROUND(Grunddaten!BS32*((Grunddaten!$S32-Grunddaten!$Q31)/100*$G69+$E69),-1)</f>
        <v>0</v>
      </c>
      <c r="AS69" s="477">
        <f ca="1">ROUND(Grunddaten!BT32*((Grunddaten!$S32-Grunddaten!$Q31)/100*$G69+$E69),-1)</f>
        <v>0</v>
      </c>
      <c r="AT69" s="477">
        <f ca="1">ROUND(Grunddaten!BU32*((Grunddaten!$S32-Grunddaten!$Q31)/100*$G69+$E69),-1)</f>
        <v>0</v>
      </c>
      <c r="AU69" s="477">
        <f ca="1">ROUND(Grunddaten!BV32*((Grunddaten!$S32-Grunddaten!$Q31)/100*$G69+$E69),-1)</f>
        <v>0</v>
      </c>
      <c r="AV69" s="477">
        <f ca="1">ROUND(Grunddaten!BW32*((Grunddaten!$S32-Grunddaten!$Q31)/100*$G69+$E69),-1)</f>
        <v>0</v>
      </c>
      <c r="AW69" s="477">
        <f ca="1">ROUND(Grunddaten!BX32*((Grunddaten!$S32-Grunddaten!$Q31)/100*$G69+$E69),-1)</f>
        <v>0</v>
      </c>
      <c r="AX69" s="477">
        <f ca="1">ROUND(Grunddaten!BY32*((Grunddaten!$S32-Grunddaten!$Q31)/100*$G69+$E69),-1)</f>
        <v>0</v>
      </c>
      <c r="AY69" s="477">
        <f ca="1">ROUND(Grunddaten!BZ32*((Grunddaten!$S32-Grunddaten!$Q31)/100*$G69+$E69),-1)</f>
        <v>0</v>
      </c>
      <c r="AZ69" s="477">
        <f ca="1">ROUND(Grunddaten!CA32*((Grunddaten!$S32-Grunddaten!$Q31)/100*$G69+$E69),-1)</f>
        <v>0</v>
      </c>
      <c r="BA69" s="477">
        <f ca="1">ROUND(Grunddaten!CB32*((Grunddaten!$S32-Grunddaten!$Q31)/100*$G69+$E69),-1)</f>
        <v>0</v>
      </c>
      <c r="BB69" s="477">
        <f ca="1">ROUND(Grunddaten!CC32*((Grunddaten!$S32-Grunddaten!$Q31)/100*$G69+$E69),-1)</f>
        <v>0</v>
      </c>
      <c r="BC69" s="477">
        <f ca="1">ROUND(Grunddaten!CD32*((Grunddaten!$S32-Grunddaten!$Q31)/100*$G69+$E69),-1)</f>
        <v>0</v>
      </c>
      <c r="BD69" s="477">
        <f ca="1">ROUND(Grunddaten!CE32*((Grunddaten!$S32-Grunddaten!$Q31)/100*$G69+$E69),-1)</f>
        <v>0</v>
      </c>
      <c r="BE69" s="477">
        <f ca="1">ROUND(Grunddaten!CF32*((Grunddaten!$S32-Grunddaten!$Q31)/100*$G69+$E69),-1)</f>
        <v>0</v>
      </c>
      <c r="BF69" s="477">
        <f ca="1">ROUND(Grunddaten!CG32*((Grunddaten!$S32-Grunddaten!$Q31)/100*$G69+$E69),-1)</f>
        <v>0</v>
      </c>
      <c r="BG69" s="477">
        <f ca="1">ROUND(Grunddaten!CH32*((Grunddaten!$S32-Grunddaten!$Q31)/100*$G69+$E69),-1)</f>
        <v>0</v>
      </c>
      <c r="BH69" s="477">
        <f ca="1">ROUND(Grunddaten!CI32*((Grunddaten!$S32-Grunddaten!$Q31)/100*$G69+$E69),-1)</f>
        <v>0</v>
      </c>
      <c r="BI69" s="477">
        <f ca="1">ROUND(Grunddaten!CJ32*((Grunddaten!$S32-Grunddaten!$Q31)/100*$G69+$E69),-1)</f>
        <v>0</v>
      </c>
      <c r="BJ69" s="477">
        <f ca="1">ROUND(Grunddaten!CK32*((Grunddaten!$S32-Grunddaten!$Q31)/100*$G69+$E69),-1)</f>
        <v>0</v>
      </c>
      <c r="BK69" s="477">
        <f ca="1">ROUND(Grunddaten!CL32*((Grunddaten!$S32-Grunddaten!$Q31)/100*$G69+$E69),-1)</f>
        <v>0</v>
      </c>
      <c r="BL69" s="477">
        <f ca="1">ROUND(Grunddaten!CM32*((Grunddaten!$S32-Grunddaten!$Q31)/100*$G69+$E69),-1)</f>
        <v>0</v>
      </c>
      <c r="BM69" s="477">
        <f ca="1">ROUND(Grunddaten!CN32*((Grunddaten!$S32-Grunddaten!$Q31)/100*$G69+$E69),-1)</f>
        <v>0</v>
      </c>
      <c r="BN69" s="477">
        <f ca="1">ROUND(Grunddaten!CO32*((Grunddaten!$S32-Grunddaten!$Q31)/100*$G69+$E69),-1)</f>
        <v>0</v>
      </c>
      <c r="BO69" s="477">
        <f ca="1">ROUND(Grunddaten!CP32*((Grunddaten!$S32-Grunddaten!$Q31)/100*$G69+$E69),-1)</f>
        <v>0</v>
      </c>
      <c r="BP69" s="477">
        <f ca="1">ROUND(Grunddaten!CQ32*((Grunddaten!$S32-Grunddaten!$Q31)/100*$G69+$E69),-1)</f>
        <v>0</v>
      </c>
      <c r="BQ69" s="478">
        <f ca="1">ROUND(Grunddaten!CR32*((Grunddaten!$S32-Grunddaten!$Q31)/100*$G69+$E69),-1)</f>
        <v>0</v>
      </c>
    </row>
    <row r="70" spans="1:69" s="88" customFormat="1" ht="11.25" customHeight="1" x14ac:dyDescent="0.2">
      <c r="A70" s="513" t="str">
        <f>Grunddaten!C45</f>
        <v>Holzpellets</v>
      </c>
      <c r="B70" s="1377"/>
      <c r="C70" s="2468"/>
      <c r="D70" s="2469"/>
      <c r="E70" s="2459"/>
      <c r="F70" s="2460"/>
      <c r="G70" s="2456">
        <f ca="1">SUMIF(EV_Var1!$A$10:$B$73,$A70,EV_Var1!$E$10:$E$73)</f>
        <v>0</v>
      </c>
      <c r="H70" s="2457"/>
      <c r="I70" s="2458"/>
      <c r="J70" s="2479">
        <f>Grunddaten!S45-(1-$R$109)*Grunddaten!Q45</f>
        <v>6.8688000000000011</v>
      </c>
      <c r="K70" s="2480"/>
      <c r="L70" s="2645">
        <f t="shared" ca="1" si="4"/>
        <v>0</v>
      </c>
      <c r="M70" s="2646"/>
      <c r="N70" s="2647"/>
      <c r="P70" s="1069"/>
      <c r="Q70" s="1069"/>
      <c r="S70" s="479">
        <f ca="1">ROUND(Grunddaten!AT45*((Grunddaten!$S45-Grunddaten!$Q45)/100*$G70+$E70),-1)</f>
        <v>0</v>
      </c>
      <c r="T70" s="480">
        <f ca="1">ROUND(Grunddaten!AU45*((Grunddaten!$S45-Grunddaten!$Q45)/100*$G70+$E70),-1)</f>
        <v>0</v>
      </c>
      <c r="U70" s="480">
        <f ca="1">ROUND(Grunddaten!AV45*((Grunddaten!$S45-Grunddaten!$Q45)/100*$G70+$E70),-1)</f>
        <v>0</v>
      </c>
      <c r="V70" s="480">
        <f ca="1">ROUND(Grunddaten!AW45*((Grunddaten!$S45-Grunddaten!$Q45)/100*$G70+$E70),-1)</f>
        <v>0</v>
      </c>
      <c r="W70" s="480">
        <f ca="1">ROUND(Grunddaten!AX45*((Grunddaten!$S45-Grunddaten!$Q45)/100*$G70+$E70),-1)</f>
        <v>0</v>
      </c>
      <c r="X70" s="480">
        <f ca="1">ROUND(Grunddaten!AY45*((Grunddaten!$S45-Grunddaten!$Q45)/100*$G70+$E70),-1)</f>
        <v>0</v>
      </c>
      <c r="Y70" s="480">
        <f ca="1">ROUND(Grunddaten!AZ45*((Grunddaten!$S45-Grunddaten!$Q45)/100*$G70+$E70),-1)</f>
        <v>0</v>
      </c>
      <c r="Z70" s="480">
        <f ca="1">ROUND(Grunddaten!BA45*((Grunddaten!$S45-Grunddaten!$Q45)/100*$G70+$E70),-1)</f>
        <v>0</v>
      </c>
      <c r="AA70" s="480">
        <f ca="1">ROUND(Grunddaten!BB45*((Grunddaten!$S45-Grunddaten!$Q45)/100*$G70+$E70),-1)</f>
        <v>0</v>
      </c>
      <c r="AB70" s="481">
        <f ca="1">ROUND(Grunddaten!BC45*((Grunddaten!$S45-Grunddaten!$Q45)/100*$G70+$E70),-1)</f>
        <v>0</v>
      </c>
      <c r="AC70" s="481">
        <f ca="1">ROUND(Grunddaten!BD45*((Grunddaten!$S45-Grunddaten!$Q45)/100*$G70+$E70),-1)</f>
        <v>0</v>
      </c>
      <c r="AD70" s="481">
        <f ca="1">ROUND(Grunddaten!BE45*((Grunddaten!$S45-Grunddaten!$Q45)/100*$G70+$E70),-1)</f>
        <v>0</v>
      </c>
      <c r="AE70" s="481">
        <f ca="1">ROUND(Grunddaten!BF45*((Grunddaten!$S45-Grunddaten!$Q45)/100*$G70+$E70),-1)</f>
        <v>0</v>
      </c>
      <c r="AF70" s="481">
        <f ca="1">ROUND(Grunddaten!BG45*((Grunddaten!$S45-Grunddaten!$Q45)/100*$G70+$E70),-1)</f>
        <v>0</v>
      </c>
      <c r="AG70" s="481">
        <f ca="1">ROUND(Grunddaten!BH45*((Grunddaten!$S45-Grunddaten!$Q45)/100*$G70+$E70),-1)</f>
        <v>0</v>
      </c>
      <c r="AH70" s="482">
        <f ca="1">ROUND(Grunddaten!BI45*((Grunddaten!$S45-Grunddaten!$Q45)/100*$G70+$E70),-1)</f>
        <v>0</v>
      </c>
      <c r="AI70" s="482">
        <f ca="1">ROUND(Grunddaten!BJ45*((Grunddaten!$S45-Grunddaten!$Q45)/100*$G70+$E70),-1)</f>
        <v>0</v>
      </c>
      <c r="AJ70" s="482">
        <f ca="1">ROUND(Grunddaten!BK45*((Grunddaten!$S45-Grunddaten!$Q45)/100*$G70+$E70),-1)</f>
        <v>0</v>
      </c>
      <c r="AK70" s="482">
        <f ca="1">ROUND(Grunddaten!BL45*((Grunddaten!$S45-Grunddaten!$Q45)/100*$G70+$E70),-1)</f>
        <v>0</v>
      </c>
      <c r="AL70" s="482">
        <f ca="1">ROUND(Grunddaten!BM45*((Grunddaten!$S45-Grunddaten!$Q45)/100*$G70+$E70),-1)</f>
        <v>0</v>
      </c>
      <c r="AM70" s="482">
        <f ca="1">ROUND(Grunddaten!BN45*((Grunddaten!$S45-Grunddaten!$Q45)/100*$G70+$E70),-1)</f>
        <v>0</v>
      </c>
      <c r="AN70" s="482">
        <f ca="1">ROUND(Grunddaten!BO45*((Grunddaten!$S45-Grunddaten!$Q45)/100*$G70+$E70),-1)</f>
        <v>0</v>
      </c>
      <c r="AO70" s="482">
        <f ca="1">ROUND(Grunddaten!BP45*((Grunddaten!$S45-Grunddaten!$Q45)/100*$G70+$E70),-1)</f>
        <v>0</v>
      </c>
      <c r="AP70" s="482">
        <f ca="1">ROUND(Grunddaten!BQ45*((Grunddaten!$S45-Grunddaten!$Q45)/100*$G70+$E70),-1)</f>
        <v>0</v>
      </c>
      <c r="AQ70" s="482">
        <f ca="1">ROUND(Grunddaten!BR45*((Grunddaten!$S45-Grunddaten!$Q45)/100*$G70+$E70),-1)</f>
        <v>0</v>
      </c>
      <c r="AR70" s="482">
        <f ca="1">ROUND(Grunddaten!BS45*((Grunddaten!$S45-Grunddaten!$Q45)/100*$G70+$E70),-1)</f>
        <v>0</v>
      </c>
      <c r="AS70" s="482">
        <f ca="1">ROUND(Grunddaten!BT45*((Grunddaten!$S45-Grunddaten!$Q45)/100*$G70+$E70),-1)</f>
        <v>0</v>
      </c>
      <c r="AT70" s="482">
        <f ca="1">ROUND(Grunddaten!BU45*((Grunddaten!$S45-Grunddaten!$Q45)/100*$G70+$E70),-1)</f>
        <v>0</v>
      </c>
      <c r="AU70" s="482">
        <f ca="1">ROUND(Grunddaten!BV45*((Grunddaten!$S45-Grunddaten!$Q45)/100*$G70+$E70),-1)</f>
        <v>0</v>
      </c>
      <c r="AV70" s="482">
        <f ca="1">ROUND(Grunddaten!BW45*((Grunddaten!$S45-Grunddaten!$Q45)/100*$G70+$E70),-1)</f>
        <v>0</v>
      </c>
      <c r="AW70" s="482">
        <f ca="1">ROUND(Grunddaten!BX45*((Grunddaten!$S45-Grunddaten!$Q45)/100*$G70+$E70),-1)</f>
        <v>0</v>
      </c>
      <c r="AX70" s="482">
        <f ca="1">ROUND(Grunddaten!BY45*((Grunddaten!$S45-Grunddaten!$Q45)/100*$G70+$E70),-1)</f>
        <v>0</v>
      </c>
      <c r="AY70" s="482">
        <f ca="1">ROUND(Grunddaten!BZ45*((Grunddaten!$S45-Grunddaten!$Q45)/100*$G70+$E70),-1)</f>
        <v>0</v>
      </c>
      <c r="AZ70" s="482">
        <f ca="1">ROUND(Grunddaten!CA45*((Grunddaten!$S45-Grunddaten!$Q45)/100*$G70+$E70),-1)</f>
        <v>0</v>
      </c>
      <c r="BA70" s="482">
        <f ca="1">ROUND(Grunddaten!CB45*((Grunddaten!$S45-Grunddaten!$Q45)/100*$G70+$E70),-1)</f>
        <v>0</v>
      </c>
      <c r="BB70" s="482">
        <f ca="1">ROUND(Grunddaten!CC45*((Grunddaten!$S45-Grunddaten!$Q45)/100*$G70+$E70),-1)</f>
        <v>0</v>
      </c>
      <c r="BC70" s="482">
        <f ca="1">ROUND(Grunddaten!CD45*((Grunddaten!$S45-Grunddaten!$Q45)/100*$G70+$E70),-1)</f>
        <v>0</v>
      </c>
      <c r="BD70" s="482">
        <f ca="1">ROUND(Grunddaten!CE45*((Grunddaten!$S45-Grunddaten!$Q45)/100*$G70+$E70),-1)</f>
        <v>0</v>
      </c>
      <c r="BE70" s="482">
        <f ca="1">ROUND(Grunddaten!CF45*((Grunddaten!$S45-Grunddaten!$Q45)/100*$G70+$E70),-1)</f>
        <v>0</v>
      </c>
      <c r="BF70" s="482">
        <f ca="1">ROUND(Grunddaten!CG45*((Grunddaten!$S45-Grunddaten!$Q45)/100*$G70+$E70),-1)</f>
        <v>0</v>
      </c>
      <c r="BG70" s="482">
        <f ca="1">ROUND(Grunddaten!CH45*((Grunddaten!$S45-Grunddaten!$Q45)/100*$G70+$E70),-1)</f>
        <v>0</v>
      </c>
      <c r="BH70" s="482">
        <f ca="1">ROUND(Grunddaten!CI45*((Grunddaten!$S45-Grunddaten!$Q45)/100*$G70+$E70),-1)</f>
        <v>0</v>
      </c>
      <c r="BI70" s="482">
        <f ca="1">ROUND(Grunddaten!CJ45*((Grunddaten!$S45-Grunddaten!$Q45)/100*$G70+$E70),-1)</f>
        <v>0</v>
      </c>
      <c r="BJ70" s="482">
        <f ca="1">ROUND(Grunddaten!CK45*((Grunddaten!$S45-Grunddaten!$Q45)/100*$G70+$E70),-1)</f>
        <v>0</v>
      </c>
      <c r="BK70" s="482">
        <f ca="1">ROUND(Grunddaten!CL45*((Grunddaten!$S45-Grunddaten!$Q45)/100*$G70+$E70),-1)</f>
        <v>0</v>
      </c>
      <c r="BL70" s="482">
        <f ca="1">ROUND(Grunddaten!CM45*((Grunddaten!$S45-Grunddaten!$Q45)/100*$G70+$E70),-1)</f>
        <v>0</v>
      </c>
      <c r="BM70" s="482">
        <f ca="1">ROUND(Grunddaten!CN45*((Grunddaten!$S45-Grunddaten!$Q45)/100*$G70+$E70),-1)</f>
        <v>0</v>
      </c>
      <c r="BN70" s="482">
        <f ca="1">ROUND(Grunddaten!CO45*((Grunddaten!$S45-Grunddaten!$Q45)/100*$G70+$E70),-1)</f>
        <v>0</v>
      </c>
      <c r="BO70" s="482">
        <f ca="1">ROUND(Grunddaten!CP45*((Grunddaten!$S45-Grunddaten!$Q45)/100*$G70+$E70),-1)</f>
        <v>0</v>
      </c>
      <c r="BP70" s="482">
        <f ca="1">ROUND(Grunddaten!CQ45*((Grunddaten!$S45-Grunddaten!$Q45)/100*$G70+$E70),-1)</f>
        <v>0</v>
      </c>
      <c r="BQ70" s="483">
        <f ca="1">ROUND(Grunddaten!CR45*((Grunddaten!$S45-Grunddaten!$Q45)/100*$G70+$E70),-1)</f>
        <v>0</v>
      </c>
    </row>
    <row r="71" spans="1:69" s="88" customFormat="1" ht="11.25" customHeight="1" x14ac:dyDescent="0.2">
      <c r="A71" s="513" t="str">
        <f>Grunddaten!C46</f>
        <v>Holzschnitzel</v>
      </c>
      <c r="B71" s="1377"/>
      <c r="C71" s="2468"/>
      <c r="D71" s="2469"/>
      <c r="E71" s="2459"/>
      <c r="F71" s="2460"/>
      <c r="G71" s="2456">
        <f ca="1">SUMIF(EV_Var1!$A$10:$B$73,$A71,EV_Var1!$E$10:$E$73)</f>
        <v>0</v>
      </c>
      <c r="H71" s="2457"/>
      <c r="I71" s="2458"/>
      <c r="J71" s="2479">
        <f>Grunddaten!S46-(1-$R$109)*Grunddaten!Q46</f>
        <v>4.5999999999999996</v>
      </c>
      <c r="K71" s="2480"/>
      <c r="L71" s="2645">
        <f t="shared" ca="1" si="4"/>
        <v>0</v>
      </c>
      <c r="M71" s="2646"/>
      <c r="N71" s="2647"/>
      <c r="P71" s="1069"/>
      <c r="Q71" s="1069"/>
      <c r="S71" s="479">
        <f ca="1">ROUND(Grunddaten!AT46*((Grunddaten!$S46-Grunddaten!$Q46)/100*$G71+$E71),-1)</f>
        <v>0</v>
      </c>
      <c r="T71" s="480">
        <f ca="1">ROUND(Grunddaten!AU46*((Grunddaten!$S46-Grunddaten!$Q46)/100*$G71+$E71),-1)</f>
        <v>0</v>
      </c>
      <c r="U71" s="480">
        <f ca="1">ROUND(Grunddaten!AV46*((Grunddaten!$S46-Grunddaten!$Q46)/100*$G71+$E71),-1)</f>
        <v>0</v>
      </c>
      <c r="V71" s="480">
        <f ca="1">ROUND(Grunddaten!AW46*((Grunddaten!$S46-Grunddaten!$Q46)/100*$G71+$E71),-1)</f>
        <v>0</v>
      </c>
      <c r="W71" s="480">
        <f ca="1">ROUND(Grunddaten!AX46*((Grunddaten!$S46-Grunddaten!$Q46)/100*$G71+$E71),-1)</f>
        <v>0</v>
      </c>
      <c r="X71" s="480">
        <f ca="1">ROUND(Grunddaten!AY46*((Grunddaten!$S46-Grunddaten!$Q46)/100*$G71+$E71),-1)</f>
        <v>0</v>
      </c>
      <c r="Y71" s="480">
        <f ca="1">ROUND(Grunddaten!AZ46*((Grunddaten!$S46-Grunddaten!$Q46)/100*$G71+$E71),-1)</f>
        <v>0</v>
      </c>
      <c r="Z71" s="480">
        <f ca="1">ROUND(Grunddaten!BA46*((Grunddaten!$S46-Grunddaten!$Q46)/100*$G71+$E71),-1)</f>
        <v>0</v>
      </c>
      <c r="AA71" s="480">
        <f ca="1">ROUND(Grunddaten!BB46*((Grunddaten!$S46-Grunddaten!$Q46)/100*$G71+$E71),-1)</f>
        <v>0</v>
      </c>
      <c r="AB71" s="481">
        <f ca="1">ROUND(Grunddaten!BC46*((Grunddaten!$S46-Grunddaten!$Q46)/100*$G71+$E71),-1)</f>
        <v>0</v>
      </c>
      <c r="AC71" s="481">
        <f ca="1">ROUND(Grunddaten!BD46*((Grunddaten!$S46-Grunddaten!$Q46)/100*$G71+$E71),-1)</f>
        <v>0</v>
      </c>
      <c r="AD71" s="481">
        <f ca="1">ROUND(Grunddaten!BE46*((Grunddaten!$S46-Grunddaten!$Q46)/100*$G71+$E71),-1)</f>
        <v>0</v>
      </c>
      <c r="AE71" s="481">
        <f ca="1">ROUND(Grunddaten!BF46*((Grunddaten!$S46-Grunddaten!$Q46)/100*$G71+$E71),-1)</f>
        <v>0</v>
      </c>
      <c r="AF71" s="481">
        <f ca="1">ROUND(Grunddaten!BG46*((Grunddaten!$S46-Grunddaten!$Q46)/100*$G71+$E71),-1)</f>
        <v>0</v>
      </c>
      <c r="AG71" s="481">
        <f ca="1">ROUND(Grunddaten!BH46*((Grunddaten!$S46-Grunddaten!$Q46)/100*$G71+$E71),-1)</f>
        <v>0</v>
      </c>
      <c r="AH71" s="482">
        <f ca="1">ROUND(Grunddaten!BI46*((Grunddaten!$S46-Grunddaten!$Q46)/100*$G71+$E71),-1)</f>
        <v>0</v>
      </c>
      <c r="AI71" s="482">
        <f ca="1">ROUND(Grunddaten!BJ46*((Grunddaten!$S46-Grunddaten!$Q46)/100*$G71+$E71),-1)</f>
        <v>0</v>
      </c>
      <c r="AJ71" s="482">
        <f ca="1">ROUND(Grunddaten!BK46*((Grunddaten!$S46-Grunddaten!$Q46)/100*$G71+$E71),-1)</f>
        <v>0</v>
      </c>
      <c r="AK71" s="482">
        <f ca="1">ROUND(Grunddaten!BL46*((Grunddaten!$S46-Grunddaten!$Q46)/100*$G71+$E71),-1)</f>
        <v>0</v>
      </c>
      <c r="AL71" s="482">
        <f ca="1">ROUND(Grunddaten!BM46*((Grunddaten!$S46-Grunddaten!$Q46)/100*$G71+$E71),-1)</f>
        <v>0</v>
      </c>
      <c r="AM71" s="482">
        <f ca="1">ROUND(Grunddaten!BN46*((Grunddaten!$S46-Grunddaten!$Q46)/100*$G71+$E71),-1)</f>
        <v>0</v>
      </c>
      <c r="AN71" s="482">
        <f ca="1">ROUND(Grunddaten!BO46*((Grunddaten!$S46-Grunddaten!$Q46)/100*$G71+$E71),-1)</f>
        <v>0</v>
      </c>
      <c r="AO71" s="482">
        <f ca="1">ROUND(Grunddaten!BP46*((Grunddaten!$S46-Grunddaten!$Q46)/100*$G71+$E71),-1)</f>
        <v>0</v>
      </c>
      <c r="AP71" s="482">
        <f ca="1">ROUND(Grunddaten!BQ46*((Grunddaten!$S46-Grunddaten!$Q46)/100*$G71+$E71),-1)</f>
        <v>0</v>
      </c>
      <c r="AQ71" s="482">
        <f ca="1">ROUND(Grunddaten!BR46*((Grunddaten!$S46-Grunddaten!$Q46)/100*$G71+$E71),-1)</f>
        <v>0</v>
      </c>
      <c r="AR71" s="482">
        <f ca="1">ROUND(Grunddaten!BS46*((Grunddaten!$S46-Grunddaten!$Q46)/100*$G71+$E71),-1)</f>
        <v>0</v>
      </c>
      <c r="AS71" s="482">
        <f ca="1">ROUND(Grunddaten!BT46*((Grunddaten!$S46-Grunddaten!$Q46)/100*$G71+$E71),-1)</f>
        <v>0</v>
      </c>
      <c r="AT71" s="482">
        <f ca="1">ROUND(Grunddaten!BU46*((Grunddaten!$S46-Grunddaten!$Q46)/100*$G71+$E71),-1)</f>
        <v>0</v>
      </c>
      <c r="AU71" s="482">
        <f ca="1">ROUND(Grunddaten!BV46*((Grunddaten!$S46-Grunddaten!$Q46)/100*$G71+$E71),-1)</f>
        <v>0</v>
      </c>
      <c r="AV71" s="482">
        <f ca="1">ROUND(Grunddaten!BW46*((Grunddaten!$S46-Grunddaten!$Q46)/100*$G71+$E71),-1)</f>
        <v>0</v>
      </c>
      <c r="AW71" s="482">
        <f ca="1">ROUND(Grunddaten!BX46*((Grunddaten!$S46-Grunddaten!$Q46)/100*$G71+$E71),-1)</f>
        <v>0</v>
      </c>
      <c r="AX71" s="482">
        <f ca="1">ROUND(Grunddaten!BY46*((Grunddaten!$S46-Grunddaten!$Q46)/100*$G71+$E71),-1)</f>
        <v>0</v>
      </c>
      <c r="AY71" s="482">
        <f ca="1">ROUND(Grunddaten!BZ46*((Grunddaten!$S46-Grunddaten!$Q46)/100*$G71+$E71),-1)</f>
        <v>0</v>
      </c>
      <c r="AZ71" s="482">
        <f ca="1">ROUND(Grunddaten!CA46*((Grunddaten!$S46-Grunddaten!$Q46)/100*$G71+$E71),-1)</f>
        <v>0</v>
      </c>
      <c r="BA71" s="482">
        <f ca="1">ROUND(Grunddaten!CB46*((Grunddaten!$S46-Grunddaten!$Q46)/100*$G71+$E71),-1)</f>
        <v>0</v>
      </c>
      <c r="BB71" s="482">
        <f ca="1">ROUND(Grunddaten!CC46*((Grunddaten!$S46-Grunddaten!$Q46)/100*$G71+$E71),-1)</f>
        <v>0</v>
      </c>
      <c r="BC71" s="482">
        <f ca="1">ROUND(Grunddaten!CD46*((Grunddaten!$S46-Grunddaten!$Q46)/100*$G71+$E71),-1)</f>
        <v>0</v>
      </c>
      <c r="BD71" s="482">
        <f ca="1">ROUND(Grunddaten!CE46*((Grunddaten!$S46-Grunddaten!$Q46)/100*$G71+$E71),-1)</f>
        <v>0</v>
      </c>
      <c r="BE71" s="482">
        <f ca="1">ROUND(Grunddaten!CF46*((Grunddaten!$S46-Grunddaten!$Q46)/100*$G71+$E71),-1)</f>
        <v>0</v>
      </c>
      <c r="BF71" s="482">
        <f ca="1">ROUND(Grunddaten!CG46*((Grunddaten!$S46-Grunddaten!$Q46)/100*$G71+$E71),-1)</f>
        <v>0</v>
      </c>
      <c r="BG71" s="482">
        <f ca="1">ROUND(Grunddaten!CH46*((Grunddaten!$S46-Grunddaten!$Q46)/100*$G71+$E71),-1)</f>
        <v>0</v>
      </c>
      <c r="BH71" s="482">
        <f ca="1">ROUND(Grunddaten!CI46*((Grunddaten!$S46-Grunddaten!$Q46)/100*$G71+$E71),-1)</f>
        <v>0</v>
      </c>
      <c r="BI71" s="482">
        <f ca="1">ROUND(Grunddaten!CJ46*((Grunddaten!$S46-Grunddaten!$Q46)/100*$G71+$E71),-1)</f>
        <v>0</v>
      </c>
      <c r="BJ71" s="482">
        <f ca="1">ROUND(Grunddaten!CK46*((Grunddaten!$S46-Grunddaten!$Q46)/100*$G71+$E71),-1)</f>
        <v>0</v>
      </c>
      <c r="BK71" s="482">
        <f ca="1">ROUND(Grunddaten!CL46*((Grunddaten!$S46-Grunddaten!$Q46)/100*$G71+$E71),-1)</f>
        <v>0</v>
      </c>
      <c r="BL71" s="482">
        <f ca="1">ROUND(Grunddaten!CM46*((Grunddaten!$S46-Grunddaten!$Q46)/100*$G71+$E71),-1)</f>
        <v>0</v>
      </c>
      <c r="BM71" s="482">
        <f ca="1">ROUND(Grunddaten!CN46*((Grunddaten!$S46-Grunddaten!$Q46)/100*$G71+$E71),-1)</f>
        <v>0</v>
      </c>
      <c r="BN71" s="482">
        <f ca="1">ROUND(Grunddaten!CO46*((Grunddaten!$S46-Grunddaten!$Q46)/100*$G71+$E71),-1)</f>
        <v>0</v>
      </c>
      <c r="BO71" s="482">
        <f ca="1">ROUND(Grunddaten!CP46*((Grunddaten!$S46-Grunddaten!$Q46)/100*$G71+$E71),-1)</f>
        <v>0</v>
      </c>
      <c r="BP71" s="482">
        <f ca="1">ROUND(Grunddaten!CQ46*((Grunddaten!$S46-Grunddaten!$Q46)/100*$G71+$E71),-1)</f>
        <v>0</v>
      </c>
      <c r="BQ71" s="483">
        <f ca="1">ROUND(Grunddaten!CR46*((Grunddaten!$S46-Grunddaten!$Q46)/100*$G71+$E71),-1)</f>
        <v>0</v>
      </c>
    </row>
    <row r="72" spans="1:69" s="88" customFormat="1" ht="11.25" customHeight="1" x14ac:dyDescent="0.2">
      <c r="A72" s="513" t="str">
        <f>Berechnungen!A30</f>
        <v>Biogas</v>
      </c>
      <c r="B72" s="1377"/>
      <c r="C72" s="2468"/>
      <c r="D72" s="2469"/>
      <c r="E72" s="2459">
        <f xml:space="preserve"> (IF(EV_Var1!$A$19=$A72,EV_Var1!$H$19,0) + IF(EV_Var1!$A$23=$A72,EV_Var1!$H$23,0) + IF(EV_Var1!$A$28=$A72,(EV_Var1!$H$27-EV_Var1!$AF$23),0) + IF(EV_Var1!$A$59=$A72,EV_Var1!$H$59,0)) * VLOOKUP(Projektdaten!G24,Grunddaten!C47:AI48,33,FALSE)</f>
        <v>0</v>
      </c>
      <c r="F72" s="2460"/>
      <c r="G72" s="2456">
        <f ca="1">SUMIF(EV_Var1!$A$10:$B$73,$A72,EV_Var1!$E$10:$E$73)</f>
        <v>0</v>
      </c>
      <c r="H72" s="2457"/>
      <c r="I72" s="2458"/>
      <c r="J72" s="2461">
        <f>VLOOKUP(Projektdaten!G24,Grunddaten!C47:AI48,17,FALSE) - (1-$R$109)*VLOOKUP(Projektdaten!G24,Grunddaten!C47:AI48,15,FALSE)</f>
        <v>14.256000000000002</v>
      </c>
      <c r="K72" s="2462"/>
      <c r="L72" s="2645">
        <f t="shared" ca="1" si="4"/>
        <v>0</v>
      </c>
      <c r="M72" s="2646"/>
      <c r="N72" s="2647"/>
      <c r="P72" s="1069"/>
      <c r="Q72" s="1069"/>
      <c r="S72" s="479">
        <f ca="1">ROUND(Grunddaten!AT47*((Grunddaten!$S47-Grunddaten!$Q47)/100*$G72+$E72),-1)</f>
        <v>0</v>
      </c>
      <c r="T72" s="480">
        <f ca="1">ROUND(Grunddaten!AU47*((Grunddaten!$S47-Grunddaten!$Q47)/100*$G72+$E72),-1)</f>
        <v>0</v>
      </c>
      <c r="U72" s="480">
        <f ca="1">ROUND(Grunddaten!AV47*((Grunddaten!$S47-Grunddaten!$Q47)/100*$G72+$E72),-1)</f>
        <v>0</v>
      </c>
      <c r="V72" s="480">
        <f ca="1">ROUND(Grunddaten!AW47*((Grunddaten!$S47-Grunddaten!$Q47)/100*$G72+$E72),-1)</f>
        <v>0</v>
      </c>
      <c r="W72" s="480">
        <f ca="1">ROUND(Grunddaten!AX47*((Grunddaten!$S47-Grunddaten!$Q47)/100*$G72+$E72),-1)</f>
        <v>0</v>
      </c>
      <c r="X72" s="480">
        <f ca="1">ROUND(Grunddaten!AY47*((Grunddaten!$S47-Grunddaten!$Q47)/100*$G72+$E72),-1)</f>
        <v>0</v>
      </c>
      <c r="Y72" s="480">
        <f ca="1">ROUND(Grunddaten!AZ47*((Grunddaten!$S47-Grunddaten!$Q47)/100*$G72+$E72),-1)</f>
        <v>0</v>
      </c>
      <c r="Z72" s="480">
        <f ca="1">ROUND(Grunddaten!BA47*((Grunddaten!$S47-Grunddaten!$Q47)/100*$G72+$E72),-1)</f>
        <v>0</v>
      </c>
      <c r="AA72" s="480">
        <f ca="1">ROUND(Grunddaten!BB47*((Grunddaten!$S47-Grunddaten!$Q47)/100*$G72+$E72),-1)</f>
        <v>0</v>
      </c>
      <c r="AB72" s="480">
        <f ca="1">ROUND(Grunddaten!BC47*((Grunddaten!$S47-Grunddaten!$Q47)/100*$G72+$E72),-1)</f>
        <v>0</v>
      </c>
      <c r="AC72" s="480">
        <f ca="1">ROUND(Grunddaten!BD47*((Grunddaten!$S47-Grunddaten!$Q47)/100*$G72+$E72),-1)</f>
        <v>0</v>
      </c>
      <c r="AD72" s="480">
        <f ca="1">ROUND(Grunddaten!BE47*((Grunddaten!$S47-Grunddaten!$Q47)/100*$G72+$E72),-1)</f>
        <v>0</v>
      </c>
      <c r="AE72" s="480">
        <f ca="1">ROUND(Grunddaten!BF47*((Grunddaten!$S47-Grunddaten!$Q47)/100*$G72+$E72),-1)</f>
        <v>0</v>
      </c>
      <c r="AF72" s="480">
        <f ca="1">ROUND(Grunddaten!BG47*((Grunddaten!$S47-Grunddaten!$Q47)/100*$G72+$E72),-1)</f>
        <v>0</v>
      </c>
      <c r="AG72" s="480">
        <f ca="1">ROUND(Grunddaten!BH47*((Grunddaten!$S47-Grunddaten!$Q47)/100*$G72+$E72),-1)</f>
        <v>0</v>
      </c>
      <c r="AH72" s="480">
        <f ca="1">ROUND(Grunddaten!BI47*((Grunddaten!$S47-Grunddaten!$Q47)/100*$G72+$E72),-1)</f>
        <v>0</v>
      </c>
      <c r="AI72" s="480">
        <f ca="1">ROUND(Grunddaten!BJ47*((Grunddaten!$S47-Grunddaten!$Q47)/100*$G72+$E72),-1)</f>
        <v>0</v>
      </c>
      <c r="AJ72" s="480">
        <f ca="1">ROUND(Grunddaten!BK47*((Grunddaten!$S47-Grunddaten!$Q47)/100*$G72+$E72),-1)</f>
        <v>0</v>
      </c>
      <c r="AK72" s="480">
        <f ca="1">ROUND(Grunddaten!BL47*((Grunddaten!$S47-Grunddaten!$Q47)/100*$G72+$E72),-1)</f>
        <v>0</v>
      </c>
      <c r="AL72" s="480">
        <f ca="1">ROUND(Grunddaten!BM47*((Grunddaten!$S47-Grunddaten!$Q47)/100*$G72+$E72),-1)</f>
        <v>0</v>
      </c>
      <c r="AM72" s="480">
        <f ca="1">ROUND(Grunddaten!BN47*((Grunddaten!$S47-Grunddaten!$Q47)/100*$G72+$E72),-1)</f>
        <v>0</v>
      </c>
      <c r="AN72" s="480">
        <f ca="1">ROUND(Grunddaten!BO47*((Grunddaten!$S47-Grunddaten!$Q47)/100*$G72+$E72),-1)</f>
        <v>0</v>
      </c>
      <c r="AO72" s="480">
        <f ca="1">ROUND(Grunddaten!BP47*((Grunddaten!$S47-Grunddaten!$Q47)/100*$G72+$E72),-1)</f>
        <v>0</v>
      </c>
      <c r="AP72" s="480">
        <f ca="1">ROUND(Grunddaten!BQ47*((Grunddaten!$S47-Grunddaten!$Q47)/100*$G72+$E72),-1)</f>
        <v>0</v>
      </c>
      <c r="AQ72" s="480">
        <f ca="1">ROUND(Grunddaten!BR47*((Grunddaten!$S47-Grunddaten!$Q47)/100*$G72+$E72),-1)</f>
        <v>0</v>
      </c>
      <c r="AR72" s="480">
        <f ca="1">ROUND(Grunddaten!BS47*((Grunddaten!$S47-Grunddaten!$Q47)/100*$G72+$E72),-1)</f>
        <v>0</v>
      </c>
      <c r="AS72" s="480">
        <f ca="1">ROUND(Grunddaten!BT47*((Grunddaten!$S47-Grunddaten!$Q47)/100*$G72+$E72),-1)</f>
        <v>0</v>
      </c>
      <c r="AT72" s="480">
        <f ca="1">ROUND(Grunddaten!BU47*((Grunddaten!$S47-Grunddaten!$Q47)/100*$G72+$E72),-1)</f>
        <v>0</v>
      </c>
      <c r="AU72" s="480">
        <f ca="1">ROUND(Grunddaten!BV47*((Grunddaten!$S47-Grunddaten!$Q47)/100*$G72+$E72),-1)</f>
        <v>0</v>
      </c>
      <c r="AV72" s="480">
        <f ca="1">ROUND(Grunddaten!BW47*((Grunddaten!$S47-Grunddaten!$Q47)/100*$G72+$E72),-1)</f>
        <v>0</v>
      </c>
      <c r="AW72" s="480">
        <f ca="1">ROUND(Grunddaten!BX47*((Grunddaten!$S47-Grunddaten!$Q47)/100*$G72+$E72),-1)</f>
        <v>0</v>
      </c>
      <c r="AX72" s="480">
        <f ca="1">ROUND(Grunddaten!BY47*((Grunddaten!$S47-Grunddaten!$Q47)/100*$G72+$E72),-1)</f>
        <v>0</v>
      </c>
      <c r="AY72" s="480">
        <f ca="1">ROUND(Grunddaten!BZ47*((Grunddaten!$S47-Grunddaten!$Q47)/100*$G72+$E72),-1)</f>
        <v>0</v>
      </c>
      <c r="AZ72" s="480">
        <f ca="1">ROUND(Grunddaten!CA47*((Grunddaten!$S47-Grunddaten!$Q47)/100*$G72+$E72),-1)</f>
        <v>0</v>
      </c>
      <c r="BA72" s="480">
        <f ca="1">ROUND(Grunddaten!CB47*((Grunddaten!$S47-Grunddaten!$Q47)/100*$G72+$E72),-1)</f>
        <v>0</v>
      </c>
      <c r="BB72" s="480">
        <f ca="1">ROUND(Grunddaten!CC47*((Grunddaten!$S47-Grunddaten!$Q47)/100*$G72+$E72),-1)</f>
        <v>0</v>
      </c>
      <c r="BC72" s="480">
        <f ca="1">ROUND(Grunddaten!CD47*((Grunddaten!$S47-Grunddaten!$Q47)/100*$G72+$E72),-1)</f>
        <v>0</v>
      </c>
      <c r="BD72" s="480">
        <f ca="1">ROUND(Grunddaten!CE47*((Grunddaten!$S47-Grunddaten!$Q47)/100*$G72+$E72),-1)</f>
        <v>0</v>
      </c>
      <c r="BE72" s="480">
        <f ca="1">ROUND(Grunddaten!CF47*((Grunddaten!$S47-Grunddaten!$Q47)/100*$G72+$E72),-1)</f>
        <v>0</v>
      </c>
      <c r="BF72" s="480">
        <f ca="1">ROUND(Grunddaten!CG47*((Grunddaten!$S47-Grunddaten!$Q47)/100*$G72+$E72),-1)</f>
        <v>0</v>
      </c>
      <c r="BG72" s="480">
        <f ca="1">ROUND(Grunddaten!CH47*((Grunddaten!$S47-Grunddaten!$Q47)/100*$G72+$E72),-1)</f>
        <v>0</v>
      </c>
      <c r="BH72" s="480">
        <f ca="1">ROUND(Grunddaten!CI47*((Grunddaten!$S47-Grunddaten!$Q47)/100*$G72+$E72),-1)</f>
        <v>0</v>
      </c>
      <c r="BI72" s="480">
        <f ca="1">ROUND(Grunddaten!CJ47*((Grunddaten!$S47-Grunddaten!$Q47)/100*$G72+$E72),-1)</f>
        <v>0</v>
      </c>
      <c r="BJ72" s="480">
        <f ca="1">ROUND(Grunddaten!CK47*((Grunddaten!$S47-Grunddaten!$Q47)/100*$G72+$E72),-1)</f>
        <v>0</v>
      </c>
      <c r="BK72" s="480">
        <f ca="1">ROUND(Grunddaten!CL47*((Grunddaten!$S47-Grunddaten!$Q47)/100*$G72+$E72),-1)</f>
        <v>0</v>
      </c>
      <c r="BL72" s="480">
        <f ca="1">ROUND(Grunddaten!CM47*((Grunddaten!$S47-Grunddaten!$Q47)/100*$G72+$E72),-1)</f>
        <v>0</v>
      </c>
      <c r="BM72" s="480">
        <f ca="1">ROUND(Grunddaten!CN47*((Grunddaten!$S47-Grunddaten!$Q47)/100*$G72+$E72),-1)</f>
        <v>0</v>
      </c>
      <c r="BN72" s="480">
        <f ca="1">ROUND(Grunddaten!CO47*((Grunddaten!$S47-Grunddaten!$Q47)/100*$G72+$E72),-1)</f>
        <v>0</v>
      </c>
      <c r="BO72" s="480">
        <f ca="1">ROUND(Grunddaten!CP47*((Grunddaten!$S47-Grunddaten!$Q47)/100*$G72+$E72),-1)</f>
        <v>0</v>
      </c>
      <c r="BP72" s="480">
        <f ca="1">ROUND(Grunddaten!CQ47*((Grunddaten!$S47-Grunddaten!$Q47)/100*$G72+$E72),-1)</f>
        <v>0</v>
      </c>
      <c r="BQ72" s="484">
        <f ca="1">ROUND(Grunddaten!CR47*((Grunddaten!$S47-Grunddaten!$Q47)/100*$G72+$E72),-1)</f>
        <v>0</v>
      </c>
    </row>
    <row r="73" spans="1:69" s="88" customFormat="1" ht="11.25" customHeight="1" x14ac:dyDescent="0.2">
      <c r="A73" s="513" t="str">
        <f>Grunddaten!C49</f>
        <v>Erdgas</v>
      </c>
      <c r="B73" s="1377"/>
      <c r="C73" s="2468"/>
      <c r="D73" s="2469"/>
      <c r="E73" s="2459">
        <f xml:space="preserve"> (IF(EV_Var1!$A$19=$A73,EV_Var1!$H$19,0) + IF(EV_Var1!$A$23=$A73,EV_Var1!$H$23,0) + IF(EV_Var1!$A$28=$A73,(EV_Var1!$H$27-EV_Var1!$AF$23),0) + IF(EV_Var1!$A$59=$A73,EV_Var1!$H$59,0)) * Grunddaten!$AI49</f>
        <v>0</v>
      </c>
      <c r="F73" s="2460"/>
      <c r="G73" s="2456">
        <f ca="1">SUMIF(EV_Var1!$A$10:$B$73,$A73,EV_Var1!$E$10:$E$73)</f>
        <v>0</v>
      </c>
      <c r="H73" s="2457"/>
      <c r="I73" s="2458"/>
      <c r="J73" s="2479">
        <f>Grunddaten!S49-(1-$R$109)*Grunddaten!Q49</f>
        <v>6.0696000000000003</v>
      </c>
      <c r="K73" s="2480"/>
      <c r="L73" s="2645">
        <f t="shared" ca="1" si="4"/>
        <v>0</v>
      </c>
      <c r="M73" s="2646"/>
      <c r="N73" s="2647"/>
      <c r="P73" s="1069"/>
      <c r="Q73" s="1069"/>
      <c r="S73" s="479">
        <f ca="1">ROUND(Grunddaten!AT49*((Grunddaten!$S49-Grunddaten!$Q49)/100*$G73+$E73),-1)</f>
        <v>0</v>
      </c>
      <c r="T73" s="480">
        <f ca="1">ROUND(Grunddaten!AU49*((Grunddaten!$S49-Grunddaten!$Q49)/100*$G73+$E73),-1)</f>
        <v>0</v>
      </c>
      <c r="U73" s="480">
        <f ca="1">ROUND(Grunddaten!AV49*((Grunddaten!$S49-Grunddaten!$Q49)/100*$G73+$E73),-1)</f>
        <v>0</v>
      </c>
      <c r="V73" s="480">
        <f ca="1">ROUND(Grunddaten!AW49*((Grunddaten!$S49-Grunddaten!$Q49)/100*$G73+$E73),-1)</f>
        <v>0</v>
      </c>
      <c r="W73" s="480">
        <f ca="1">ROUND(Grunddaten!AX49*((Grunddaten!$S49-Grunddaten!$Q49)/100*$G73+$E73),-1)</f>
        <v>0</v>
      </c>
      <c r="X73" s="480">
        <f ca="1">ROUND(Grunddaten!AY49*((Grunddaten!$S49-Grunddaten!$Q49)/100*$G73+$E73),-1)</f>
        <v>0</v>
      </c>
      <c r="Y73" s="480">
        <f ca="1">ROUND(Grunddaten!AZ49*((Grunddaten!$S49-Grunddaten!$Q49)/100*$G73+$E73),-1)</f>
        <v>0</v>
      </c>
      <c r="Z73" s="480">
        <f ca="1">ROUND(Grunddaten!BA49*((Grunddaten!$S49-Grunddaten!$Q49)/100*$G73+$E73),-1)</f>
        <v>0</v>
      </c>
      <c r="AA73" s="480">
        <f ca="1">ROUND(Grunddaten!BB49*((Grunddaten!$S49-Grunddaten!$Q49)/100*$G73+$E73),-1)</f>
        <v>0</v>
      </c>
      <c r="AB73" s="481">
        <f ca="1">ROUND(Grunddaten!BC49*((Grunddaten!$S49-Grunddaten!$Q49)/100*$G73+$E73),-1)</f>
        <v>0</v>
      </c>
      <c r="AC73" s="481">
        <f ca="1">ROUND(Grunddaten!BD49*((Grunddaten!$S49-Grunddaten!$Q49)/100*$G73+$E73),-1)</f>
        <v>0</v>
      </c>
      <c r="AD73" s="481">
        <f ca="1">ROUND(Grunddaten!BE49*((Grunddaten!$S49-Grunddaten!$Q49)/100*$G73+$E73),-1)</f>
        <v>0</v>
      </c>
      <c r="AE73" s="481">
        <f ca="1">ROUND(Grunddaten!BF49*((Grunddaten!$S49-Grunddaten!$Q49)/100*$G73+$E73),-1)</f>
        <v>0</v>
      </c>
      <c r="AF73" s="481">
        <f ca="1">ROUND(Grunddaten!BG49*((Grunddaten!$S49-Grunddaten!$Q49)/100*$G73+$E73),-1)</f>
        <v>0</v>
      </c>
      <c r="AG73" s="481">
        <f ca="1">ROUND(Grunddaten!BH49*((Grunddaten!$S49-Grunddaten!$Q49)/100*$G73+$E73),-1)</f>
        <v>0</v>
      </c>
      <c r="AH73" s="482">
        <f ca="1">ROUND(Grunddaten!BI49*((Grunddaten!$S49-Grunddaten!$Q49)/100*$G73+$E73),-1)</f>
        <v>0</v>
      </c>
      <c r="AI73" s="482">
        <f ca="1">ROUND(Grunddaten!BJ49*((Grunddaten!$S49-Grunddaten!$Q49)/100*$G73+$E73),-1)</f>
        <v>0</v>
      </c>
      <c r="AJ73" s="482">
        <f ca="1">ROUND(Grunddaten!BK49*((Grunddaten!$S49-Grunddaten!$Q49)/100*$G73+$E73),-1)</f>
        <v>0</v>
      </c>
      <c r="AK73" s="482">
        <f ca="1">ROUND(Grunddaten!BL49*((Grunddaten!$S49-Grunddaten!$Q49)/100*$G73+$E73),-1)</f>
        <v>0</v>
      </c>
      <c r="AL73" s="482">
        <f ca="1">ROUND(Grunddaten!BM49*((Grunddaten!$S49-Grunddaten!$Q49)/100*$G73+$E73),-1)</f>
        <v>0</v>
      </c>
      <c r="AM73" s="482">
        <f ca="1">ROUND(Grunddaten!BN49*((Grunddaten!$S49-Grunddaten!$Q49)/100*$G73+$E73),-1)</f>
        <v>0</v>
      </c>
      <c r="AN73" s="482">
        <f ca="1">ROUND(Grunddaten!BO49*((Grunddaten!$S49-Grunddaten!$Q49)/100*$G73+$E73),-1)</f>
        <v>0</v>
      </c>
      <c r="AO73" s="482">
        <f ca="1">ROUND(Grunddaten!BP49*((Grunddaten!$S49-Grunddaten!$Q49)/100*$G73+$E73),-1)</f>
        <v>0</v>
      </c>
      <c r="AP73" s="482">
        <f ca="1">ROUND(Grunddaten!BQ49*((Grunddaten!$S49-Grunddaten!$Q49)/100*$G73+$E73),-1)</f>
        <v>0</v>
      </c>
      <c r="AQ73" s="482">
        <f ca="1">ROUND(Grunddaten!BR49*((Grunddaten!$S49-Grunddaten!$Q49)/100*$G73+$E73),-1)</f>
        <v>0</v>
      </c>
      <c r="AR73" s="482">
        <f ca="1">ROUND(Grunddaten!BS49*((Grunddaten!$S49-Grunddaten!$Q49)/100*$G73+$E73),-1)</f>
        <v>0</v>
      </c>
      <c r="AS73" s="482">
        <f ca="1">ROUND(Grunddaten!BT49*((Grunddaten!$S49-Grunddaten!$Q49)/100*$G73+$E73),-1)</f>
        <v>0</v>
      </c>
      <c r="AT73" s="482">
        <f ca="1">ROUND(Grunddaten!BU49*((Grunddaten!$S49-Grunddaten!$Q49)/100*$G73+$E73),-1)</f>
        <v>0</v>
      </c>
      <c r="AU73" s="482">
        <f ca="1">ROUND(Grunddaten!BV49*((Grunddaten!$S49-Grunddaten!$Q49)/100*$G73+$E73),-1)</f>
        <v>0</v>
      </c>
      <c r="AV73" s="482">
        <f ca="1">ROUND(Grunddaten!BW49*((Grunddaten!$S49-Grunddaten!$Q49)/100*$G73+$E73),-1)</f>
        <v>0</v>
      </c>
      <c r="AW73" s="482">
        <f ca="1">ROUND(Grunddaten!BX49*((Grunddaten!$S49-Grunddaten!$Q49)/100*$G73+$E73),-1)</f>
        <v>0</v>
      </c>
      <c r="AX73" s="482">
        <f ca="1">ROUND(Grunddaten!BY49*((Grunddaten!$S49-Grunddaten!$Q49)/100*$G73+$E73),-1)</f>
        <v>0</v>
      </c>
      <c r="AY73" s="482">
        <f ca="1">ROUND(Grunddaten!BZ49*((Grunddaten!$S49-Grunddaten!$Q49)/100*$G73+$E73),-1)</f>
        <v>0</v>
      </c>
      <c r="AZ73" s="482">
        <f ca="1">ROUND(Grunddaten!CA49*((Grunddaten!$S49-Grunddaten!$Q49)/100*$G73+$E73),-1)</f>
        <v>0</v>
      </c>
      <c r="BA73" s="482">
        <f ca="1">ROUND(Grunddaten!CB49*((Grunddaten!$S49-Grunddaten!$Q49)/100*$G73+$E73),-1)</f>
        <v>0</v>
      </c>
      <c r="BB73" s="482">
        <f ca="1">ROUND(Grunddaten!CC49*((Grunddaten!$S49-Grunddaten!$Q49)/100*$G73+$E73),-1)</f>
        <v>0</v>
      </c>
      <c r="BC73" s="482">
        <f ca="1">ROUND(Grunddaten!CD49*((Grunddaten!$S49-Grunddaten!$Q49)/100*$G73+$E73),-1)</f>
        <v>0</v>
      </c>
      <c r="BD73" s="482">
        <f ca="1">ROUND(Grunddaten!CE49*((Grunddaten!$S49-Grunddaten!$Q49)/100*$G73+$E73),-1)</f>
        <v>0</v>
      </c>
      <c r="BE73" s="482">
        <f ca="1">ROUND(Grunddaten!CF49*((Grunddaten!$S49-Grunddaten!$Q49)/100*$G73+$E73),-1)</f>
        <v>0</v>
      </c>
      <c r="BF73" s="482">
        <f ca="1">ROUND(Grunddaten!CG49*((Grunddaten!$S49-Grunddaten!$Q49)/100*$G73+$E73),-1)</f>
        <v>0</v>
      </c>
      <c r="BG73" s="482">
        <f ca="1">ROUND(Grunddaten!CH49*((Grunddaten!$S49-Grunddaten!$Q49)/100*$G73+$E73),-1)</f>
        <v>0</v>
      </c>
      <c r="BH73" s="482">
        <f ca="1">ROUND(Grunddaten!CI49*((Grunddaten!$S49-Grunddaten!$Q49)/100*$G73+$E73),-1)</f>
        <v>0</v>
      </c>
      <c r="BI73" s="482">
        <f ca="1">ROUND(Grunddaten!CJ49*((Grunddaten!$S49-Grunddaten!$Q49)/100*$G73+$E73),-1)</f>
        <v>0</v>
      </c>
      <c r="BJ73" s="482">
        <f ca="1">ROUND(Grunddaten!CK49*((Grunddaten!$S49-Grunddaten!$Q49)/100*$G73+$E73),-1)</f>
        <v>0</v>
      </c>
      <c r="BK73" s="482">
        <f ca="1">ROUND(Grunddaten!CL49*((Grunddaten!$S49-Grunddaten!$Q49)/100*$G73+$E73),-1)</f>
        <v>0</v>
      </c>
      <c r="BL73" s="482">
        <f ca="1">ROUND(Grunddaten!CM49*((Grunddaten!$S49-Grunddaten!$Q49)/100*$G73+$E73),-1)</f>
        <v>0</v>
      </c>
      <c r="BM73" s="482">
        <f ca="1">ROUND(Grunddaten!CN49*((Grunddaten!$S49-Grunddaten!$Q49)/100*$G73+$E73),-1)</f>
        <v>0</v>
      </c>
      <c r="BN73" s="482">
        <f ca="1">ROUND(Grunddaten!CO49*((Grunddaten!$S49-Grunddaten!$Q49)/100*$G73+$E73),-1)</f>
        <v>0</v>
      </c>
      <c r="BO73" s="482">
        <f ca="1">ROUND(Grunddaten!CP49*((Grunddaten!$S49-Grunddaten!$Q49)/100*$G73+$E73),-1)</f>
        <v>0</v>
      </c>
      <c r="BP73" s="482">
        <f ca="1">ROUND(Grunddaten!CQ49*((Grunddaten!$S49-Grunddaten!$Q49)/100*$G73+$E73),-1)</f>
        <v>0</v>
      </c>
      <c r="BQ73" s="483">
        <f ca="1">ROUND(Grunddaten!CR49*((Grunddaten!$S49-Grunddaten!$Q49)/100*$G73+$E73),-1)</f>
        <v>0</v>
      </c>
    </row>
    <row r="74" spans="1:69" s="88" customFormat="1" ht="11.25" customHeight="1" x14ac:dyDescent="0.2">
      <c r="A74" s="513" t="str">
        <f>Grunddaten!C50</f>
        <v>Heizöl EL</v>
      </c>
      <c r="B74" s="1377"/>
      <c r="C74" s="2468"/>
      <c r="D74" s="2469"/>
      <c r="E74" s="2459"/>
      <c r="F74" s="2460"/>
      <c r="G74" s="2456">
        <f ca="1">SUMIF(EV_Var1!$A$10:$B$73,$A74,EV_Var1!$E$10:$E$73)</f>
        <v>0</v>
      </c>
      <c r="H74" s="2457"/>
      <c r="I74" s="2458"/>
      <c r="J74" s="2479">
        <f>Grunddaten!S50-(1-$R$109)*Grunddaten!Q50</f>
        <v>7.6100840336134441</v>
      </c>
      <c r="K74" s="2480"/>
      <c r="L74" s="2645">
        <f t="shared" ca="1" si="4"/>
        <v>0</v>
      </c>
      <c r="M74" s="2646"/>
      <c r="N74" s="2647"/>
      <c r="P74" s="1069"/>
      <c r="Q74" s="1069"/>
      <c r="S74" s="479">
        <f ca="1">ROUND(Grunddaten!AT50*((Grunddaten!$S50-Grunddaten!$Q50)/100*$G74+$E74),-1)</f>
        <v>0</v>
      </c>
      <c r="T74" s="480">
        <f ca="1">ROUND(Grunddaten!AU50*((Grunddaten!$S50-Grunddaten!$Q50)/100*$G74+$E74),-1)</f>
        <v>0</v>
      </c>
      <c r="U74" s="480">
        <f ca="1">ROUND(Grunddaten!AV50*((Grunddaten!$S50-Grunddaten!$Q50)/100*$G74+$E74),-1)</f>
        <v>0</v>
      </c>
      <c r="V74" s="480">
        <f ca="1">ROUND(Grunddaten!AW50*((Grunddaten!$S50-Grunddaten!$Q50)/100*$G74+$E74),-1)</f>
        <v>0</v>
      </c>
      <c r="W74" s="480">
        <f ca="1">ROUND(Grunddaten!AX50*((Grunddaten!$S50-Grunddaten!$Q50)/100*$G74+$E74),-1)</f>
        <v>0</v>
      </c>
      <c r="X74" s="480">
        <f ca="1">ROUND(Grunddaten!AY50*((Grunddaten!$S50-Grunddaten!$Q50)/100*$G74+$E74),-1)</f>
        <v>0</v>
      </c>
      <c r="Y74" s="480">
        <f ca="1">ROUND(Grunddaten!AZ50*((Grunddaten!$S50-Grunddaten!$Q50)/100*$G74+$E74),-1)</f>
        <v>0</v>
      </c>
      <c r="Z74" s="480">
        <f ca="1">ROUND(Grunddaten!BA50*((Grunddaten!$S50-Grunddaten!$Q50)/100*$G74+$E74),-1)</f>
        <v>0</v>
      </c>
      <c r="AA74" s="480">
        <f ca="1">ROUND(Grunddaten!BB50*((Grunddaten!$S50-Grunddaten!$Q50)/100*$G74+$E74),-1)</f>
        <v>0</v>
      </c>
      <c r="AB74" s="481">
        <f ca="1">ROUND(Grunddaten!BC50*((Grunddaten!$S50-Grunddaten!$Q50)/100*$G74+$E74),-1)</f>
        <v>0</v>
      </c>
      <c r="AC74" s="481">
        <f ca="1">ROUND(Grunddaten!BD50*((Grunddaten!$S50-Grunddaten!$Q50)/100*$G74+$E74),-1)</f>
        <v>0</v>
      </c>
      <c r="AD74" s="481">
        <f ca="1">ROUND(Grunddaten!BE50*((Grunddaten!$S50-Grunddaten!$Q50)/100*$G74+$E74),-1)</f>
        <v>0</v>
      </c>
      <c r="AE74" s="481">
        <f ca="1">ROUND(Grunddaten!BF50*((Grunddaten!$S50-Grunddaten!$Q50)/100*$G74+$E74),-1)</f>
        <v>0</v>
      </c>
      <c r="AF74" s="481">
        <f ca="1">ROUND(Grunddaten!BG50*((Grunddaten!$S50-Grunddaten!$Q50)/100*$G74+$E74),-1)</f>
        <v>0</v>
      </c>
      <c r="AG74" s="481">
        <f ca="1">ROUND(Grunddaten!BH50*((Grunddaten!$S50-Grunddaten!$Q50)/100*$G74+$E74),-1)</f>
        <v>0</v>
      </c>
      <c r="AH74" s="482">
        <f ca="1">ROUND(Grunddaten!BI50*((Grunddaten!$S50-Grunddaten!$Q50)/100*$G74+$E74),-1)</f>
        <v>0</v>
      </c>
      <c r="AI74" s="482">
        <f ca="1">ROUND(Grunddaten!BJ50*((Grunddaten!$S50-Grunddaten!$Q50)/100*$G74+$E74),-1)</f>
        <v>0</v>
      </c>
      <c r="AJ74" s="482">
        <f ca="1">ROUND(Grunddaten!BK50*((Grunddaten!$S50-Grunddaten!$Q50)/100*$G74+$E74),-1)</f>
        <v>0</v>
      </c>
      <c r="AK74" s="482">
        <f ca="1">ROUND(Grunddaten!BL50*((Grunddaten!$S50-Grunddaten!$Q50)/100*$G74+$E74),-1)</f>
        <v>0</v>
      </c>
      <c r="AL74" s="482">
        <f ca="1">ROUND(Grunddaten!BM50*((Grunddaten!$S50-Grunddaten!$Q50)/100*$G74+$E74),-1)</f>
        <v>0</v>
      </c>
      <c r="AM74" s="482">
        <f ca="1">ROUND(Grunddaten!BN50*((Grunddaten!$S50-Grunddaten!$Q50)/100*$G74+$E74),-1)</f>
        <v>0</v>
      </c>
      <c r="AN74" s="482">
        <f ca="1">ROUND(Grunddaten!BO50*((Grunddaten!$S50-Grunddaten!$Q50)/100*$G74+$E74),-1)</f>
        <v>0</v>
      </c>
      <c r="AO74" s="482">
        <f ca="1">ROUND(Grunddaten!BP50*((Grunddaten!$S50-Grunddaten!$Q50)/100*$G74+$E74),-1)</f>
        <v>0</v>
      </c>
      <c r="AP74" s="482">
        <f ca="1">ROUND(Grunddaten!BQ50*((Grunddaten!$S50-Grunddaten!$Q50)/100*$G74+$E74),-1)</f>
        <v>0</v>
      </c>
      <c r="AQ74" s="482">
        <f ca="1">ROUND(Grunddaten!BR50*((Grunddaten!$S50-Grunddaten!$Q50)/100*$G74+$E74),-1)</f>
        <v>0</v>
      </c>
      <c r="AR74" s="482">
        <f ca="1">ROUND(Grunddaten!BS50*((Grunddaten!$S50-Grunddaten!$Q50)/100*$G74+$E74),-1)</f>
        <v>0</v>
      </c>
      <c r="AS74" s="482">
        <f ca="1">ROUND(Grunddaten!BT50*((Grunddaten!$S50-Grunddaten!$Q50)/100*$G74+$E74),-1)</f>
        <v>0</v>
      </c>
      <c r="AT74" s="482">
        <f ca="1">ROUND(Grunddaten!BU50*((Grunddaten!$S50-Grunddaten!$Q50)/100*$G74+$E74),-1)</f>
        <v>0</v>
      </c>
      <c r="AU74" s="482">
        <f ca="1">ROUND(Grunddaten!BV50*((Grunddaten!$S50-Grunddaten!$Q50)/100*$G74+$E74),-1)</f>
        <v>0</v>
      </c>
      <c r="AV74" s="482">
        <f ca="1">ROUND(Grunddaten!BW50*((Grunddaten!$S50-Grunddaten!$Q50)/100*$G74+$E74),-1)</f>
        <v>0</v>
      </c>
      <c r="AW74" s="482">
        <f ca="1">ROUND(Grunddaten!BX50*((Grunddaten!$S50-Grunddaten!$Q50)/100*$G74+$E74),-1)</f>
        <v>0</v>
      </c>
      <c r="AX74" s="482">
        <f ca="1">ROUND(Grunddaten!BY50*((Grunddaten!$S50-Grunddaten!$Q50)/100*$G74+$E74),-1)</f>
        <v>0</v>
      </c>
      <c r="AY74" s="482">
        <f ca="1">ROUND(Grunddaten!BZ50*((Grunddaten!$S50-Grunddaten!$Q50)/100*$G74+$E74),-1)</f>
        <v>0</v>
      </c>
      <c r="AZ74" s="482">
        <f ca="1">ROUND(Grunddaten!CA50*((Grunddaten!$S50-Grunddaten!$Q50)/100*$G74+$E74),-1)</f>
        <v>0</v>
      </c>
      <c r="BA74" s="482">
        <f ca="1">ROUND(Grunddaten!CB50*((Grunddaten!$S50-Grunddaten!$Q50)/100*$G74+$E74),-1)</f>
        <v>0</v>
      </c>
      <c r="BB74" s="482">
        <f ca="1">ROUND(Grunddaten!CC50*((Grunddaten!$S50-Grunddaten!$Q50)/100*$G74+$E74),-1)</f>
        <v>0</v>
      </c>
      <c r="BC74" s="482">
        <f ca="1">ROUND(Grunddaten!CD50*((Grunddaten!$S50-Grunddaten!$Q50)/100*$G74+$E74),-1)</f>
        <v>0</v>
      </c>
      <c r="BD74" s="482">
        <f ca="1">ROUND(Grunddaten!CE50*((Grunddaten!$S50-Grunddaten!$Q50)/100*$G74+$E74),-1)</f>
        <v>0</v>
      </c>
      <c r="BE74" s="482">
        <f ca="1">ROUND(Grunddaten!CF50*((Grunddaten!$S50-Grunddaten!$Q50)/100*$G74+$E74),-1)</f>
        <v>0</v>
      </c>
      <c r="BF74" s="482">
        <f ca="1">ROUND(Grunddaten!CG50*((Grunddaten!$S50-Grunddaten!$Q50)/100*$G74+$E74),-1)</f>
        <v>0</v>
      </c>
      <c r="BG74" s="482">
        <f ca="1">ROUND(Grunddaten!CH50*((Grunddaten!$S50-Grunddaten!$Q50)/100*$G74+$E74),-1)</f>
        <v>0</v>
      </c>
      <c r="BH74" s="482">
        <f ca="1">ROUND(Grunddaten!CI50*((Grunddaten!$S50-Grunddaten!$Q50)/100*$G74+$E74),-1)</f>
        <v>0</v>
      </c>
      <c r="BI74" s="482">
        <f ca="1">ROUND(Grunddaten!CJ50*((Grunddaten!$S50-Grunddaten!$Q50)/100*$G74+$E74),-1)</f>
        <v>0</v>
      </c>
      <c r="BJ74" s="482">
        <f ca="1">ROUND(Grunddaten!CK50*((Grunddaten!$S50-Grunddaten!$Q50)/100*$G74+$E74),-1)</f>
        <v>0</v>
      </c>
      <c r="BK74" s="482">
        <f ca="1">ROUND(Grunddaten!CL50*((Grunddaten!$S50-Grunddaten!$Q50)/100*$G74+$E74),-1)</f>
        <v>0</v>
      </c>
      <c r="BL74" s="482">
        <f ca="1">ROUND(Grunddaten!CM50*((Grunddaten!$S50-Grunddaten!$Q50)/100*$G74+$E74),-1)</f>
        <v>0</v>
      </c>
      <c r="BM74" s="482">
        <f ca="1">ROUND(Grunddaten!CN50*((Grunddaten!$S50-Grunddaten!$Q50)/100*$G74+$E74),-1)</f>
        <v>0</v>
      </c>
      <c r="BN74" s="482">
        <f ca="1">ROUND(Grunddaten!CO50*((Grunddaten!$S50-Grunddaten!$Q50)/100*$G74+$E74),-1)</f>
        <v>0</v>
      </c>
      <c r="BO74" s="482">
        <f ca="1">ROUND(Grunddaten!CP50*((Grunddaten!$S50-Grunddaten!$Q50)/100*$G74+$E74),-1)</f>
        <v>0</v>
      </c>
      <c r="BP74" s="482">
        <f ca="1">ROUND(Grunddaten!CQ50*((Grunddaten!$S50-Grunddaten!$Q50)/100*$G74+$E74),-1)</f>
        <v>0</v>
      </c>
      <c r="BQ74" s="483">
        <f ca="1">ROUND(Grunddaten!CR50*((Grunddaten!$S50-Grunddaten!$Q50)/100*$G74+$E74),-1)</f>
        <v>0</v>
      </c>
    </row>
    <row r="75" spans="1:69" s="88" customFormat="1" ht="11.25" customHeight="1" x14ac:dyDescent="0.2">
      <c r="A75" s="549" t="str">
        <f>Grunddaten!$C$51</f>
        <v>Brennstoff XY</v>
      </c>
      <c r="B75" s="1389"/>
      <c r="C75" s="2468"/>
      <c r="D75" s="2469"/>
      <c r="E75" s="2459">
        <f xml:space="preserve"> (IF(EV_Var1!$A$19=$A75,EV_Var1!$H$19,0) + IF(EV_Var1!$A$23=$A75,EV_Var1!$H$23,0) + IF(EV_Var1!$A$28=$A75,(EV_Var1!$H$27-EV_Var1!$AF$23),0) + IF(EV_Var1!$A$59=$A75,EV_Var1!$H$59,0)) * Grunddaten!$AI51</f>
        <v>0</v>
      </c>
      <c r="F75" s="2460"/>
      <c r="G75" s="2456">
        <f ca="1">SUMIF(EV_Var1!$A$10:$B$73,$A75,EV_Var1!$E$10:$E$73)</f>
        <v>0</v>
      </c>
      <c r="H75" s="2457"/>
      <c r="I75" s="2458"/>
      <c r="J75" s="2479">
        <f>Grunddaten!S51-(1-$R$109)*Grunddaten!Q51</f>
        <v>0</v>
      </c>
      <c r="K75" s="2480"/>
      <c r="L75" s="2645">
        <f t="shared" ca="1" si="4"/>
        <v>0</v>
      </c>
      <c r="M75" s="2646"/>
      <c r="N75" s="2647"/>
      <c r="P75" s="1069"/>
      <c r="Q75" s="1069"/>
      <c r="S75" s="479">
        <f ca="1">ROUND(Grunddaten!AT51*((Grunddaten!$S51-Grunddaten!$Q51)/100*$G75+$E75),-1)</f>
        <v>0</v>
      </c>
      <c r="T75" s="480">
        <f ca="1">ROUND(Grunddaten!AU51*((Grunddaten!$S51-Grunddaten!$Q51)/100*$G75+$E75),-1)</f>
        <v>0</v>
      </c>
      <c r="U75" s="480">
        <f ca="1">ROUND(Grunddaten!AV51*((Grunddaten!$S51-Grunddaten!$Q51)/100*$G75+$E75),-1)</f>
        <v>0</v>
      </c>
      <c r="V75" s="480">
        <f ca="1">ROUND(Grunddaten!AW51*((Grunddaten!$S51-Grunddaten!$Q51)/100*$G75+$E75),-1)</f>
        <v>0</v>
      </c>
      <c r="W75" s="480">
        <f ca="1">ROUND(Grunddaten!AX51*((Grunddaten!$S51-Grunddaten!$Q51)/100*$G75+$E75),-1)</f>
        <v>0</v>
      </c>
      <c r="X75" s="480">
        <f ca="1">ROUND(Grunddaten!AY51*((Grunddaten!$S51-Grunddaten!$Q51)/100*$G75+$E75),-1)</f>
        <v>0</v>
      </c>
      <c r="Y75" s="480">
        <f ca="1">ROUND(Grunddaten!AZ51*((Grunddaten!$S51-Grunddaten!$Q51)/100*$G75+$E75),-1)</f>
        <v>0</v>
      </c>
      <c r="Z75" s="480">
        <f ca="1">ROUND(Grunddaten!BA51*((Grunddaten!$S51-Grunddaten!$Q51)/100*$G75+$E75),-1)</f>
        <v>0</v>
      </c>
      <c r="AA75" s="480">
        <f ca="1">ROUND(Grunddaten!BB51*((Grunddaten!$S51-Grunddaten!$Q51)/100*$G75+$E75),-1)</f>
        <v>0</v>
      </c>
      <c r="AB75" s="481">
        <f ca="1">ROUND(Grunddaten!BC51*((Grunddaten!$S51-Grunddaten!$Q51)/100*$G75+$E75),-1)</f>
        <v>0</v>
      </c>
      <c r="AC75" s="481">
        <f ca="1">ROUND(Grunddaten!BD51*((Grunddaten!$S51-Grunddaten!$Q51)/100*$G75+$E75),-1)</f>
        <v>0</v>
      </c>
      <c r="AD75" s="481">
        <f ca="1">ROUND(Grunddaten!BE51*((Grunddaten!$S51-Grunddaten!$Q51)/100*$G75+$E75),-1)</f>
        <v>0</v>
      </c>
      <c r="AE75" s="481">
        <f ca="1">ROUND(Grunddaten!BF51*((Grunddaten!$S51-Grunddaten!$Q51)/100*$G75+$E75),-1)</f>
        <v>0</v>
      </c>
      <c r="AF75" s="481">
        <f ca="1">ROUND(Grunddaten!BG51*((Grunddaten!$S51-Grunddaten!$Q51)/100*$G75+$E75),-1)</f>
        <v>0</v>
      </c>
      <c r="AG75" s="481">
        <f ca="1">ROUND(Grunddaten!BH51*((Grunddaten!$S51-Grunddaten!$Q51)/100*$G75+$E75),-1)</f>
        <v>0</v>
      </c>
      <c r="AH75" s="482">
        <f ca="1">ROUND(Grunddaten!BI51*((Grunddaten!$S51-Grunddaten!$Q51)/100*$G75+$E75),-1)</f>
        <v>0</v>
      </c>
      <c r="AI75" s="482">
        <f ca="1">ROUND(Grunddaten!BJ51*((Grunddaten!$S51-Grunddaten!$Q51)/100*$G75+$E75),-1)</f>
        <v>0</v>
      </c>
      <c r="AJ75" s="482">
        <f ca="1">ROUND(Grunddaten!BK51*((Grunddaten!$S51-Grunddaten!$Q51)/100*$G75+$E75),-1)</f>
        <v>0</v>
      </c>
      <c r="AK75" s="482">
        <f ca="1">ROUND(Grunddaten!BL51*((Grunddaten!$S51-Grunddaten!$Q51)/100*$G75+$E75),-1)</f>
        <v>0</v>
      </c>
      <c r="AL75" s="482">
        <f ca="1">ROUND(Grunddaten!BM51*((Grunddaten!$S51-Grunddaten!$Q51)/100*$G75+$E75),-1)</f>
        <v>0</v>
      </c>
      <c r="AM75" s="482">
        <f ca="1">ROUND(Grunddaten!BN51*((Grunddaten!$S51-Grunddaten!$Q51)/100*$G75+$E75),-1)</f>
        <v>0</v>
      </c>
      <c r="AN75" s="482">
        <f ca="1">ROUND(Grunddaten!BO51*((Grunddaten!$S51-Grunddaten!$Q51)/100*$G75+$E75),-1)</f>
        <v>0</v>
      </c>
      <c r="AO75" s="482">
        <f ca="1">ROUND(Grunddaten!BP51*((Grunddaten!$S51-Grunddaten!$Q51)/100*$G75+$E75),-1)</f>
        <v>0</v>
      </c>
      <c r="AP75" s="482">
        <f ca="1">ROUND(Grunddaten!BQ51*((Grunddaten!$S51-Grunddaten!$Q51)/100*$G75+$E75),-1)</f>
        <v>0</v>
      </c>
      <c r="AQ75" s="482">
        <f ca="1">ROUND(Grunddaten!BR51*((Grunddaten!$S51-Grunddaten!$Q51)/100*$G75+$E75),-1)</f>
        <v>0</v>
      </c>
      <c r="AR75" s="482">
        <f ca="1">ROUND(Grunddaten!BS51*((Grunddaten!$S51-Grunddaten!$Q51)/100*$G75+$E75),-1)</f>
        <v>0</v>
      </c>
      <c r="AS75" s="482">
        <f ca="1">ROUND(Grunddaten!BT51*((Grunddaten!$S51-Grunddaten!$Q51)/100*$G75+$E75),-1)</f>
        <v>0</v>
      </c>
      <c r="AT75" s="482">
        <f ca="1">ROUND(Grunddaten!BU51*((Grunddaten!$S51-Grunddaten!$Q51)/100*$G75+$E75),-1)</f>
        <v>0</v>
      </c>
      <c r="AU75" s="482">
        <f ca="1">ROUND(Grunddaten!BV51*((Grunddaten!$S51-Grunddaten!$Q51)/100*$G75+$E75),-1)</f>
        <v>0</v>
      </c>
      <c r="AV75" s="482">
        <f ca="1">ROUND(Grunddaten!BW51*((Grunddaten!$S51-Grunddaten!$Q51)/100*$G75+$E75),-1)</f>
        <v>0</v>
      </c>
      <c r="AW75" s="482">
        <f ca="1">ROUND(Grunddaten!BX51*((Grunddaten!$S51-Grunddaten!$Q51)/100*$G75+$E75),-1)</f>
        <v>0</v>
      </c>
      <c r="AX75" s="482">
        <f ca="1">ROUND(Grunddaten!BY51*((Grunddaten!$S51-Grunddaten!$Q51)/100*$G75+$E75),-1)</f>
        <v>0</v>
      </c>
      <c r="AY75" s="482">
        <f ca="1">ROUND(Grunddaten!BZ51*((Grunddaten!$S51-Grunddaten!$Q51)/100*$G75+$E75),-1)</f>
        <v>0</v>
      </c>
      <c r="AZ75" s="482">
        <f ca="1">ROUND(Grunddaten!CA51*((Grunddaten!$S51-Grunddaten!$Q51)/100*$G75+$E75),-1)</f>
        <v>0</v>
      </c>
      <c r="BA75" s="482">
        <f ca="1">ROUND(Grunddaten!CB51*((Grunddaten!$S51-Grunddaten!$Q51)/100*$G75+$E75),-1)</f>
        <v>0</v>
      </c>
      <c r="BB75" s="482">
        <f ca="1">ROUND(Grunddaten!CC51*((Grunddaten!$S51-Grunddaten!$Q51)/100*$G75+$E75),-1)</f>
        <v>0</v>
      </c>
      <c r="BC75" s="482">
        <f ca="1">ROUND(Grunddaten!CD51*((Grunddaten!$S51-Grunddaten!$Q51)/100*$G75+$E75),-1)</f>
        <v>0</v>
      </c>
      <c r="BD75" s="482">
        <f ca="1">ROUND(Grunddaten!CE51*((Grunddaten!$S51-Grunddaten!$Q51)/100*$G75+$E75),-1)</f>
        <v>0</v>
      </c>
      <c r="BE75" s="482">
        <f ca="1">ROUND(Grunddaten!CF51*((Grunddaten!$S51-Grunddaten!$Q51)/100*$G75+$E75),-1)</f>
        <v>0</v>
      </c>
      <c r="BF75" s="482">
        <f ca="1">ROUND(Grunddaten!CG51*((Grunddaten!$S51-Grunddaten!$Q51)/100*$G75+$E75),-1)</f>
        <v>0</v>
      </c>
      <c r="BG75" s="482">
        <f ca="1">ROUND(Grunddaten!CH51*((Grunddaten!$S51-Grunddaten!$Q51)/100*$G75+$E75),-1)</f>
        <v>0</v>
      </c>
      <c r="BH75" s="482">
        <f ca="1">ROUND(Grunddaten!CI51*((Grunddaten!$S51-Grunddaten!$Q51)/100*$G75+$E75),-1)</f>
        <v>0</v>
      </c>
      <c r="BI75" s="482">
        <f ca="1">ROUND(Grunddaten!CJ51*((Grunddaten!$S51-Grunddaten!$Q51)/100*$G75+$E75),-1)</f>
        <v>0</v>
      </c>
      <c r="BJ75" s="482">
        <f ca="1">ROUND(Grunddaten!CK51*((Grunddaten!$S51-Grunddaten!$Q51)/100*$G75+$E75),-1)</f>
        <v>0</v>
      </c>
      <c r="BK75" s="482">
        <f ca="1">ROUND(Grunddaten!CL51*((Grunddaten!$S51-Grunddaten!$Q51)/100*$G75+$E75),-1)</f>
        <v>0</v>
      </c>
      <c r="BL75" s="482">
        <f ca="1">ROUND(Grunddaten!CM51*((Grunddaten!$S51-Grunddaten!$Q51)/100*$G75+$E75),-1)</f>
        <v>0</v>
      </c>
      <c r="BM75" s="482">
        <f ca="1">ROUND(Grunddaten!CN51*((Grunddaten!$S51-Grunddaten!$Q51)/100*$G75+$E75),-1)</f>
        <v>0</v>
      </c>
      <c r="BN75" s="482">
        <f ca="1">ROUND(Grunddaten!CO51*((Grunddaten!$S51-Grunddaten!$Q51)/100*$G75+$E75),-1)</f>
        <v>0</v>
      </c>
      <c r="BO75" s="482">
        <f ca="1">ROUND(Grunddaten!CP51*((Grunddaten!$S51-Grunddaten!$Q51)/100*$G75+$E75),-1)</f>
        <v>0</v>
      </c>
      <c r="BP75" s="482">
        <f ca="1">ROUND(Grunddaten!CQ51*((Grunddaten!$S51-Grunddaten!$Q51)/100*$G75+$E75),-1)</f>
        <v>0</v>
      </c>
      <c r="BQ75" s="483">
        <f ca="1">ROUND(Grunddaten!CR51*((Grunddaten!$S51-Grunddaten!$Q51)/100*$G75+$E75),-1)</f>
        <v>0</v>
      </c>
    </row>
    <row r="76" spans="1:69" s="88" customFormat="1" ht="11.25" customHeight="1" x14ac:dyDescent="0.2">
      <c r="A76" s="513" t="str">
        <f>Grunddaten!A52</f>
        <v>Fernwärme</v>
      </c>
      <c r="B76" s="1377"/>
      <c r="C76" s="2468"/>
      <c r="D76" s="2469"/>
      <c r="E76" s="2459">
        <f xml:space="preserve"> VLOOKUP(Projektdaten!$G$22,Grunddaten!$C$52:$AI$54,33,FALSE) * IF(Grunddaten!$AM$55=Grunddaten!$AK$54,SQRT(EV_Var1!$AF$30/1000)*1000,EV_Var1!$AF$30)</f>
        <v>0</v>
      </c>
      <c r="F76" s="2460"/>
      <c r="G76" s="2456">
        <f ca="1">SUMIF(EV_Var1!$A$10:$B$73,$A76,EV_Var1!$E$10:$E$73)</f>
        <v>0</v>
      </c>
      <c r="H76" s="2457"/>
      <c r="I76" s="2458"/>
      <c r="J76" s="2461">
        <f ca="1">OFFSET(Grunddaten!$S$52,FW_Produkt,0)-(1-R109)*OFFSET(Grunddaten!$Q$52,FW_Produkt,0)</f>
        <v>8.0487999999999982</v>
      </c>
      <c r="K76" s="2462"/>
      <c r="L76" s="2645">
        <f ca="1">ROUND(E76+G76*J76/100,-1)</f>
        <v>0</v>
      </c>
      <c r="M76" s="2646"/>
      <c r="N76" s="2647"/>
      <c r="P76" s="1069"/>
      <c r="Q76" s="1069"/>
      <c r="S76" s="479">
        <f ca="1">ROUND(OFFSET(Grunddaten!AT52,FW_Produkt,0)*((OFFSET(Grunddaten!$S52,FW_Produkt,0)-OFFSET(Grunddaten!$Q52,FW_Produkt,0))/100*$G76+$E76),-1)</f>
        <v>0</v>
      </c>
      <c r="T76" s="480">
        <f ca="1">ROUND(OFFSET(Grunddaten!AU52,FW_Produkt,0)*((OFFSET(Grunddaten!$S52,FW_Produkt,0)-OFFSET(Grunddaten!$Q52,FW_Produkt,0))/100*$G76+$E76),-1)</f>
        <v>0</v>
      </c>
      <c r="U76" s="480">
        <f ca="1">ROUND(OFFSET(Grunddaten!AV52,FW_Produkt,0)*((OFFSET(Grunddaten!$S52,FW_Produkt,0)-OFFSET(Grunddaten!$Q52,FW_Produkt,0))/100*$G76+$E76),-1)</f>
        <v>0</v>
      </c>
      <c r="V76" s="480">
        <f ca="1">ROUND(OFFSET(Grunddaten!AW52,FW_Produkt,0)*((OFFSET(Grunddaten!$S52,FW_Produkt,0)-OFFSET(Grunddaten!$Q52,FW_Produkt,0))/100*$G76+$E76),-1)</f>
        <v>0</v>
      </c>
      <c r="W76" s="480">
        <f ca="1">ROUND(OFFSET(Grunddaten!AX52,FW_Produkt,0)*((OFFSET(Grunddaten!$S52,FW_Produkt,0)-OFFSET(Grunddaten!$Q52,FW_Produkt,0))/100*$G76+$E76),-1)</f>
        <v>0</v>
      </c>
      <c r="X76" s="480">
        <f ca="1">ROUND(OFFSET(Grunddaten!AY52,FW_Produkt,0)*((OFFSET(Grunddaten!$S52,FW_Produkt,0)-OFFSET(Grunddaten!$Q52,FW_Produkt,0))/100*$G76+$E76),-1)</f>
        <v>0</v>
      </c>
      <c r="Y76" s="480">
        <f ca="1">ROUND(OFFSET(Grunddaten!AZ52,FW_Produkt,0)*((OFFSET(Grunddaten!$S52,FW_Produkt,0)-OFFSET(Grunddaten!$Q52,FW_Produkt,0))/100*$G76+$E76),-1)</f>
        <v>0</v>
      </c>
      <c r="Z76" s="480">
        <f ca="1">ROUND(OFFSET(Grunddaten!BA52,FW_Produkt,0)*((OFFSET(Grunddaten!$S52,FW_Produkt,0)-OFFSET(Grunddaten!$Q52,FW_Produkt,0))/100*$G76+$E76),-1)</f>
        <v>0</v>
      </c>
      <c r="AA76" s="480">
        <f ca="1">ROUND(OFFSET(Grunddaten!BB52,FW_Produkt,0)*((OFFSET(Grunddaten!$S52,FW_Produkt,0)-OFFSET(Grunddaten!$Q52,FW_Produkt,0))/100*$G76+$E76),-1)</f>
        <v>0</v>
      </c>
      <c r="AB76" s="480">
        <f ca="1">ROUND(OFFSET(Grunddaten!BC52,FW_Produkt,0)*((OFFSET(Grunddaten!$S52,FW_Produkt,0)-OFFSET(Grunddaten!$Q52,FW_Produkt,0))/100*$G76+$E76),-1)</f>
        <v>0</v>
      </c>
      <c r="AC76" s="480">
        <f ca="1">ROUND(OFFSET(Grunddaten!BD52,FW_Produkt,0)*((OFFSET(Grunddaten!$S52,FW_Produkt,0)-OFFSET(Grunddaten!$Q52,FW_Produkt,0))/100*$G76+$E76),-1)</f>
        <v>0</v>
      </c>
      <c r="AD76" s="480">
        <f ca="1">ROUND(OFFSET(Grunddaten!BE52,FW_Produkt,0)*((OFFSET(Grunddaten!$S52,FW_Produkt,0)-OFFSET(Grunddaten!$Q52,FW_Produkt,0))/100*$G76+$E76),-1)</f>
        <v>0</v>
      </c>
      <c r="AE76" s="480">
        <f ca="1">ROUND(OFFSET(Grunddaten!BF52,FW_Produkt,0)*((OFFSET(Grunddaten!$S52,FW_Produkt,0)-OFFSET(Grunddaten!$Q52,FW_Produkt,0))/100*$G76+$E76),-1)</f>
        <v>0</v>
      </c>
      <c r="AF76" s="480">
        <f ca="1">ROUND(OFFSET(Grunddaten!BG52,FW_Produkt,0)*((OFFSET(Grunddaten!$S52,FW_Produkt,0)-OFFSET(Grunddaten!$Q52,FW_Produkt,0))/100*$G76+$E76),-1)</f>
        <v>0</v>
      </c>
      <c r="AG76" s="480">
        <f ca="1">ROUND(OFFSET(Grunddaten!BH52,FW_Produkt,0)*((OFFSET(Grunddaten!$S52,FW_Produkt,0)-OFFSET(Grunddaten!$Q52,FW_Produkt,0))/100*$G76+$E76),-1)</f>
        <v>0</v>
      </c>
      <c r="AH76" s="480">
        <f ca="1">ROUND(OFFSET(Grunddaten!BI52,FW_Produkt,0)*((OFFSET(Grunddaten!$S52,FW_Produkt,0)-OFFSET(Grunddaten!$Q52,FW_Produkt,0))/100*$G76+$E76),-1)</f>
        <v>0</v>
      </c>
      <c r="AI76" s="480">
        <f ca="1">ROUND(OFFSET(Grunddaten!BJ52,FW_Produkt,0)*((OFFSET(Grunddaten!$S52,FW_Produkt,0)-OFFSET(Grunddaten!$Q52,FW_Produkt,0))/100*$G76+$E76),-1)</f>
        <v>0</v>
      </c>
      <c r="AJ76" s="480">
        <f ca="1">ROUND(OFFSET(Grunddaten!BK52,FW_Produkt,0)*((OFFSET(Grunddaten!$S52,FW_Produkt,0)-OFFSET(Grunddaten!$Q52,FW_Produkt,0))/100*$G76+$E76),-1)</f>
        <v>0</v>
      </c>
      <c r="AK76" s="480">
        <f ca="1">ROUND(OFFSET(Grunddaten!BL52,FW_Produkt,0)*((OFFSET(Grunddaten!$S52,FW_Produkt,0)-OFFSET(Grunddaten!$Q52,FW_Produkt,0))/100*$G76+$E76),-1)</f>
        <v>0</v>
      </c>
      <c r="AL76" s="480">
        <f ca="1">ROUND(OFFSET(Grunddaten!BM52,FW_Produkt,0)*((OFFSET(Grunddaten!$S52,FW_Produkt,0)-OFFSET(Grunddaten!$Q52,FW_Produkt,0))/100*$G76+$E76),-1)</f>
        <v>0</v>
      </c>
      <c r="AM76" s="480">
        <f ca="1">ROUND(OFFSET(Grunddaten!BN52,FW_Produkt,0)*((OFFSET(Grunddaten!$S52,FW_Produkt,0)-OFFSET(Grunddaten!$Q52,FW_Produkt,0))/100*$G76+$E76),-1)</f>
        <v>0</v>
      </c>
      <c r="AN76" s="480">
        <f ca="1">ROUND(OFFSET(Grunddaten!BO52,FW_Produkt,0)*((OFFSET(Grunddaten!$S52,FW_Produkt,0)-OFFSET(Grunddaten!$Q52,FW_Produkt,0))/100*$G76+$E76),-1)</f>
        <v>0</v>
      </c>
      <c r="AO76" s="480">
        <f ca="1">ROUND(OFFSET(Grunddaten!BP52,FW_Produkt,0)*((OFFSET(Grunddaten!$S52,FW_Produkt,0)-OFFSET(Grunddaten!$Q52,FW_Produkt,0))/100*$G76+$E76),-1)</f>
        <v>0</v>
      </c>
      <c r="AP76" s="480">
        <f ca="1">ROUND(OFFSET(Grunddaten!BQ52,FW_Produkt,0)*((OFFSET(Grunddaten!$S52,FW_Produkt,0)-OFFSET(Grunddaten!$Q52,FW_Produkt,0))/100*$G76+$E76),-1)</f>
        <v>0</v>
      </c>
      <c r="AQ76" s="480">
        <f ca="1">ROUND(OFFSET(Grunddaten!BR52,FW_Produkt,0)*((OFFSET(Grunddaten!$S52,FW_Produkt,0)-OFFSET(Grunddaten!$Q52,FW_Produkt,0))/100*$G76+$E76),-1)</f>
        <v>0</v>
      </c>
      <c r="AR76" s="480">
        <f ca="1">ROUND(OFFSET(Grunddaten!BS52,FW_Produkt,0)*((OFFSET(Grunddaten!$S52,FW_Produkt,0)-OFFSET(Grunddaten!$Q52,FW_Produkt,0))/100*$G76+$E76),-1)</f>
        <v>0</v>
      </c>
      <c r="AS76" s="480">
        <f ca="1">ROUND(OFFSET(Grunddaten!BT52,FW_Produkt,0)*((OFFSET(Grunddaten!$S52,FW_Produkt,0)-OFFSET(Grunddaten!$Q52,FW_Produkt,0))/100*$G76+$E76),-1)</f>
        <v>0</v>
      </c>
      <c r="AT76" s="480">
        <f ca="1">ROUND(OFFSET(Grunddaten!BU52,FW_Produkt,0)*((OFFSET(Grunddaten!$S52,FW_Produkt,0)-OFFSET(Grunddaten!$Q52,FW_Produkt,0))/100*$G76+$E76),-1)</f>
        <v>0</v>
      </c>
      <c r="AU76" s="480">
        <f ca="1">ROUND(OFFSET(Grunddaten!BV52,FW_Produkt,0)*((OFFSET(Grunddaten!$S52,FW_Produkt,0)-OFFSET(Grunddaten!$Q52,FW_Produkt,0))/100*$G76+$E76),-1)</f>
        <v>0</v>
      </c>
      <c r="AV76" s="480">
        <f ca="1">ROUND(OFFSET(Grunddaten!BW52,FW_Produkt,0)*((OFFSET(Grunddaten!$S52,FW_Produkt,0)-OFFSET(Grunddaten!$Q52,FW_Produkt,0))/100*$G76+$E76),-1)</f>
        <v>0</v>
      </c>
      <c r="AW76" s="480">
        <f ca="1">ROUND(OFFSET(Grunddaten!BX52,FW_Produkt,0)*((OFFSET(Grunddaten!$S52,FW_Produkt,0)-OFFSET(Grunddaten!$Q52,FW_Produkt,0))/100*$G76+$E76),-1)</f>
        <v>0</v>
      </c>
      <c r="AX76" s="480">
        <f ca="1">ROUND(OFFSET(Grunddaten!BY52,FW_Produkt,0)*((OFFSET(Grunddaten!$S52,FW_Produkt,0)-OFFSET(Grunddaten!$Q52,FW_Produkt,0))/100*$G76+$E76),-1)</f>
        <v>0</v>
      </c>
      <c r="AY76" s="480">
        <f ca="1">ROUND(OFFSET(Grunddaten!BZ52,FW_Produkt,0)*((OFFSET(Grunddaten!$S52,FW_Produkt,0)-OFFSET(Grunddaten!$Q52,FW_Produkt,0))/100*$G76+$E76),-1)</f>
        <v>0</v>
      </c>
      <c r="AZ76" s="480">
        <f ca="1">ROUND(OFFSET(Grunddaten!CA52,FW_Produkt,0)*((OFFSET(Grunddaten!$S52,FW_Produkt,0)-OFFSET(Grunddaten!$Q52,FW_Produkt,0))/100*$G76+$E76),-1)</f>
        <v>0</v>
      </c>
      <c r="BA76" s="480">
        <f ca="1">ROUND(OFFSET(Grunddaten!CB52,FW_Produkt,0)*((OFFSET(Grunddaten!$S52,FW_Produkt,0)-OFFSET(Grunddaten!$Q52,FW_Produkt,0))/100*$G76+$E76),-1)</f>
        <v>0</v>
      </c>
      <c r="BB76" s="480">
        <f ca="1">ROUND(OFFSET(Grunddaten!CC52,FW_Produkt,0)*((OFFSET(Grunddaten!$S52,FW_Produkt,0)-OFFSET(Grunddaten!$Q52,FW_Produkt,0))/100*$G76+$E76),-1)</f>
        <v>0</v>
      </c>
      <c r="BC76" s="480">
        <f ca="1">ROUND(OFFSET(Grunddaten!CD52,FW_Produkt,0)*((OFFSET(Grunddaten!$S52,FW_Produkt,0)-OFFSET(Grunddaten!$Q52,FW_Produkt,0))/100*$G76+$E76),-1)</f>
        <v>0</v>
      </c>
      <c r="BD76" s="480">
        <f ca="1">ROUND(OFFSET(Grunddaten!CE52,FW_Produkt,0)*((OFFSET(Grunddaten!$S52,FW_Produkt,0)-OFFSET(Grunddaten!$Q52,FW_Produkt,0))/100*$G76+$E76),-1)</f>
        <v>0</v>
      </c>
      <c r="BE76" s="480">
        <f ca="1">ROUND(OFFSET(Grunddaten!CF52,FW_Produkt,0)*((OFFSET(Grunddaten!$S52,FW_Produkt,0)-OFFSET(Grunddaten!$Q52,FW_Produkt,0))/100*$G76+$E76),-1)</f>
        <v>0</v>
      </c>
      <c r="BF76" s="480">
        <f ca="1">ROUND(OFFSET(Grunddaten!CG52,FW_Produkt,0)*((OFFSET(Grunddaten!$S52,FW_Produkt,0)-OFFSET(Grunddaten!$Q52,FW_Produkt,0))/100*$G76+$E76),-1)</f>
        <v>0</v>
      </c>
      <c r="BG76" s="480">
        <f ca="1">ROUND(OFFSET(Grunddaten!CH52,FW_Produkt,0)*((OFFSET(Grunddaten!$S52,FW_Produkt,0)-OFFSET(Grunddaten!$Q52,FW_Produkt,0))/100*$G76+$E76),-1)</f>
        <v>0</v>
      </c>
      <c r="BH76" s="480">
        <f ca="1">ROUND(OFFSET(Grunddaten!CI52,FW_Produkt,0)*((OFFSET(Grunddaten!$S52,FW_Produkt,0)-OFFSET(Grunddaten!$Q52,FW_Produkt,0))/100*$G76+$E76),-1)</f>
        <v>0</v>
      </c>
      <c r="BI76" s="480">
        <f ca="1">ROUND(OFFSET(Grunddaten!CJ52,FW_Produkt,0)*((OFFSET(Grunddaten!$S52,FW_Produkt,0)-OFFSET(Grunddaten!$Q52,FW_Produkt,0))/100*$G76+$E76),-1)</f>
        <v>0</v>
      </c>
      <c r="BJ76" s="480">
        <f ca="1">ROUND(OFFSET(Grunddaten!CK52,FW_Produkt,0)*((OFFSET(Grunddaten!$S52,FW_Produkt,0)-OFFSET(Grunddaten!$Q52,FW_Produkt,0))/100*$G76+$E76),-1)</f>
        <v>0</v>
      </c>
      <c r="BK76" s="480">
        <f ca="1">ROUND(OFFSET(Grunddaten!CL52,FW_Produkt,0)*((OFFSET(Grunddaten!$S52,FW_Produkt,0)-OFFSET(Grunddaten!$Q52,FW_Produkt,0))/100*$G76+$E76),-1)</f>
        <v>0</v>
      </c>
      <c r="BL76" s="480">
        <f ca="1">ROUND(OFFSET(Grunddaten!CM52,FW_Produkt,0)*((OFFSET(Grunddaten!$S52,FW_Produkt,0)-OFFSET(Grunddaten!$Q52,FW_Produkt,0))/100*$G76+$E76),-1)</f>
        <v>0</v>
      </c>
      <c r="BM76" s="480">
        <f ca="1">ROUND(OFFSET(Grunddaten!CN52,FW_Produkt,0)*((OFFSET(Grunddaten!$S52,FW_Produkt,0)-OFFSET(Grunddaten!$Q52,FW_Produkt,0))/100*$G76+$E76),-1)</f>
        <v>0</v>
      </c>
      <c r="BN76" s="480">
        <f ca="1">ROUND(OFFSET(Grunddaten!CO52,FW_Produkt,0)*((OFFSET(Grunddaten!$S52,FW_Produkt,0)-OFFSET(Grunddaten!$Q52,FW_Produkt,0))/100*$G76+$E76),-1)</f>
        <v>0</v>
      </c>
      <c r="BO76" s="480">
        <f ca="1">ROUND(OFFSET(Grunddaten!CP52,FW_Produkt,0)*((OFFSET(Grunddaten!$S52,FW_Produkt,0)-OFFSET(Grunddaten!$Q52,FW_Produkt,0))/100*$G76+$E76),-1)</f>
        <v>0</v>
      </c>
      <c r="BP76" s="480">
        <f ca="1">ROUND(OFFSET(Grunddaten!CQ52,FW_Produkt,0)*((OFFSET(Grunddaten!$S52,FW_Produkt,0)-OFFSET(Grunddaten!$Q52,FW_Produkt,0))/100*$G76+$E76),-1)</f>
        <v>0</v>
      </c>
      <c r="BQ76" s="484">
        <f ca="1">ROUND(OFFSET(Grunddaten!CR52,FW_Produkt,0)*((OFFSET(Grunddaten!$S52,FW_Produkt,0)-OFFSET(Grunddaten!$Q52,FW_Produkt,0))/100*$G76+$E76),-1)</f>
        <v>0</v>
      </c>
    </row>
    <row r="77" spans="1:69" s="88" customFormat="1" ht="11.25" customHeight="1" x14ac:dyDescent="0.2">
      <c r="A77" s="1751" t="str">
        <f>Grunddaten!$C$55</f>
        <v>Wärmeverbund XY</v>
      </c>
      <c r="B77" s="1752"/>
      <c r="C77" s="2738"/>
      <c r="D77" s="2739"/>
      <c r="E77" s="2459">
        <f xml:space="preserve"> ( EV_Var1!I12 + IF(EV_Var1!$A$26=$A77,EV_Var1!$AF$23,0) + IF(EV_Var1!$A$31=$A77,EV_Var1!$AF$24,0) + IF(EV_Var1!$A$35=$A77,EV_Var1!$AF$25) ) * Grunddaten!$AI$55</f>
        <v>0</v>
      </c>
      <c r="F77" s="2460"/>
      <c r="G77" s="2456">
        <f ca="1">SUMIF(EV_Var1!$A$10:$B$73,$A77,EV_Var1!$E$10:$E$73)</f>
        <v>0</v>
      </c>
      <c r="H77" s="2457"/>
      <c r="I77" s="2458"/>
      <c r="J77" s="2479">
        <f>Grunddaten!S55-(1-$R$109)*Grunddaten!Q55</f>
        <v>0</v>
      </c>
      <c r="K77" s="2480"/>
      <c r="L77" s="2525">
        <f t="shared" ref="L77" ca="1" si="6">ROUND(E77+G77*J77/100,-1)</f>
        <v>0</v>
      </c>
      <c r="M77" s="2526"/>
      <c r="N77" s="2527"/>
      <c r="P77" s="1709"/>
      <c r="Q77" s="1709"/>
      <c r="S77" s="427">
        <f ca="1">ROUND(Grunddaten!AT55*((Grunddaten!$S55-Grunddaten!$Q55)/100*$G77+$E77),-1)</f>
        <v>0</v>
      </c>
      <c r="T77" s="428">
        <f ca="1">ROUND(Grunddaten!AU55*((Grunddaten!$S55-Grunddaten!$Q55)/100*$G77+$E77),-1)</f>
        <v>0</v>
      </c>
      <c r="U77" s="428">
        <f ca="1">ROUND(Grunddaten!AV55*((Grunddaten!$S55-Grunddaten!$Q55)/100*$G77+$E77),-1)</f>
        <v>0</v>
      </c>
      <c r="V77" s="428">
        <f ca="1">ROUND(Grunddaten!AW55*((Grunddaten!$S55-Grunddaten!$Q55)/100*$G77+$E77),-1)</f>
        <v>0</v>
      </c>
      <c r="W77" s="428">
        <f ca="1">ROUND(Grunddaten!AX55*((Grunddaten!$S55-Grunddaten!$Q55)/100*$G77+$E77),-1)</f>
        <v>0</v>
      </c>
      <c r="X77" s="428">
        <f ca="1">ROUND(Grunddaten!AY55*((Grunddaten!$S55-Grunddaten!$Q55)/100*$G77+$E77),-1)</f>
        <v>0</v>
      </c>
      <c r="Y77" s="428">
        <f ca="1">ROUND(Grunddaten!AZ55*((Grunddaten!$S55-Grunddaten!$Q55)/100*$G77+$E77),-1)</f>
        <v>0</v>
      </c>
      <c r="Z77" s="428">
        <f ca="1">ROUND(Grunddaten!BA55*((Grunddaten!$S55-Grunddaten!$Q55)/100*$G77+$E77),-1)</f>
        <v>0</v>
      </c>
      <c r="AA77" s="428">
        <f ca="1">ROUND(Grunddaten!BB55*((Grunddaten!$S55-Grunddaten!$Q55)/100*$G77+$E77),-1)</f>
        <v>0</v>
      </c>
      <c r="AB77" s="428">
        <f ca="1">ROUND(Grunddaten!BC55*((Grunddaten!$S55-Grunddaten!$Q55)/100*$G77+$E77),-1)</f>
        <v>0</v>
      </c>
      <c r="AC77" s="428">
        <f ca="1">ROUND(Grunddaten!BD55*((Grunddaten!$S55-Grunddaten!$Q55)/100*$G77+$E77),-1)</f>
        <v>0</v>
      </c>
      <c r="AD77" s="428">
        <f ca="1">ROUND(Grunddaten!BE55*((Grunddaten!$S55-Grunddaten!$Q55)/100*$G77+$E77),-1)</f>
        <v>0</v>
      </c>
      <c r="AE77" s="428">
        <f ca="1">ROUND(Grunddaten!BF55*((Grunddaten!$S55-Grunddaten!$Q55)/100*$G77+$E77),-1)</f>
        <v>0</v>
      </c>
      <c r="AF77" s="428">
        <f ca="1">ROUND(Grunddaten!BG55*((Grunddaten!$S55-Grunddaten!$Q55)/100*$G77+$E77),-1)</f>
        <v>0</v>
      </c>
      <c r="AG77" s="428">
        <f ca="1">ROUND(Grunddaten!BH55*((Grunddaten!$S55-Grunddaten!$Q55)/100*$G77+$E77),-1)</f>
        <v>0</v>
      </c>
      <c r="AH77" s="428">
        <f ca="1">ROUND(Grunddaten!BI55*((Grunddaten!$S55-Grunddaten!$Q55)/100*$G77+$E77),-1)</f>
        <v>0</v>
      </c>
      <c r="AI77" s="428">
        <f ca="1">ROUND(Grunddaten!BJ55*((Grunddaten!$S55-Grunddaten!$Q55)/100*$G77+$E77),-1)</f>
        <v>0</v>
      </c>
      <c r="AJ77" s="428">
        <f ca="1">ROUND(Grunddaten!BK55*((Grunddaten!$S55-Grunddaten!$Q55)/100*$G77+$E77),-1)</f>
        <v>0</v>
      </c>
      <c r="AK77" s="428">
        <f ca="1">ROUND(Grunddaten!BL55*((Grunddaten!$S55-Grunddaten!$Q55)/100*$G77+$E77),-1)</f>
        <v>0</v>
      </c>
      <c r="AL77" s="428">
        <f ca="1">ROUND(Grunddaten!BM55*((Grunddaten!$S55-Grunddaten!$Q55)/100*$G77+$E77),-1)</f>
        <v>0</v>
      </c>
      <c r="AM77" s="428">
        <f ca="1">ROUND(Grunddaten!BN55*((Grunddaten!$S55-Grunddaten!$Q55)/100*$G77+$E77),-1)</f>
        <v>0</v>
      </c>
      <c r="AN77" s="428">
        <f ca="1">ROUND(Grunddaten!BO55*((Grunddaten!$S55-Grunddaten!$Q55)/100*$G77+$E77),-1)</f>
        <v>0</v>
      </c>
      <c r="AO77" s="428">
        <f ca="1">ROUND(Grunddaten!BP55*((Grunddaten!$S55-Grunddaten!$Q55)/100*$G77+$E77),-1)</f>
        <v>0</v>
      </c>
      <c r="AP77" s="428">
        <f ca="1">ROUND(Grunddaten!BQ55*((Grunddaten!$S55-Grunddaten!$Q55)/100*$G77+$E77),-1)</f>
        <v>0</v>
      </c>
      <c r="AQ77" s="428">
        <f ca="1">ROUND(Grunddaten!BR55*((Grunddaten!$S55-Grunddaten!$Q55)/100*$G77+$E77),-1)</f>
        <v>0</v>
      </c>
      <c r="AR77" s="428">
        <f ca="1">ROUND(Grunddaten!BS55*((Grunddaten!$S55-Grunddaten!$Q55)/100*$G77+$E77),-1)</f>
        <v>0</v>
      </c>
      <c r="AS77" s="428">
        <f ca="1">ROUND(Grunddaten!BT55*((Grunddaten!$S55-Grunddaten!$Q55)/100*$G77+$E77),-1)</f>
        <v>0</v>
      </c>
      <c r="AT77" s="428">
        <f ca="1">ROUND(Grunddaten!BU55*((Grunddaten!$S55-Grunddaten!$Q55)/100*$G77+$E77),-1)</f>
        <v>0</v>
      </c>
      <c r="AU77" s="428">
        <f ca="1">ROUND(Grunddaten!BV55*((Grunddaten!$S55-Grunddaten!$Q55)/100*$G77+$E77),-1)</f>
        <v>0</v>
      </c>
      <c r="AV77" s="428">
        <f ca="1">ROUND(Grunddaten!BW55*((Grunddaten!$S55-Grunddaten!$Q55)/100*$G77+$E77),-1)</f>
        <v>0</v>
      </c>
      <c r="AW77" s="428">
        <f ca="1">ROUND(Grunddaten!BX55*((Grunddaten!$S55-Grunddaten!$Q55)/100*$G77+$E77),-1)</f>
        <v>0</v>
      </c>
      <c r="AX77" s="428">
        <f ca="1">ROUND(Grunddaten!BY55*((Grunddaten!$S55-Grunddaten!$Q55)/100*$G77+$E77),-1)</f>
        <v>0</v>
      </c>
      <c r="AY77" s="428">
        <f ca="1">ROUND(Grunddaten!BZ55*((Grunddaten!$S55-Grunddaten!$Q55)/100*$G77+$E77),-1)</f>
        <v>0</v>
      </c>
      <c r="AZ77" s="428">
        <f ca="1">ROUND(Grunddaten!CA55*((Grunddaten!$S55-Grunddaten!$Q55)/100*$G77+$E77),-1)</f>
        <v>0</v>
      </c>
      <c r="BA77" s="428">
        <f ca="1">ROUND(Grunddaten!CB55*((Grunddaten!$S55-Grunddaten!$Q55)/100*$G77+$E77),-1)</f>
        <v>0</v>
      </c>
      <c r="BB77" s="428">
        <f ca="1">ROUND(Grunddaten!CC55*((Grunddaten!$S55-Grunddaten!$Q55)/100*$G77+$E77),-1)</f>
        <v>0</v>
      </c>
      <c r="BC77" s="428">
        <f ca="1">ROUND(Grunddaten!CD55*((Grunddaten!$S55-Grunddaten!$Q55)/100*$G77+$E77),-1)</f>
        <v>0</v>
      </c>
      <c r="BD77" s="428">
        <f ca="1">ROUND(Grunddaten!CE55*((Grunddaten!$S55-Grunddaten!$Q55)/100*$G77+$E77),-1)</f>
        <v>0</v>
      </c>
      <c r="BE77" s="428">
        <f ca="1">ROUND(Grunddaten!CF55*((Grunddaten!$S55-Grunddaten!$Q55)/100*$G77+$E77),-1)</f>
        <v>0</v>
      </c>
      <c r="BF77" s="428">
        <f ca="1">ROUND(Grunddaten!CG55*((Grunddaten!$S55-Grunddaten!$Q55)/100*$G77+$E77),-1)</f>
        <v>0</v>
      </c>
      <c r="BG77" s="428">
        <f ca="1">ROUND(Grunddaten!CH55*((Grunddaten!$S55-Grunddaten!$Q55)/100*$G77+$E77),-1)</f>
        <v>0</v>
      </c>
      <c r="BH77" s="428">
        <f ca="1">ROUND(Grunddaten!CI55*((Grunddaten!$S55-Grunddaten!$Q55)/100*$G77+$E77),-1)</f>
        <v>0</v>
      </c>
      <c r="BI77" s="428">
        <f ca="1">ROUND(Grunddaten!CJ55*((Grunddaten!$S55-Grunddaten!$Q55)/100*$G77+$E77),-1)</f>
        <v>0</v>
      </c>
      <c r="BJ77" s="428">
        <f ca="1">ROUND(Grunddaten!CK55*((Grunddaten!$S55-Grunddaten!$Q55)/100*$G77+$E77),-1)</f>
        <v>0</v>
      </c>
      <c r="BK77" s="428">
        <f ca="1">ROUND(Grunddaten!CL55*((Grunddaten!$S55-Grunddaten!$Q55)/100*$G77+$E77),-1)</f>
        <v>0</v>
      </c>
      <c r="BL77" s="428">
        <f ca="1">ROUND(Grunddaten!CM55*((Grunddaten!$S55-Grunddaten!$Q55)/100*$G77+$E77),-1)</f>
        <v>0</v>
      </c>
      <c r="BM77" s="428">
        <f ca="1">ROUND(Grunddaten!CN55*((Grunddaten!$S55-Grunddaten!$Q55)/100*$G77+$E77),-1)</f>
        <v>0</v>
      </c>
      <c r="BN77" s="428">
        <f ca="1">ROUND(Grunddaten!CO55*((Grunddaten!$S55-Grunddaten!$Q55)/100*$G77+$E77),-1)</f>
        <v>0</v>
      </c>
      <c r="BO77" s="428">
        <f ca="1">ROUND(Grunddaten!CP55*((Grunddaten!$S55-Grunddaten!$Q55)/100*$G77+$E77),-1)</f>
        <v>0</v>
      </c>
      <c r="BP77" s="428">
        <f ca="1">ROUND(Grunddaten!CQ55*((Grunddaten!$S55-Grunddaten!$Q55)/100*$G77+$E77),-1)</f>
        <v>0</v>
      </c>
      <c r="BQ77" s="1753">
        <f ca="1">ROUND(Grunddaten!CR55*((Grunddaten!$S55-Grunddaten!$Q55)/100*$G77+$E77),-1)</f>
        <v>0</v>
      </c>
    </row>
    <row r="78" spans="1:69" s="88" customFormat="1" ht="11.25" customHeight="1" thickBot="1" x14ac:dyDescent="0.25">
      <c r="A78" s="514" t="str">
        <f>Grunddaten!$C$56</f>
        <v>Kälteverbund XY</v>
      </c>
      <c r="B78" s="1708"/>
      <c r="C78" s="2616"/>
      <c r="D78" s="2617"/>
      <c r="E78" s="2459">
        <f xml:space="preserve"> EV_Var1!I55 * Grunddaten!$AI$56</f>
        <v>0</v>
      </c>
      <c r="F78" s="2460"/>
      <c r="G78" s="2456">
        <f ca="1">SUMIF(EV_Var1!$A$10:$B$73,$A78,EV_Var1!$E$10:$E$73)</f>
        <v>0</v>
      </c>
      <c r="H78" s="2457"/>
      <c r="I78" s="2458"/>
      <c r="J78" s="2479">
        <f>Grunddaten!S56-(1-$R$109)*Grunddaten!Q56</f>
        <v>0</v>
      </c>
      <c r="K78" s="2480"/>
      <c r="L78" s="2525">
        <f t="shared" ref="L78" ca="1" si="7">ROUND(E78+G78*J78/100,-1)</f>
        <v>0</v>
      </c>
      <c r="M78" s="2526"/>
      <c r="N78" s="2527"/>
      <c r="P78" s="1256"/>
      <c r="Q78" s="1256"/>
      <c r="S78" s="432">
        <f ca="1">ROUND(Grunddaten!AT56*((Grunddaten!$S56-Grunddaten!$Q56)/100*$G78+$E78),-1)</f>
        <v>0</v>
      </c>
      <c r="T78" s="433">
        <f ca="1">ROUND(Grunddaten!AU56*((Grunddaten!$S56-Grunddaten!$Q56)/100*$G78+$E78),-1)</f>
        <v>0</v>
      </c>
      <c r="U78" s="433">
        <f ca="1">ROUND(Grunddaten!AV56*((Grunddaten!$S56-Grunddaten!$Q56)/100*$G78+$E78),-1)</f>
        <v>0</v>
      </c>
      <c r="V78" s="433">
        <f ca="1">ROUND(Grunddaten!AW56*((Grunddaten!$S56-Grunddaten!$Q56)/100*$G78+$E78),-1)</f>
        <v>0</v>
      </c>
      <c r="W78" s="433">
        <f ca="1">ROUND(Grunddaten!AX56*((Grunddaten!$S56-Grunddaten!$Q56)/100*$G78+$E78),-1)</f>
        <v>0</v>
      </c>
      <c r="X78" s="433">
        <f ca="1">ROUND(Grunddaten!AY56*((Grunddaten!$S56-Grunddaten!$Q56)/100*$G78+$E78),-1)</f>
        <v>0</v>
      </c>
      <c r="Y78" s="433">
        <f ca="1">ROUND(Grunddaten!AZ56*((Grunddaten!$S56-Grunddaten!$Q56)/100*$G78+$E78),-1)</f>
        <v>0</v>
      </c>
      <c r="Z78" s="433">
        <f ca="1">ROUND(Grunddaten!BA56*((Grunddaten!$S56-Grunddaten!$Q56)/100*$G78+$E78),-1)</f>
        <v>0</v>
      </c>
      <c r="AA78" s="433">
        <f ca="1">ROUND(Grunddaten!BB56*((Grunddaten!$S56-Grunddaten!$Q56)/100*$G78+$E78),-1)</f>
        <v>0</v>
      </c>
      <c r="AB78" s="433">
        <f ca="1">ROUND(Grunddaten!BC56*((Grunddaten!$S56-Grunddaten!$Q56)/100*$G78+$E78),-1)</f>
        <v>0</v>
      </c>
      <c r="AC78" s="433">
        <f ca="1">ROUND(Grunddaten!BD56*((Grunddaten!$S56-Grunddaten!$Q56)/100*$G78+$E78),-1)</f>
        <v>0</v>
      </c>
      <c r="AD78" s="433">
        <f ca="1">ROUND(Grunddaten!BE56*((Grunddaten!$S56-Grunddaten!$Q56)/100*$G78+$E78),-1)</f>
        <v>0</v>
      </c>
      <c r="AE78" s="433">
        <f ca="1">ROUND(Grunddaten!BF56*((Grunddaten!$S56-Grunddaten!$Q56)/100*$G78+$E78),-1)</f>
        <v>0</v>
      </c>
      <c r="AF78" s="433">
        <f ca="1">ROUND(Grunddaten!BG56*((Grunddaten!$S56-Grunddaten!$Q56)/100*$G78+$E78),-1)</f>
        <v>0</v>
      </c>
      <c r="AG78" s="433">
        <f ca="1">ROUND(Grunddaten!BH56*((Grunddaten!$S56-Grunddaten!$Q56)/100*$G78+$E78),-1)</f>
        <v>0</v>
      </c>
      <c r="AH78" s="433">
        <f ca="1">ROUND(Grunddaten!BI56*((Grunddaten!$S56-Grunddaten!$Q56)/100*$G78+$E78),-1)</f>
        <v>0</v>
      </c>
      <c r="AI78" s="433">
        <f ca="1">ROUND(Grunddaten!BJ56*((Grunddaten!$S56-Grunddaten!$Q56)/100*$G78+$E78),-1)</f>
        <v>0</v>
      </c>
      <c r="AJ78" s="433">
        <f ca="1">ROUND(Grunddaten!BK56*((Grunddaten!$S56-Grunddaten!$Q56)/100*$G78+$E78),-1)</f>
        <v>0</v>
      </c>
      <c r="AK78" s="433">
        <f ca="1">ROUND(Grunddaten!BL56*((Grunddaten!$S56-Grunddaten!$Q56)/100*$G78+$E78),-1)</f>
        <v>0</v>
      </c>
      <c r="AL78" s="433">
        <f ca="1">ROUND(Grunddaten!BM56*((Grunddaten!$S56-Grunddaten!$Q56)/100*$G78+$E78),-1)</f>
        <v>0</v>
      </c>
      <c r="AM78" s="433">
        <f ca="1">ROUND(Grunddaten!BN56*((Grunddaten!$S56-Grunddaten!$Q56)/100*$G78+$E78),-1)</f>
        <v>0</v>
      </c>
      <c r="AN78" s="433">
        <f ca="1">ROUND(Grunddaten!BO56*((Grunddaten!$S56-Grunddaten!$Q56)/100*$G78+$E78),-1)</f>
        <v>0</v>
      </c>
      <c r="AO78" s="433">
        <f ca="1">ROUND(Grunddaten!BP56*((Grunddaten!$S56-Grunddaten!$Q56)/100*$G78+$E78),-1)</f>
        <v>0</v>
      </c>
      <c r="AP78" s="433">
        <f ca="1">ROUND(Grunddaten!BQ56*((Grunddaten!$S56-Grunddaten!$Q56)/100*$G78+$E78),-1)</f>
        <v>0</v>
      </c>
      <c r="AQ78" s="433">
        <f ca="1">ROUND(Grunddaten!BR56*((Grunddaten!$S56-Grunddaten!$Q56)/100*$G78+$E78),-1)</f>
        <v>0</v>
      </c>
      <c r="AR78" s="433">
        <f ca="1">ROUND(Grunddaten!BS56*((Grunddaten!$S56-Grunddaten!$Q56)/100*$G78+$E78),-1)</f>
        <v>0</v>
      </c>
      <c r="AS78" s="433">
        <f ca="1">ROUND(Grunddaten!BT56*((Grunddaten!$S56-Grunddaten!$Q56)/100*$G78+$E78),-1)</f>
        <v>0</v>
      </c>
      <c r="AT78" s="433">
        <f ca="1">ROUND(Grunddaten!BU56*((Grunddaten!$S56-Grunddaten!$Q56)/100*$G78+$E78),-1)</f>
        <v>0</v>
      </c>
      <c r="AU78" s="433">
        <f ca="1">ROUND(Grunddaten!BV56*((Grunddaten!$S56-Grunddaten!$Q56)/100*$G78+$E78),-1)</f>
        <v>0</v>
      </c>
      <c r="AV78" s="433">
        <f ca="1">ROUND(Grunddaten!BW56*((Grunddaten!$S56-Grunddaten!$Q56)/100*$G78+$E78),-1)</f>
        <v>0</v>
      </c>
      <c r="AW78" s="433">
        <f ca="1">ROUND(Grunddaten!BX56*((Grunddaten!$S56-Grunddaten!$Q56)/100*$G78+$E78),-1)</f>
        <v>0</v>
      </c>
      <c r="AX78" s="433">
        <f ca="1">ROUND(Grunddaten!BY56*((Grunddaten!$S56-Grunddaten!$Q56)/100*$G78+$E78),-1)</f>
        <v>0</v>
      </c>
      <c r="AY78" s="433">
        <f ca="1">ROUND(Grunddaten!BZ56*((Grunddaten!$S56-Grunddaten!$Q56)/100*$G78+$E78),-1)</f>
        <v>0</v>
      </c>
      <c r="AZ78" s="433">
        <f ca="1">ROUND(Grunddaten!CA56*((Grunddaten!$S56-Grunddaten!$Q56)/100*$G78+$E78),-1)</f>
        <v>0</v>
      </c>
      <c r="BA78" s="433">
        <f ca="1">ROUND(Grunddaten!CB56*((Grunddaten!$S56-Grunddaten!$Q56)/100*$G78+$E78),-1)</f>
        <v>0</v>
      </c>
      <c r="BB78" s="433">
        <f ca="1">ROUND(Grunddaten!CC56*((Grunddaten!$S56-Grunddaten!$Q56)/100*$G78+$E78),-1)</f>
        <v>0</v>
      </c>
      <c r="BC78" s="433">
        <f ca="1">ROUND(Grunddaten!CD56*((Grunddaten!$S56-Grunddaten!$Q56)/100*$G78+$E78),-1)</f>
        <v>0</v>
      </c>
      <c r="BD78" s="433">
        <f ca="1">ROUND(Grunddaten!CE56*((Grunddaten!$S56-Grunddaten!$Q56)/100*$G78+$E78),-1)</f>
        <v>0</v>
      </c>
      <c r="BE78" s="433">
        <f ca="1">ROUND(Grunddaten!CF56*((Grunddaten!$S56-Grunddaten!$Q56)/100*$G78+$E78),-1)</f>
        <v>0</v>
      </c>
      <c r="BF78" s="433">
        <f ca="1">ROUND(Grunddaten!CG56*((Grunddaten!$S56-Grunddaten!$Q56)/100*$G78+$E78),-1)</f>
        <v>0</v>
      </c>
      <c r="BG78" s="433">
        <f ca="1">ROUND(Grunddaten!CH56*((Grunddaten!$S56-Grunddaten!$Q56)/100*$G78+$E78),-1)</f>
        <v>0</v>
      </c>
      <c r="BH78" s="433">
        <f ca="1">ROUND(Grunddaten!CI56*((Grunddaten!$S56-Grunddaten!$Q56)/100*$G78+$E78),-1)</f>
        <v>0</v>
      </c>
      <c r="BI78" s="433">
        <f ca="1">ROUND(Grunddaten!CJ56*((Grunddaten!$S56-Grunddaten!$Q56)/100*$G78+$E78),-1)</f>
        <v>0</v>
      </c>
      <c r="BJ78" s="433">
        <f ca="1">ROUND(Grunddaten!CK56*((Grunddaten!$S56-Grunddaten!$Q56)/100*$G78+$E78),-1)</f>
        <v>0</v>
      </c>
      <c r="BK78" s="433">
        <f ca="1">ROUND(Grunddaten!CL56*((Grunddaten!$S56-Grunddaten!$Q56)/100*$G78+$E78),-1)</f>
        <v>0</v>
      </c>
      <c r="BL78" s="433">
        <f ca="1">ROUND(Grunddaten!CM56*((Grunddaten!$S56-Grunddaten!$Q56)/100*$G78+$E78),-1)</f>
        <v>0</v>
      </c>
      <c r="BM78" s="433">
        <f ca="1">ROUND(Grunddaten!CN56*((Grunddaten!$S56-Grunddaten!$Q56)/100*$G78+$E78),-1)</f>
        <v>0</v>
      </c>
      <c r="BN78" s="433">
        <f ca="1">ROUND(Grunddaten!CO56*((Grunddaten!$S56-Grunddaten!$Q56)/100*$G78+$E78),-1)</f>
        <v>0</v>
      </c>
      <c r="BO78" s="433">
        <f ca="1">ROUND(Grunddaten!CP56*((Grunddaten!$S56-Grunddaten!$Q56)/100*$G78+$E78),-1)</f>
        <v>0</v>
      </c>
      <c r="BP78" s="433">
        <f ca="1">ROUND(Grunddaten!CQ56*((Grunddaten!$S56-Grunddaten!$Q56)/100*$G78+$E78),-1)</f>
        <v>0</v>
      </c>
      <c r="BQ78" s="434">
        <f ca="1">ROUND(Grunddaten!CR56*((Grunddaten!$S56-Grunddaten!$Q56)/100*$G78+$E78),-1)</f>
        <v>0</v>
      </c>
    </row>
    <row r="79" spans="1:69" s="88" customFormat="1" ht="14.1" customHeight="1" thickBot="1" x14ac:dyDescent="0.25">
      <c r="A79" s="391" t="s">
        <v>14</v>
      </c>
      <c r="B79" s="91"/>
      <c r="C79" s="91"/>
      <c r="D79" s="2696"/>
      <c r="E79" s="2696"/>
      <c r="F79" s="2696"/>
      <c r="G79" s="1076"/>
      <c r="H79" s="2696"/>
      <c r="I79" s="2696"/>
      <c r="J79" s="2699"/>
      <c r="K79" s="2699"/>
      <c r="L79" s="2668">
        <f ca="1">SUM(L61:L78)</f>
        <v>0</v>
      </c>
      <c r="M79" s="2669"/>
      <c r="N79" s="2670"/>
      <c r="S79" s="485">
        <f ca="1">SUM(S62:S78)</f>
        <v>0</v>
      </c>
      <c r="T79" s="486">
        <f t="shared" ref="T79:BQ79" ca="1" si="8">SUM(T62:T78)</f>
        <v>0</v>
      </c>
      <c r="U79" s="486">
        <f t="shared" ca="1" si="8"/>
        <v>0</v>
      </c>
      <c r="V79" s="486">
        <f t="shared" ca="1" si="8"/>
        <v>0</v>
      </c>
      <c r="W79" s="486">
        <f t="shared" ca="1" si="8"/>
        <v>0</v>
      </c>
      <c r="X79" s="486">
        <f t="shared" ca="1" si="8"/>
        <v>0</v>
      </c>
      <c r="Y79" s="486">
        <f t="shared" ca="1" si="8"/>
        <v>0</v>
      </c>
      <c r="Z79" s="486">
        <f t="shared" ca="1" si="8"/>
        <v>0</v>
      </c>
      <c r="AA79" s="486">
        <f t="shared" ca="1" si="8"/>
        <v>0</v>
      </c>
      <c r="AB79" s="486">
        <f t="shared" ca="1" si="8"/>
        <v>0</v>
      </c>
      <c r="AC79" s="486">
        <f t="shared" ca="1" si="8"/>
        <v>0</v>
      </c>
      <c r="AD79" s="486">
        <f t="shared" ca="1" si="8"/>
        <v>0</v>
      </c>
      <c r="AE79" s="486">
        <f t="shared" ca="1" si="8"/>
        <v>0</v>
      </c>
      <c r="AF79" s="486">
        <f t="shared" ca="1" si="8"/>
        <v>0</v>
      </c>
      <c r="AG79" s="486">
        <f t="shared" ca="1" si="8"/>
        <v>0</v>
      </c>
      <c r="AH79" s="486">
        <f t="shared" ca="1" si="8"/>
        <v>0</v>
      </c>
      <c r="AI79" s="486">
        <f t="shared" ca="1" si="8"/>
        <v>0</v>
      </c>
      <c r="AJ79" s="486">
        <f t="shared" ca="1" si="8"/>
        <v>0</v>
      </c>
      <c r="AK79" s="486">
        <f t="shared" ca="1" si="8"/>
        <v>0</v>
      </c>
      <c r="AL79" s="486">
        <f t="shared" ca="1" si="8"/>
        <v>0</v>
      </c>
      <c r="AM79" s="486">
        <f t="shared" ca="1" si="8"/>
        <v>0</v>
      </c>
      <c r="AN79" s="486">
        <f t="shared" ca="1" si="8"/>
        <v>0</v>
      </c>
      <c r="AO79" s="486">
        <f t="shared" ca="1" si="8"/>
        <v>0</v>
      </c>
      <c r="AP79" s="486">
        <f t="shared" ca="1" si="8"/>
        <v>0</v>
      </c>
      <c r="AQ79" s="486">
        <f t="shared" ca="1" si="8"/>
        <v>0</v>
      </c>
      <c r="AR79" s="486">
        <f t="shared" ca="1" si="8"/>
        <v>0</v>
      </c>
      <c r="AS79" s="486">
        <f t="shared" ca="1" si="8"/>
        <v>0</v>
      </c>
      <c r="AT79" s="486">
        <f t="shared" ca="1" si="8"/>
        <v>0</v>
      </c>
      <c r="AU79" s="486">
        <f t="shared" ca="1" si="8"/>
        <v>0</v>
      </c>
      <c r="AV79" s="486">
        <f t="shared" ca="1" si="8"/>
        <v>0</v>
      </c>
      <c r="AW79" s="486">
        <f t="shared" ca="1" si="8"/>
        <v>0</v>
      </c>
      <c r="AX79" s="486">
        <f t="shared" ca="1" si="8"/>
        <v>0</v>
      </c>
      <c r="AY79" s="486">
        <f t="shared" ca="1" si="8"/>
        <v>0</v>
      </c>
      <c r="AZ79" s="486">
        <f t="shared" ca="1" si="8"/>
        <v>0</v>
      </c>
      <c r="BA79" s="486">
        <f t="shared" ca="1" si="8"/>
        <v>0</v>
      </c>
      <c r="BB79" s="486">
        <f t="shared" ca="1" si="8"/>
        <v>0</v>
      </c>
      <c r="BC79" s="486">
        <f t="shared" ca="1" si="8"/>
        <v>0</v>
      </c>
      <c r="BD79" s="486">
        <f t="shared" ca="1" si="8"/>
        <v>0</v>
      </c>
      <c r="BE79" s="486">
        <f t="shared" ca="1" si="8"/>
        <v>0</v>
      </c>
      <c r="BF79" s="486">
        <f t="shared" ca="1" si="8"/>
        <v>0</v>
      </c>
      <c r="BG79" s="486">
        <f t="shared" ca="1" si="8"/>
        <v>0</v>
      </c>
      <c r="BH79" s="486">
        <f t="shared" ca="1" si="8"/>
        <v>0</v>
      </c>
      <c r="BI79" s="486">
        <f t="shared" ca="1" si="8"/>
        <v>0</v>
      </c>
      <c r="BJ79" s="486">
        <f t="shared" ca="1" si="8"/>
        <v>0</v>
      </c>
      <c r="BK79" s="486">
        <f t="shared" ca="1" si="8"/>
        <v>0</v>
      </c>
      <c r="BL79" s="486">
        <f t="shared" ca="1" si="8"/>
        <v>0</v>
      </c>
      <c r="BM79" s="486">
        <f t="shared" ca="1" si="8"/>
        <v>0</v>
      </c>
      <c r="BN79" s="486">
        <f t="shared" ca="1" si="8"/>
        <v>0</v>
      </c>
      <c r="BO79" s="486">
        <f t="shared" ca="1" si="8"/>
        <v>0</v>
      </c>
      <c r="BP79" s="486">
        <f t="shared" ca="1" si="8"/>
        <v>0</v>
      </c>
      <c r="BQ79" s="487">
        <f t="shared" ca="1" si="8"/>
        <v>0</v>
      </c>
    </row>
    <row r="80" spans="1:69" ht="5.95" customHeight="1" x14ac:dyDescent="0.2">
      <c r="P80" s="83"/>
      <c r="Q80" s="83"/>
      <c r="R80" s="271"/>
      <c r="S80" s="412"/>
      <c r="T80" s="413"/>
      <c r="U80" s="412"/>
      <c r="V80" s="412"/>
      <c r="W80" s="412"/>
      <c r="X80" s="412"/>
      <c r="Y80" s="412"/>
      <c r="Z80" s="412"/>
      <c r="AA80" s="412"/>
      <c r="AB80" s="414"/>
      <c r="AC80" s="414"/>
      <c r="AD80" s="414"/>
      <c r="AE80" s="414"/>
      <c r="AF80" s="414"/>
      <c r="AG80" s="414"/>
      <c r="AH80" s="448"/>
      <c r="AI80" s="448"/>
      <c r="AJ80" s="448"/>
      <c r="AK80" s="449"/>
      <c r="AL80" s="449"/>
      <c r="AM80" s="449"/>
      <c r="AN80" s="449"/>
      <c r="AO80" s="449"/>
      <c r="AP80" s="449"/>
      <c r="AQ80" s="449"/>
      <c r="AR80" s="449"/>
      <c r="AS80" s="449"/>
      <c r="AT80" s="449"/>
      <c r="AU80" s="449"/>
      <c r="AV80" s="449"/>
      <c r="AW80" s="449"/>
      <c r="AX80" s="449"/>
      <c r="AY80" s="449"/>
      <c r="AZ80" s="449"/>
      <c r="BA80" s="449"/>
      <c r="BB80" s="449"/>
      <c r="BC80" s="449"/>
      <c r="BD80" s="449"/>
      <c r="BE80" s="449"/>
      <c r="BF80" s="449"/>
      <c r="BG80" s="449"/>
      <c r="BH80" s="449"/>
      <c r="BI80" s="449"/>
      <c r="BJ80" s="449"/>
      <c r="BK80" s="449"/>
      <c r="BL80" s="449"/>
      <c r="BM80" s="449"/>
      <c r="BN80" s="449"/>
      <c r="BO80" s="449"/>
      <c r="BP80" s="449"/>
      <c r="BQ80" s="449"/>
    </row>
    <row r="81" spans="1:69" ht="17.350000000000001" customHeight="1" x14ac:dyDescent="0.25">
      <c r="A81" s="107" t="s">
        <v>36</v>
      </c>
      <c r="B81" s="107"/>
      <c r="G81" s="83"/>
      <c r="H81" s="97"/>
      <c r="I81" s="526"/>
      <c r="J81" s="527"/>
      <c r="K81" s="1077"/>
      <c r="L81" s="787" t="s">
        <v>521</v>
      </c>
      <c r="M81" s="2698">
        <f>ROUND(MAX(G39,WR_Var2!G39,WR_Var3!G39,WR_Var4!G39),0)</f>
        <v>0</v>
      </c>
      <c r="N81" s="2698"/>
      <c r="O81" s="847"/>
      <c r="P81" s="83"/>
      <c r="Q81" s="83"/>
      <c r="R81" s="414"/>
      <c r="S81" s="415"/>
      <c r="T81" s="414"/>
      <c r="U81" s="414"/>
      <c r="V81" s="414"/>
      <c r="W81" s="414"/>
      <c r="X81" s="414"/>
      <c r="Y81" s="414"/>
      <c r="Z81" s="414"/>
      <c r="AA81" s="414"/>
      <c r="AB81" s="414"/>
      <c r="AC81" s="414"/>
      <c r="AD81" s="414"/>
      <c r="AE81" s="414"/>
      <c r="AF81" s="414"/>
      <c r="AG81" s="448"/>
      <c r="AH81" s="448"/>
      <c r="AI81" s="448"/>
      <c r="AJ81" s="819"/>
      <c r="AK81" s="449"/>
      <c r="AL81" s="449"/>
      <c r="AM81" s="449"/>
      <c r="AN81" s="449"/>
      <c r="AO81" s="449"/>
      <c r="AP81" s="450"/>
      <c r="AQ81" s="449"/>
      <c r="AR81" s="449"/>
      <c r="AS81" s="449"/>
      <c r="AT81" s="449"/>
      <c r="AU81" s="449"/>
      <c r="AV81" s="449"/>
      <c r="AW81" s="449"/>
      <c r="AX81" s="449"/>
      <c r="AY81" s="449"/>
      <c r="AZ81" s="449"/>
      <c r="BA81" s="449"/>
      <c r="BB81" s="449"/>
      <c r="BC81" s="449"/>
      <c r="BD81" s="449"/>
      <c r="BE81" s="449"/>
      <c r="BF81" s="449"/>
      <c r="BG81" s="449"/>
      <c r="BH81" s="449"/>
      <c r="BI81" s="449"/>
      <c r="BJ81" s="449"/>
      <c r="BK81" s="449"/>
      <c r="BL81" s="449"/>
      <c r="BM81" s="449"/>
      <c r="BN81" s="449"/>
      <c r="BO81" s="449"/>
      <c r="BP81" s="449"/>
      <c r="BQ81" s="83"/>
    </row>
    <row r="82" spans="1:69" ht="2.0499999999999998" customHeight="1" x14ac:dyDescent="0.2">
      <c r="H82" s="84"/>
      <c r="I82" s="530"/>
      <c r="J82" s="527"/>
      <c r="K82" s="527"/>
      <c r="L82" s="527"/>
      <c r="P82" s="83"/>
      <c r="Q82" s="83"/>
      <c r="R82" s="414"/>
      <c r="S82" s="415"/>
      <c r="T82" s="414"/>
      <c r="U82" s="414"/>
      <c r="V82" s="414"/>
      <c r="W82" s="414"/>
      <c r="X82" s="414"/>
      <c r="Y82" s="414"/>
      <c r="Z82" s="414"/>
      <c r="AA82" s="414"/>
      <c r="AB82" s="414"/>
      <c r="AC82" s="414"/>
      <c r="AD82" s="414"/>
      <c r="AE82" s="414"/>
      <c r="AF82" s="414"/>
      <c r="AG82" s="448"/>
      <c r="AH82" s="448"/>
      <c r="AI82" s="448"/>
      <c r="AJ82" s="449"/>
      <c r="AK82" s="449"/>
      <c r="AL82" s="449"/>
      <c r="AM82" s="449"/>
      <c r="AN82" s="449"/>
      <c r="AO82" s="449"/>
      <c r="AP82" s="449"/>
      <c r="AQ82" s="449"/>
      <c r="AR82" s="449"/>
      <c r="AS82" s="449"/>
      <c r="AT82" s="449"/>
      <c r="AU82" s="449"/>
      <c r="AV82" s="449"/>
      <c r="AW82" s="449"/>
      <c r="AX82" s="449"/>
      <c r="AY82" s="449"/>
      <c r="AZ82" s="449"/>
      <c r="BA82" s="449"/>
      <c r="BB82" s="449"/>
      <c r="BC82" s="449"/>
      <c r="BD82" s="449"/>
      <c r="BE82" s="449"/>
      <c r="BF82" s="449"/>
      <c r="BG82" s="449"/>
      <c r="BH82" s="449"/>
      <c r="BI82" s="449"/>
      <c r="BJ82" s="449"/>
      <c r="BK82" s="449"/>
      <c r="BL82" s="449"/>
      <c r="BM82" s="449"/>
      <c r="BN82" s="449"/>
      <c r="BO82" s="449"/>
      <c r="BP82" s="449"/>
      <c r="BQ82" s="83"/>
    </row>
    <row r="83" spans="1:69" ht="12.1" customHeight="1" x14ac:dyDescent="0.2">
      <c r="A83" s="83"/>
      <c r="B83" s="83"/>
      <c r="C83" s="83"/>
      <c r="D83" s="1761" t="s">
        <v>51</v>
      </c>
      <c r="E83" s="2481">
        <f>IF(ISBLANK($M$83),$M$81,$M$83)</f>
        <v>0</v>
      </c>
      <c r="F83" s="2481"/>
      <c r="G83" s="83"/>
      <c r="I83" s="530"/>
      <c r="J83" s="527"/>
      <c r="K83" s="1059"/>
      <c r="L83" s="529" t="s">
        <v>37</v>
      </c>
      <c r="M83" s="2697"/>
      <c r="N83" s="2697"/>
      <c r="O83" s="316"/>
      <c r="Q83" s="86"/>
      <c r="R83" s="451"/>
      <c r="S83" s="415"/>
      <c r="T83" s="414"/>
      <c r="U83" s="414"/>
      <c r="V83" s="414"/>
      <c r="W83" s="414"/>
      <c r="X83" s="414"/>
      <c r="Y83" s="414"/>
      <c r="Z83" s="414"/>
      <c r="AA83" s="414"/>
      <c r="AB83" s="414"/>
      <c r="AC83" s="414"/>
      <c r="AD83" s="414"/>
      <c r="AE83" s="414"/>
      <c r="AF83" s="414"/>
      <c r="AG83" s="448"/>
      <c r="AH83" s="448"/>
      <c r="AI83" s="448"/>
      <c r="AJ83" s="449"/>
      <c r="AK83" s="449"/>
      <c r="AL83" s="449"/>
      <c r="AM83" s="449"/>
      <c r="AN83" s="449"/>
      <c r="AO83" s="449"/>
      <c r="AP83" s="449"/>
      <c r="AQ83" s="449"/>
      <c r="AR83" s="449"/>
      <c r="AS83" s="449"/>
      <c r="AT83" s="449"/>
      <c r="AU83" s="449"/>
      <c r="AV83" s="449"/>
      <c r="AW83" s="449"/>
      <c r="AX83" s="449"/>
      <c r="AY83" s="449"/>
      <c r="AZ83" s="449"/>
      <c r="BA83" s="449"/>
      <c r="BB83" s="449"/>
      <c r="BC83" s="449"/>
      <c r="BD83" s="449"/>
      <c r="BE83" s="449"/>
      <c r="BF83" s="449"/>
      <c r="BG83" s="449"/>
      <c r="BH83" s="449"/>
      <c r="BI83" s="449"/>
      <c r="BJ83" s="449"/>
      <c r="BK83" s="449"/>
      <c r="BL83" s="449"/>
      <c r="BM83" s="449"/>
      <c r="BN83" s="449"/>
      <c r="BO83" s="449"/>
      <c r="BP83" s="449"/>
      <c r="BQ83" s="83"/>
    </row>
    <row r="84" spans="1:69" ht="3.9" customHeight="1" thickBot="1" x14ac:dyDescent="0.25">
      <c r="A84" s="84"/>
      <c r="B84" s="84"/>
      <c r="C84" s="86"/>
      <c r="D84" s="86"/>
      <c r="E84" s="86"/>
      <c r="F84" s="86"/>
      <c r="G84" s="86"/>
      <c r="H84" s="86"/>
      <c r="I84" s="86"/>
      <c r="J84" s="86"/>
      <c r="Q84" s="86"/>
      <c r="R84" s="451"/>
      <c r="S84" s="415"/>
      <c r="T84" s="414"/>
      <c r="U84" s="414"/>
      <c r="V84" s="414"/>
      <c r="W84" s="414"/>
      <c r="X84" s="414"/>
      <c r="Y84" s="414"/>
      <c r="Z84" s="414"/>
      <c r="AA84" s="414"/>
      <c r="AB84" s="414"/>
      <c r="AC84" s="414"/>
      <c r="AD84" s="414"/>
      <c r="AE84" s="414"/>
      <c r="AF84" s="414"/>
      <c r="AG84" s="448"/>
      <c r="AH84" s="448"/>
      <c r="AI84" s="448"/>
      <c r="AJ84" s="449"/>
      <c r="AK84" s="449"/>
      <c r="AL84" s="449"/>
      <c r="AM84" s="449"/>
      <c r="AN84" s="449"/>
      <c r="AO84" s="449"/>
      <c r="AP84" s="449"/>
      <c r="AQ84" s="449"/>
      <c r="AR84" s="449"/>
      <c r="AS84" s="449"/>
      <c r="AT84" s="449"/>
      <c r="AU84" s="449"/>
      <c r="AV84" s="449"/>
      <c r="AW84" s="449"/>
      <c r="AX84" s="449"/>
      <c r="AY84" s="449"/>
      <c r="AZ84" s="449"/>
      <c r="BA84" s="449"/>
      <c r="BB84" s="449"/>
      <c r="BC84" s="449"/>
      <c r="BD84" s="449"/>
      <c r="BE84" s="449"/>
      <c r="BF84" s="449"/>
      <c r="BG84" s="449"/>
      <c r="BH84" s="449"/>
      <c r="BI84" s="449"/>
      <c r="BJ84" s="449"/>
      <c r="BK84" s="449"/>
      <c r="BL84" s="449"/>
      <c r="BM84" s="449"/>
      <c r="BN84" s="449"/>
      <c r="BO84" s="449"/>
      <c r="BP84" s="449"/>
      <c r="BQ84" s="83"/>
    </row>
    <row r="85" spans="1:69" s="93" customFormat="1" ht="11.25" customHeight="1" x14ac:dyDescent="0.2">
      <c r="A85" s="515"/>
      <c r="B85" s="1378"/>
      <c r="C85" s="1070"/>
      <c r="D85" s="1072"/>
      <c r="E85" s="2517" t="s">
        <v>38</v>
      </c>
      <c r="F85" s="2518"/>
      <c r="G85" s="2517" t="s">
        <v>50</v>
      </c>
      <c r="H85" s="2706"/>
      <c r="I85" s="2706"/>
      <c r="J85" s="2706"/>
      <c r="K85" s="2518"/>
      <c r="L85" s="2517" t="s">
        <v>737</v>
      </c>
      <c r="M85" s="2706"/>
      <c r="N85" s="2740"/>
      <c r="O85" s="1071"/>
      <c r="P85" s="809"/>
      <c r="Q85" s="810"/>
      <c r="R85" s="92"/>
      <c r="S85" s="416"/>
      <c r="T85" s="416"/>
      <c r="U85" s="416"/>
      <c r="V85" s="416"/>
      <c r="W85" s="416"/>
      <c r="X85" s="416"/>
      <c r="Y85" s="416"/>
      <c r="Z85" s="416"/>
      <c r="AA85" s="411"/>
      <c r="AB85" s="414"/>
      <c r="AC85" s="414"/>
      <c r="AD85" s="414"/>
      <c r="AE85" s="414"/>
      <c r="AF85" s="414"/>
      <c r="AG85" s="448"/>
      <c r="AH85" s="448"/>
      <c r="AI85" s="448"/>
      <c r="AJ85" s="449"/>
      <c r="AK85" s="449"/>
      <c r="AL85" s="416"/>
      <c r="AM85" s="416"/>
      <c r="AN85" s="416"/>
      <c r="AO85" s="416"/>
      <c r="AP85" s="416"/>
      <c r="AQ85" s="416"/>
      <c r="AR85" s="416"/>
      <c r="AS85" s="416"/>
      <c r="AT85" s="416"/>
      <c r="AU85" s="416"/>
      <c r="AV85" s="416"/>
      <c r="AW85" s="416"/>
      <c r="AX85" s="416"/>
      <c r="AY85" s="416"/>
      <c r="AZ85" s="416"/>
      <c r="BA85" s="416"/>
      <c r="BB85" s="416"/>
      <c r="BC85" s="416"/>
      <c r="BD85" s="416"/>
      <c r="BE85" s="416"/>
      <c r="BF85" s="416"/>
      <c r="BG85" s="416"/>
      <c r="BH85" s="416"/>
      <c r="BI85" s="416"/>
      <c r="BJ85" s="416"/>
      <c r="BK85" s="416"/>
      <c r="BL85" s="416"/>
      <c r="BM85" s="416"/>
      <c r="BN85" s="416"/>
      <c r="BO85" s="416"/>
      <c r="BP85" s="416"/>
    </row>
    <row r="86" spans="1:69" s="93" customFormat="1" ht="11.25" customHeight="1" x14ac:dyDescent="0.2">
      <c r="A86" s="1521" t="s">
        <v>12</v>
      </c>
      <c r="B86" s="1112"/>
      <c r="C86" s="1112"/>
      <c r="D86" s="1522"/>
      <c r="E86" s="2702" t="s">
        <v>40</v>
      </c>
      <c r="F86" s="2703"/>
      <c r="G86" s="2528" t="s">
        <v>733</v>
      </c>
      <c r="H86" s="2529"/>
      <c r="I86" s="2707"/>
      <c r="J86" s="2746" t="s">
        <v>734</v>
      </c>
      <c r="K86" s="2711"/>
      <c r="L86" s="2702" t="s">
        <v>659</v>
      </c>
      <c r="M86" s="2741"/>
      <c r="N86" s="2742"/>
      <c r="O86" s="1071"/>
      <c r="P86" s="2650" t="s">
        <v>464</v>
      </c>
      <c r="Q86" s="2651"/>
      <c r="R86" s="555"/>
      <c r="U86" s="451"/>
      <c r="V86" s="416"/>
      <c r="W86" s="416"/>
      <c r="X86" s="416"/>
      <c r="Y86" s="416"/>
      <c r="Z86" s="416"/>
      <c r="AA86" s="416"/>
      <c r="AB86" s="416"/>
      <c r="AC86" s="416"/>
      <c r="AD86" s="410"/>
      <c r="AE86" s="414"/>
      <c r="AF86" s="414"/>
      <c r="AG86" s="414"/>
      <c r="AH86" s="414"/>
      <c r="AI86" s="414"/>
      <c r="AJ86" s="448"/>
      <c r="AK86" s="448"/>
      <c r="AL86" s="448"/>
      <c r="AM86" s="449"/>
      <c r="AN86" s="449"/>
      <c r="AO86" s="416"/>
      <c r="AP86" s="416"/>
      <c r="AQ86" s="416"/>
      <c r="AR86" s="416"/>
      <c r="AS86" s="416"/>
      <c r="AT86" s="416"/>
      <c r="AU86" s="416"/>
      <c r="AV86" s="416"/>
      <c r="AW86" s="416"/>
      <c r="AX86" s="416"/>
      <c r="AY86" s="416"/>
      <c r="AZ86" s="416"/>
      <c r="BA86" s="416"/>
      <c r="BB86" s="416"/>
      <c r="BC86" s="416"/>
      <c r="BD86" s="416"/>
      <c r="BE86" s="416"/>
      <c r="BF86" s="416"/>
      <c r="BG86" s="416"/>
      <c r="BH86" s="416"/>
      <c r="BI86" s="416"/>
      <c r="BJ86" s="416"/>
      <c r="BK86" s="416"/>
      <c r="BL86" s="416"/>
      <c r="BM86" s="416"/>
      <c r="BN86" s="416"/>
      <c r="BO86" s="416"/>
      <c r="BP86" s="416"/>
      <c r="BQ86" s="416"/>
    </row>
    <row r="87" spans="1:69" s="93" customFormat="1" ht="11.25" customHeight="1" x14ac:dyDescent="0.2">
      <c r="A87" s="390"/>
      <c r="B87" s="1464"/>
      <c r="C87" s="1464"/>
      <c r="D87" s="799"/>
      <c r="E87" s="2609" t="s">
        <v>641</v>
      </c>
      <c r="F87" s="2613"/>
      <c r="G87" s="2609" t="s">
        <v>655</v>
      </c>
      <c r="H87" s="2610"/>
      <c r="I87" s="2611"/>
      <c r="J87" s="2612" t="s">
        <v>655</v>
      </c>
      <c r="K87" s="2613"/>
      <c r="L87" s="2609" t="s">
        <v>655</v>
      </c>
      <c r="M87" s="2610"/>
      <c r="N87" s="2660"/>
      <c r="O87" s="1112"/>
      <c r="P87" s="2658" t="s">
        <v>465</v>
      </c>
      <c r="Q87" s="2659"/>
      <c r="R87" s="555"/>
      <c r="S87" s="436" t="s">
        <v>680</v>
      </c>
      <c r="U87" s="451"/>
      <c r="V87" s="416"/>
      <c r="W87" s="416"/>
      <c r="X87" s="416"/>
      <c r="Y87" s="416"/>
      <c r="Z87" s="416"/>
      <c r="AA87" s="416"/>
      <c r="AB87" s="416"/>
      <c r="AC87" s="416"/>
      <c r="AD87" s="410"/>
      <c r="AE87" s="414"/>
      <c r="AF87" s="414"/>
      <c r="AG87" s="414"/>
      <c r="AH87" s="414"/>
      <c r="AI87" s="414"/>
      <c r="AJ87" s="448"/>
      <c r="AK87" s="448"/>
      <c r="AL87" s="448"/>
      <c r="AM87" s="449"/>
      <c r="AN87" s="449"/>
      <c r="AO87" s="416"/>
      <c r="AP87" s="416"/>
      <c r="AQ87" s="416"/>
      <c r="AR87" s="416"/>
      <c r="AS87" s="416"/>
      <c r="AT87" s="416"/>
      <c r="AU87" s="416"/>
      <c r="AV87" s="416"/>
      <c r="AW87" s="416"/>
      <c r="AX87" s="416"/>
      <c r="AY87" s="416"/>
      <c r="AZ87" s="416"/>
      <c r="BA87" s="416"/>
      <c r="BB87" s="416"/>
      <c r="BC87" s="416"/>
      <c r="BD87" s="416"/>
      <c r="BE87" s="416"/>
      <c r="BF87" s="416"/>
      <c r="BG87" s="416"/>
      <c r="BH87" s="416"/>
      <c r="BI87" s="416"/>
      <c r="BJ87" s="416"/>
      <c r="BK87" s="416"/>
      <c r="BL87" s="416"/>
      <c r="BM87" s="416"/>
      <c r="BN87" s="416"/>
      <c r="BO87" s="416"/>
      <c r="BP87" s="416"/>
      <c r="BQ87" s="416"/>
    </row>
    <row r="88" spans="1:69" s="88" customFormat="1" ht="12.1" customHeight="1" x14ac:dyDescent="0.2">
      <c r="A88" s="516" t="s">
        <v>735</v>
      </c>
      <c r="B88" s="1390"/>
      <c r="D88" s="1523" t="str">
        <f>"("&amp;Projektdaten!$G$31&amp;")"</f>
        <v>(Förderbeiträge berücksichtigen)</v>
      </c>
      <c r="E88" s="2553" t="s">
        <v>34</v>
      </c>
      <c r="F88" s="2554"/>
      <c r="G88" s="2623">
        <f>IF(Projektdaten!$T$31=1,$J$54,$J$39)</f>
        <v>0</v>
      </c>
      <c r="H88" s="2624"/>
      <c r="I88" s="2625"/>
      <c r="J88" s="2621" t="s">
        <v>49</v>
      </c>
      <c r="K88" s="2622"/>
      <c r="L88" s="2623">
        <f>G88</f>
        <v>0</v>
      </c>
      <c r="M88" s="2624"/>
      <c r="N88" s="2743"/>
      <c r="O88" s="292"/>
      <c r="P88" s="2652">
        <f>$E$39</f>
        <v>0</v>
      </c>
      <c r="Q88" s="2653"/>
      <c r="R88" s="92"/>
      <c r="S88" s="431">
        <f ca="1">S59</f>
        <v>2016</v>
      </c>
      <c r="T88" s="421">
        <f t="shared" ref="T88:AY88" ca="1" si="9">S88+1</f>
        <v>2017</v>
      </c>
      <c r="U88" s="421">
        <f t="shared" ca="1" si="9"/>
        <v>2018</v>
      </c>
      <c r="V88" s="421">
        <f t="shared" ca="1" si="9"/>
        <v>2019</v>
      </c>
      <c r="W88" s="421">
        <f t="shared" ca="1" si="9"/>
        <v>2020</v>
      </c>
      <c r="X88" s="421">
        <f t="shared" ca="1" si="9"/>
        <v>2021</v>
      </c>
      <c r="Y88" s="421">
        <f t="shared" ca="1" si="9"/>
        <v>2022</v>
      </c>
      <c r="Z88" s="421">
        <f t="shared" ca="1" si="9"/>
        <v>2023</v>
      </c>
      <c r="AA88" s="421">
        <f t="shared" ca="1" si="9"/>
        <v>2024</v>
      </c>
      <c r="AB88" s="421">
        <f t="shared" ca="1" si="9"/>
        <v>2025</v>
      </c>
      <c r="AC88" s="421">
        <f t="shared" ca="1" si="9"/>
        <v>2026</v>
      </c>
      <c r="AD88" s="421">
        <f t="shared" ca="1" si="9"/>
        <v>2027</v>
      </c>
      <c r="AE88" s="421">
        <f t="shared" ca="1" si="9"/>
        <v>2028</v>
      </c>
      <c r="AF88" s="421">
        <f t="shared" ca="1" si="9"/>
        <v>2029</v>
      </c>
      <c r="AG88" s="421">
        <f t="shared" ca="1" si="9"/>
        <v>2030</v>
      </c>
      <c r="AH88" s="421">
        <f t="shared" ca="1" si="9"/>
        <v>2031</v>
      </c>
      <c r="AI88" s="421">
        <f t="shared" ca="1" si="9"/>
        <v>2032</v>
      </c>
      <c r="AJ88" s="421">
        <f t="shared" ca="1" si="9"/>
        <v>2033</v>
      </c>
      <c r="AK88" s="421">
        <f t="shared" ca="1" si="9"/>
        <v>2034</v>
      </c>
      <c r="AL88" s="421">
        <f t="shared" ca="1" si="9"/>
        <v>2035</v>
      </c>
      <c r="AM88" s="421">
        <f t="shared" ca="1" si="9"/>
        <v>2036</v>
      </c>
      <c r="AN88" s="421">
        <f t="shared" ca="1" si="9"/>
        <v>2037</v>
      </c>
      <c r="AO88" s="421">
        <f t="shared" ca="1" si="9"/>
        <v>2038</v>
      </c>
      <c r="AP88" s="421">
        <f t="shared" ca="1" si="9"/>
        <v>2039</v>
      </c>
      <c r="AQ88" s="421">
        <f t="shared" ca="1" si="9"/>
        <v>2040</v>
      </c>
      <c r="AR88" s="421">
        <f t="shared" ca="1" si="9"/>
        <v>2041</v>
      </c>
      <c r="AS88" s="421">
        <f t="shared" ca="1" si="9"/>
        <v>2042</v>
      </c>
      <c r="AT88" s="421">
        <f t="shared" ca="1" si="9"/>
        <v>2043</v>
      </c>
      <c r="AU88" s="421">
        <f t="shared" ca="1" si="9"/>
        <v>2044</v>
      </c>
      <c r="AV88" s="421">
        <f t="shared" ca="1" si="9"/>
        <v>2045</v>
      </c>
      <c r="AW88" s="421">
        <f t="shared" ca="1" si="9"/>
        <v>2046</v>
      </c>
      <c r="AX88" s="421">
        <f t="shared" ca="1" si="9"/>
        <v>2047</v>
      </c>
      <c r="AY88" s="421">
        <f t="shared" ca="1" si="9"/>
        <v>2048</v>
      </c>
      <c r="AZ88" s="421">
        <f t="shared" ref="AZ88:BQ88" ca="1" si="10">AY88+1</f>
        <v>2049</v>
      </c>
      <c r="BA88" s="421">
        <f t="shared" ca="1" si="10"/>
        <v>2050</v>
      </c>
      <c r="BB88" s="421">
        <f t="shared" ca="1" si="10"/>
        <v>2051</v>
      </c>
      <c r="BC88" s="421">
        <f t="shared" ca="1" si="10"/>
        <v>2052</v>
      </c>
      <c r="BD88" s="421">
        <f t="shared" ca="1" si="10"/>
        <v>2053</v>
      </c>
      <c r="BE88" s="421">
        <f t="shared" ca="1" si="10"/>
        <v>2054</v>
      </c>
      <c r="BF88" s="421">
        <f t="shared" ca="1" si="10"/>
        <v>2055</v>
      </c>
      <c r="BG88" s="421">
        <f t="shared" ca="1" si="10"/>
        <v>2056</v>
      </c>
      <c r="BH88" s="421">
        <f t="shared" ca="1" si="10"/>
        <v>2057</v>
      </c>
      <c r="BI88" s="421">
        <f t="shared" ca="1" si="10"/>
        <v>2058</v>
      </c>
      <c r="BJ88" s="421">
        <f t="shared" ca="1" si="10"/>
        <v>2059</v>
      </c>
      <c r="BK88" s="421">
        <f t="shared" ca="1" si="10"/>
        <v>2060</v>
      </c>
      <c r="BL88" s="421">
        <f t="shared" ca="1" si="10"/>
        <v>2061</v>
      </c>
      <c r="BM88" s="421">
        <f t="shared" ca="1" si="10"/>
        <v>2062</v>
      </c>
      <c r="BN88" s="421">
        <f t="shared" ca="1" si="10"/>
        <v>2063</v>
      </c>
      <c r="BO88" s="421">
        <f t="shared" ca="1" si="10"/>
        <v>2064</v>
      </c>
      <c r="BP88" s="421">
        <f t="shared" ca="1" si="10"/>
        <v>2065</v>
      </c>
      <c r="BQ88" s="426">
        <f t="shared" ca="1" si="10"/>
        <v>2066</v>
      </c>
    </row>
    <row r="89" spans="1:69" s="88" customFormat="1" ht="12.1" customHeight="1" x14ac:dyDescent="0.2">
      <c r="A89" s="552" t="s">
        <v>744</v>
      </c>
      <c r="B89" s="697"/>
      <c r="C89" s="697"/>
      <c r="D89" s="1079"/>
      <c r="E89" s="2589">
        <f>IF(ISBLANK(Grunddaten!$AF$5),Grunddaten!$AE$5,Grunddaten!$AF$5)</f>
        <v>0</v>
      </c>
      <c r="F89" s="2590"/>
      <c r="G89" s="2626">
        <f>$N39</f>
        <v>0</v>
      </c>
      <c r="H89" s="2627"/>
      <c r="I89" s="2628"/>
      <c r="J89" s="2585" t="s">
        <v>49</v>
      </c>
      <c r="K89" s="2586"/>
      <c r="L89" s="2626">
        <f ca="1">IF(P89=0,0,-ROUND(PMT($J$9,$E$83,$P89),-1))</f>
        <v>0</v>
      </c>
      <c r="M89" s="2627"/>
      <c r="N89" s="2744"/>
      <c r="O89" s="292"/>
      <c r="P89" s="2654">
        <f ca="1">ROUND(NPV($J$9,S89:OFFSET($S$89,0,$E$83-1)),-1)</f>
        <v>0</v>
      </c>
      <c r="Q89" s="2655"/>
      <c r="R89" s="92"/>
      <c r="S89" s="490">
        <f>G89</f>
        <v>0</v>
      </c>
      <c r="T89" s="491">
        <f ca="1">$S$89*(1+(T88-$S$88)*$E$89)</f>
        <v>0</v>
      </c>
      <c r="U89" s="491">
        <f t="shared" ref="U89:BQ89" ca="1" si="11">$S$89*(1+(U88-$S$88)*$E$89)</f>
        <v>0</v>
      </c>
      <c r="V89" s="491">
        <f t="shared" ca="1" si="11"/>
        <v>0</v>
      </c>
      <c r="W89" s="491">
        <f t="shared" ca="1" si="11"/>
        <v>0</v>
      </c>
      <c r="X89" s="491">
        <f t="shared" ca="1" si="11"/>
        <v>0</v>
      </c>
      <c r="Y89" s="491">
        <f t="shared" ca="1" si="11"/>
        <v>0</v>
      </c>
      <c r="Z89" s="491">
        <f t="shared" ca="1" si="11"/>
        <v>0</v>
      </c>
      <c r="AA89" s="491">
        <f t="shared" ca="1" si="11"/>
        <v>0</v>
      </c>
      <c r="AB89" s="491">
        <f t="shared" ca="1" si="11"/>
        <v>0</v>
      </c>
      <c r="AC89" s="491">
        <f t="shared" ca="1" si="11"/>
        <v>0</v>
      </c>
      <c r="AD89" s="491">
        <f t="shared" ca="1" si="11"/>
        <v>0</v>
      </c>
      <c r="AE89" s="491">
        <f t="shared" ca="1" si="11"/>
        <v>0</v>
      </c>
      <c r="AF89" s="491">
        <f t="shared" ca="1" si="11"/>
        <v>0</v>
      </c>
      <c r="AG89" s="491">
        <f t="shared" ca="1" si="11"/>
        <v>0</v>
      </c>
      <c r="AH89" s="491">
        <f t="shared" ca="1" si="11"/>
        <v>0</v>
      </c>
      <c r="AI89" s="491">
        <f t="shared" ca="1" si="11"/>
        <v>0</v>
      </c>
      <c r="AJ89" s="491">
        <f t="shared" ca="1" si="11"/>
        <v>0</v>
      </c>
      <c r="AK89" s="491">
        <f t="shared" ca="1" si="11"/>
        <v>0</v>
      </c>
      <c r="AL89" s="491">
        <f t="shared" ca="1" si="11"/>
        <v>0</v>
      </c>
      <c r="AM89" s="491">
        <f t="shared" ca="1" si="11"/>
        <v>0</v>
      </c>
      <c r="AN89" s="491">
        <f t="shared" ca="1" si="11"/>
        <v>0</v>
      </c>
      <c r="AO89" s="491">
        <f t="shared" ca="1" si="11"/>
        <v>0</v>
      </c>
      <c r="AP89" s="491">
        <f t="shared" ca="1" si="11"/>
        <v>0</v>
      </c>
      <c r="AQ89" s="491">
        <f t="shared" ca="1" si="11"/>
        <v>0</v>
      </c>
      <c r="AR89" s="491">
        <f t="shared" ca="1" si="11"/>
        <v>0</v>
      </c>
      <c r="AS89" s="491">
        <f t="shared" ca="1" si="11"/>
        <v>0</v>
      </c>
      <c r="AT89" s="491">
        <f t="shared" ca="1" si="11"/>
        <v>0</v>
      </c>
      <c r="AU89" s="491">
        <f t="shared" ca="1" si="11"/>
        <v>0</v>
      </c>
      <c r="AV89" s="491">
        <f t="shared" ca="1" si="11"/>
        <v>0</v>
      </c>
      <c r="AW89" s="491">
        <f t="shared" ca="1" si="11"/>
        <v>0</v>
      </c>
      <c r="AX89" s="491">
        <f t="shared" ca="1" si="11"/>
        <v>0</v>
      </c>
      <c r="AY89" s="491">
        <f t="shared" ca="1" si="11"/>
        <v>0</v>
      </c>
      <c r="AZ89" s="491">
        <f t="shared" ca="1" si="11"/>
        <v>0</v>
      </c>
      <c r="BA89" s="491">
        <f t="shared" ca="1" si="11"/>
        <v>0</v>
      </c>
      <c r="BB89" s="491">
        <f t="shared" ca="1" si="11"/>
        <v>0</v>
      </c>
      <c r="BC89" s="491">
        <f t="shared" ca="1" si="11"/>
        <v>0</v>
      </c>
      <c r="BD89" s="491">
        <f t="shared" ca="1" si="11"/>
        <v>0</v>
      </c>
      <c r="BE89" s="491">
        <f t="shared" ca="1" si="11"/>
        <v>0</v>
      </c>
      <c r="BF89" s="491">
        <f t="shared" ca="1" si="11"/>
        <v>0</v>
      </c>
      <c r="BG89" s="491">
        <f t="shared" ca="1" si="11"/>
        <v>0</v>
      </c>
      <c r="BH89" s="491">
        <f t="shared" ca="1" si="11"/>
        <v>0</v>
      </c>
      <c r="BI89" s="491">
        <f t="shared" ca="1" si="11"/>
        <v>0</v>
      </c>
      <c r="BJ89" s="491">
        <f t="shared" ca="1" si="11"/>
        <v>0</v>
      </c>
      <c r="BK89" s="491">
        <f t="shared" ca="1" si="11"/>
        <v>0</v>
      </c>
      <c r="BL89" s="491">
        <f t="shared" ca="1" si="11"/>
        <v>0</v>
      </c>
      <c r="BM89" s="491">
        <f t="shared" ca="1" si="11"/>
        <v>0</v>
      </c>
      <c r="BN89" s="491">
        <f t="shared" ca="1" si="11"/>
        <v>0</v>
      </c>
      <c r="BO89" s="491">
        <f t="shared" ca="1" si="11"/>
        <v>0</v>
      </c>
      <c r="BP89" s="491">
        <f t="shared" ca="1" si="11"/>
        <v>0</v>
      </c>
      <c r="BQ89" s="1766">
        <f t="shared" ca="1" si="11"/>
        <v>0</v>
      </c>
    </row>
    <row r="90" spans="1:69" s="88" customFormat="1" ht="12.1" customHeight="1" x14ac:dyDescent="0.2">
      <c r="A90" s="517" t="s">
        <v>39</v>
      </c>
      <c r="B90" s="92"/>
      <c r="C90" s="92"/>
      <c r="D90" s="1080"/>
      <c r="E90" s="2568"/>
      <c r="F90" s="2569"/>
      <c r="G90" s="2629"/>
      <c r="H90" s="2630"/>
      <c r="I90" s="2631"/>
      <c r="J90" s="2587"/>
      <c r="K90" s="2588"/>
      <c r="L90" s="2629"/>
      <c r="M90" s="2630"/>
      <c r="N90" s="2745"/>
      <c r="O90" s="292"/>
      <c r="P90" s="2656"/>
      <c r="Q90" s="2657"/>
      <c r="R90" s="556"/>
      <c r="S90" s="492"/>
      <c r="T90" s="492"/>
      <c r="U90" s="492"/>
      <c r="V90" s="492"/>
      <c r="W90" s="492"/>
      <c r="X90" s="492"/>
      <c r="Y90" s="492"/>
      <c r="Z90" s="492"/>
      <c r="AA90" s="410"/>
      <c r="AB90" s="452"/>
      <c r="AC90" s="452"/>
      <c r="AD90" s="452"/>
      <c r="AE90" s="452"/>
      <c r="AF90" s="452"/>
      <c r="AG90" s="453"/>
      <c r="AH90" s="453"/>
      <c r="AI90" s="453"/>
      <c r="AJ90" s="451"/>
      <c r="AK90" s="451"/>
      <c r="AL90" s="451"/>
      <c r="AM90" s="451"/>
      <c r="AN90" s="451"/>
      <c r="AO90" s="451"/>
      <c r="AP90" s="451"/>
      <c r="AQ90" s="451"/>
      <c r="AR90" s="451"/>
      <c r="AS90" s="451"/>
      <c r="AT90" s="451"/>
      <c r="AU90" s="451"/>
      <c r="AV90" s="451"/>
      <c r="AW90" s="451"/>
      <c r="AX90" s="451"/>
      <c r="AY90" s="451"/>
      <c r="AZ90" s="451"/>
      <c r="BA90" s="451"/>
      <c r="BB90" s="451"/>
      <c r="BC90" s="451"/>
      <c r="BD90" s="451"/>
      <c r="BE90" s="451"/>
      <c r="BF90" s="451"/>
      <c r="BG90" s="451"/>
      <c r="BH90" s="451"/>
      <c r="BI90" s="451"/>
      <c r="BJ90" s="451"/>
      <c r="BK90" s="451"/>
      <c r="BL90" s="451"/>
      <c r="BM90" s="451"/>
      <c r="BN90" s="451"/>
      <c r="BO90" s="451"/>
      <c r="BP90" s="451"/>
    </row>
    <row r="91" spans="1:69" s="88" customFormat="1" ht="11.25" customHeight="1" x14ac:dyDescent="0.2">
      <c r="A91" s="751" t="str">
        <f t="shared" ref="A91:A105" si="12">A62</f>
        <v>Elektrizität, Hochtarif</v>
      </c>
      <c r="B91" s="752"/>
      <c r="C91" s="752"/>
      <c r="D91" s="1081"/>
      <c r="E91" s="2614">
        <f ca="1">IF(G91=0,0,OFFSET(Grunddaten!$AH$11,El_Produkt,0))/100</f>
        <v>0</v>
      </c>
      <c r="F91" s="2615"/>
      <c r="G91" s="2578">
        <f t="shared" ref="G91:G105" ca="1" si="13">L62-J91</f>
        <v>0</v>
      </c>
      <c r="H91" s="2579"/>
      <c r="I91" s="2580"/>
      <c r="J91" s="2581">
        <f ca="1">$R$109*OFFSET(Grunddaten!$Q$11,El_Produkt,0)/100*G62</f>
        <v>0</v>
      </c>
      <c r="K91" s="2582"/>
      <c r="L91" s="2525">
        <f t="shared" ref="L91:L107" ca="1" si="14">IF(P91=0,0,-ROUND(PMT($J$9,$E$83,$P91),-1))</f>
        <v>0</v>
      </c>
      <c r="M91" s="2526"/>
      <c r="N91" s="2527"/>
      <c r="O91" s="294"/>
      <c r="P91" s="2636">
        <f ca="1">ROUND(NPV($J$9,S62:OFFSET(S62,0,$E$83-1)),-1)</f>
        <v>0</v>
      </c>
      <c r="Q91" s="2637"/>
      <c r="R91" s="554"/>
      <c r="S91" s="1069"/>
      <c r="T91" s="1069"/>
      <c r="U91" s="1069"/>
      <c r="V91" s="1069"/>
      <c r="AE91" s="382"/>
      <c r="AF91" s="382"/>
      <c r="AG91" s="382"/>
      <c r="AH91" s="382"/>
      <c r="AI91" s="382"/>
      <c r="AJ91" s="382"/>
      <c r="AK91" s="382"/>
      <c r="AL91" s="382"/>
      <c r="AM91" s="382"/>
      <c r="AN91" s="382"/>
      <c r="AO91" s="382"/>
      <c r="AP91" s="382"/>
      <c r="AQ91" s="382"/>
      <c r="AR91" s="382"/>
      <c r="AS91" s="382"/>
      <c r="AT91" s="382"/>
      <c r="AU91" s="382"/>
      <c r="AV91" s="382"/>
      <c r="AW91" s="382"/>
      <c r="AX91" s="382"/>
      <c r="AY91" s="382"/>
      <c r="AZ91" s="382"/>
      <c r="BA91" s="382"/>
      <c r="BB91" s="382"/>
      <c r="BC91" s="382"/>
      <c r="BD91" s="382"/>
      <c r="BE91" s="382"/>
      <c r="BF91" s="382"/>
      <c r="BG91" s="382"/>
      <c r="BH91" s="382"/>
      <c r="BI91" s="382"/>
      <c r="BJ91" s="382"/>
      <c r="BK91" s="382"/>
      <c r="BL91" s="382"/>
      <c r="BM91" s="382"/>
      <c r="BN91" s="382"/>
      <c r="BO91" s="382"/>
      <c r="BP91" s="382"/>
    </row>
    <row r="92" spans="1:69" s="88" customFormat="1" ht="11.25" customHeight="1" x14ac:dyDescent="0.2">
      <c r="A92" s="698" t="str">
        <f t="shared" si="12"/>
        <v>Elektrizität, Niedertarif</v>
      </c>
      <c r="B92" s="699"/>
      <c r="C92" s="699"/>
      <c r="D92" s="1082"/>
      <c r="E92" s="2564">
        <f ca="1">IF(G92=0,0,OFFSET(Grunddaten!$AH$11,El_Produkt+1,0))/100</f>
        <v>0</v>
      </c>
      <c r="F92" s="2565"/>
      <c r="G92" s="2618">
        <f t="shared" ca="1" si="13"/>
        <v>0</v>
      </c>
      <c r="H92" s="2619"/>
      <c r="I92" s="2620"/>
      <c r="J92" s="2583">
        <f ca="1">$R$109*OFFSET(Grunddaten!$Q$11,El_Produkt,0)/100*G63</f>
        <v>0</v>
      </c>
      <c r="K92" s="2584"/>
      <c r="L92" s="2531">
        <f t="shared" ca="1" si="14"/>
        <v>0</v>
      </c>
      <c r="M92" s="2532"/>
      <c r="N92" s="2533"/>
      <c r="O92" s="294"/>
      <c r="P92" s="2636">
        <f ca="1">ROUND(NPV($J$9,S63:OFFSET(S63,0,$E$83-1)),-1)</f>
        <v>0</v>
      </c>
      <c r="Q92" s="2637"/>
      <c r="R92" s="554"/>
      <c r="S92" s="1069"/>
      <c r="T92" s="1069"/>
      <c r="U92" s="1069"/>
      <c r="V92" s="1069"/>
      <c r="AE92" s="284"/>
      <c r="AF92" s="284"/>
      <c r="AG92" s="447"/>
      <c r="AH92" s="447"/>
      <c r="AI92" s="447"/>
      <c r="AJ92" s="382"/>
      <c r="AK92" s="382"/>
      <c r="AL92" s="382"/>
      <c r="AM92" s="382"/>
      <c r="AN92" s="382"/>
      <c r="AO92" s="382"/>
      <c r="AP92" s="382"/>
      <c r="AQ92" s="382"/>
      <c r="AR92" s="382"/>
      <c r="AS92" s="382"/>
      <c r="AT92" s="382"/>
      <c r="AU92" s="382"/>
      <c r="AV92" s="382"/>
      <c r="AW92" s="382"/>
      <c r="AX92" s="382"/>
      <c r="AY92" s="382"/>
      <c r="AZ92" s="382"/>
      <c r="BA92" s="382"/>
      <c r="BB92" s="382"/>
      <c r="BC92" s="382"/>
      <c r="BD92" s="382"/>
      <c r="BE92" s="382"/>
      <c r="BF92" s="382"/>
      <c r="BG92" s="382"/>
      <c r="BH92" s="382"/>
      <c r="BI92" s="382"/>
      <c r="BJ92" s="382"/>
      <c r="BK92" s="382"/>
      <c r="BL92" s="382"/>
      <c r="BM92" s="382"/>
      <c r="BN92" s="382"/>
      <c r="BO92" s="382"/>
      <c r="BP92" s="382"/>
    </row>
    <row r="93" spans="1:69" s="88" customFormat="1" ht="11.25" customHeight="1" x14ac:dyDescent="0.2">
      <c r="A93" s="751" t="str">
        <f t="shared" si="12"/>
        <v>Elektrizität Wärmepumpen, HT</v>
      </c>
      <c r="B93" s="752"/>
      <c r="C93" s="752"/>
      <c r="D93" s="1080"/>
      <c r="E93" s="2568">
        <f ca="1">IF(G93=0,0,OFFSET(Grunddaten!$AH$11,El_Produkt+2-2*$Q$64,0))/100</f>
        <v>0</v>
      </c>
      <c r="F93" s="2569"/>
      <c r="G93" s="2578">
        <f t="shared" ca="1" si="13"/>
        <v>0</v>
      </c>
      <c r="H93" s="2579"/>
      <c r="I93" s="2580"/>
      <c r="J93" s="2581">
        <f ca="1">$R$109*OFFSET(Grunddaten!$Q$11,El_Produkt,0)/100*G64</f>
        <v>0</v>
      </c>
      <c r="K93" s="2582"/>
      <c r="L93" s="2525">
        <f t="shared" ca="1" si="14"/>
        <v>0</v>
      </c>
      <c r="M93" s="2526"/>
      <c r="N93" s="2527"/>
      <c r="O93" s="294"/>
      <c r="P93" s="2641">
        <f ca="1">ROUND(NPV($J$9,S64:OFFSET(S64,0,$E$83-1)),-1)</f>
        <v>0</v>
      </c>
      <c r="Q93" s="2642"/>
      <c r="R93" s="554"/>
      <c r="S93" s="1069"/>
      <c r="T93" s="1069"/>
      <c r="U93" s="1069"/>
      <c r="V93" s="1069"/>
      <c r="AE93" s="284"/>
      <c r="AF93" s="284"/>
      <c r="AG93" s="447"/>
      <c r="AH93" s="447"/>
      <c r="AI93" s="447"/>
      <c r="AJ93" s="382"/>
      <c r="AK93" s="382"/>
      <c r="AL93" s="382"/>
      <c r="AM93" s="382"/>
      <c r="AN93" s="382"/>
      <c r="AO93" s="382"/>
      <c r="AP93" s="382"/>
      <c r="AQ93" s="382"/>
      <c r="AR93" s="382"/>
      <c r="AS93" s="382"/>
      <c r="AT93" s="382"/>
      <c r="AU93" s="382"/>
      <c r="AV93" s="382"/>
      <c r="AW93" s="382"/>
      <c r="AX93" s="382"/>
      <c r="AY93" s="382"/>
      <c r="AZ93" s="382"/>
      <c r="BA93" s="382"/>
      <c r="BB93" s="382"/>
      <c r="BC93" s="382"/>
      <c r="BD93" s="382"/>
      <c r="BE93" s="382"/>
      <c r="BF93" s="382"/>
      <c r="BG93" s="382"/>
      <c r="BH93" s="382"/>
      <c r="BI93" s="382"/>
      <c r="BJ93" s="382"/>
      <c r="BK93" s="382"/>
      <c r="BL93" s="382"/>
      <c r="BM93" s="382"/>
      <c r="BN93" s="382"/>
      <c r="BO93" s="382"/>
      <c r="BP93" s="382"/>
    </row>
    <row r="94" spans="1:69" s="88" customFormat="1" ht="11.25" customHeight="1" x14ac:dyDescent="0.2">
      <c r="A94" s="698" t="str">
        <f t="shared" si="12"/>
        <v>Elektrizität Wärmepumpen, NT</v>
      </c>
      <c r="B94" s="699"/>
      <c r="C94" s="699"/>
      <c r="D94" s="1082"/>
      <c r="E94" s="2564">
        <f ca="1">IF(G94=0,0,OFFSET(Grunddaten!$AH$11,El_Produkt+3-2*$Q$64,0))/100</f>
        <v>0</v>
      </c>
      <c r="F94" s="2565"/>
      <c r="G94" s="2618">
        <f t="shared" ca="1" si="13"/>
        <v>0</v>
      </c>
      <c r="H94" s="2619"/>
      <c r="I94" s="2620"/>
      <c r="J94" s="2583">
        <f ca="1">$R$109*OFFSET(Grunddaten!$Q$11,El_Produkt,0)/100*G65</f>
        <v>0</v>
      </c>
      <c r="K94" s="2584"/>
      <c r="L94" s="2531">
        <f t="shared" ca="1" si="14"/>
        <v>0</v>
      </c>
      <c r="M94" s="2532"/>
      <c r="N94" s="2533"/>
      <c r="O94" s="294"/>
      <c r="P94" s="2643">
        <f ca="1">ROUND(NPV($J$9,S65:OFFSET(S65,0,$E$83-1)),-1)</f>
        <v>0</v>
      </c>
      <c r="Q94" s="2644"/>
      <c r="R94" s="554"/>
      <c r="S94" s="1069"/>
      <c r="T94" s="1069"/>
      <c r="U94" s="1069"/>
      <c r="V94" s="1069"/>
      <c r="AE94" s="284"/>
      <c r="AF94" s="284"/>
      <c r="AG94" s="447"/>
      <c r="AH94" s="447"/>
      <c r="AI94" s="447"/>
      <c r="AJ94" s="382"/>
      <c r="AK94" s="382"/>
      <c r="AL94" s="382"/>
      <c r="AM94" s="382"/>
      <c r="AN94" s="382"/>
      <c r="AO94" s="382"/>
      <c r="AP94" s="382"/>
      <c r="AQ94" s="382"/>
      <c r="AR94" s="382"/>
      <c r="AS94" s="382"/>
      <c r="AT94" s="382"/>
      <c r="AU94" s="382"/>
      <c r="AV94" s="382"/>
      <c r="AW94" s="382"/>
      <c r="AX94" s="382"/>
      <c r="AY94" s="382"/>
      <c r="AZ94" s="382"/>
      <c r="BA94" s="382"/>
      <c r="BB94" s="382"/>
      <c r="BC94" s="382"/>
      <c r="BD94" s="382"/>
      <c r="BE94" s="382"/>
      <c r="BF94" s="382"/>
      <c r="BG94" s="382"/>
      <c r="BH94" s="382"/>
      <c r="BI94" s="382"/>
      <c r="BJ94" s="382"/>
      <c r="BK94" s="382"/>
      <c r="BL94" s="382"/>
      <c r="BM94" s="382"/>
      <c r="BN94" s="382"/>
      <c r="BO94" s="382"/>
      <c r="BP94" s="382"/>
    </row>
    <row r="95" spans="1:69" s="88" customFormat="1" ht="11.25" customHeight="1" x14ac:dyDescent="0.2">
      <c r="A95" s="751" t="str">
        <f t="shared" si="12"/>
        <v>Netzrückspeisung erneuerbar, HT</v>
      </c>
      <c r="B95" s="752"/>
      <c r="C95" s="752"/>
      <c r="D95" s="1080"/>
      <c r="E95" s="2568">
        <f>IF(G95=0,0,Grunddaten!$AH29/100)</f>
        <v>0</v>
      </c>
      <c r="F95" s="2569"/>
      <c r="G95" s="2578">
        <f t="shared" si="13"/>
        <v>0</v>
      </c>
      <c r="H95" s="2579"/>
      <c r="I95" s="2580"/>
      <c r="J95" s="2581">
        <f>$R$109*Grunddaten!Q29/100*G66</f>
        <v>0</v>
      </c>
      <c r="K95" s="2582"/>
      <c r="L95" s="2525">
        <f t="shared" ca="1" si="14"/>
        <v>0</v>
      </c>
      <c r="M95" s="2526"/>
      <c r="N95" s="2527"/>
      <c r="O95" s="294"/>
      <c r="P95" s="2636">
        <f ca="1">ROUND(NPV($J$9,S66:OFFSET(S66,0,$E$83-1)),-1)</f>
        <v>0</v>
      </c>
      <c r="Q95" s="2637"/>
      <c r="R95" s="554"/>
      <c r="S95" s="1069"/>
      <c r="T95" s="1069"/>
      <c r="U95" s="1069"/>
      <c r="V95" s="1069"/>
      <c r="AE95" s="284"/>
      <c r="AF95" s="284"/>
      <c r="AG95" s="447"/>
      <c r="AH95" s="447"/>
      <c r="AI95" s="447"/>
      <c r="AJ95" s="382"/>
      <c r="AK95" s="382"/>
      <c r="AL95" s="382"/>
      <c r="AM95" s="382"/>
      <c r="AN95" s="382"/>
      <c r="AO95" s="382"/>
      <c r="AP95" s="382"/>
      <c r="AQ95" s="382"/>
      <c r="AR95" s="382"/>
      <c r="AS95" s="382"/>
      <c r="AT95" s="382"/>
      <c r="AU95" s="382"/>
      <c r="AV95" s="382"/>
      <c r="AW95" s="382"/>
      <c r="AX95" s="382"/>
      <c r="AY95" s="382"/>
      <c r="AZ95" s="382"/>
      <c r="BA95" s="382"/>
      <c r="BB95" s="382"/>
      <c r="BC95" s="382"/>
      <c r="BD95" s="382"/>
      <c r="BE95" s="382"/>
      <c r="BF95" s="382"/>
      <c r="BG95" s="382"/>
      <c r="BH95" s="382"/>
      <c r="BI95" s="382"/>
      <c r="BJ95" s="382"/>
      <c r="BK95" s="382"/>
      <c r="BL95" s="382"/>
      <c r="BM95" s="382"/>
      <c r="BN95" s="382"/>
      <c r="BO95" s="382"/>
      <c r="BP95" s="382"/>
    </row>
    <row r="96" spans="1:69" s="88" customFormat="1" ht="11.25" customHeight="1" x14ac:dyDescent="0.2">
      <c r="A96" s="698" t="str">
        <f t="shared" si="12"/>
        <v>Netzrückspeisung erneuerbar, NT</v>
      </c>
      <c r="B96" s="699"/>
      <c r="C96" s="699"/>
      <c r="D96" s="1082"/>
      <c r="E96" s="2564">
        <f>IF(G96=0,0,Grunddaten!$AH30/100)</f>
        <v>0</v>
      </c>
      <c r="F96" s="2565"/>
      <c r="G96" s="2618">
        <f t="shared" si="13"/>
        <v>0</v>
      </c>
      <c r="H96" s="2619"/>
      <c r="I96" s="2620"/>
      <c r="J96" s="2583">
        <f>$R$109*Grunddaten!Q29/100*G67</f>
        <v>0</v>
      </c>
      <c r="K96" s="2584"/>
      <c r="L96" s="2531">
        <f t="shared" ca="1" si="14"/>
        <v>0</v>
      </c>
      <c r="M96" s="2532"/>
      <c r="N96" s="2533"/>
      <c r="O96" s="294"/>
      <c r="P96" s="2636">
        <f ca="1">ROUND(NPV($J$9,S67:OFFSET(S67,0,$E$83-1)),-1)</f>
        <v>0</v>
      </c>
      <c r="Q96" s="2637"/>
      <c r="R96" s="554"/>
      <c r="S96" s="1069"/>
      <c r="T96" s="1069"/>
      <c r="U96" s="1069"/>
      <c r="V96" s="1069"/>
      <c r="AE96" s="284"/>
      <c r="AF96" s="284"/>
      <c r="AG96" s="447"/>
      <c r="AH96" s="447"/>
      <c r="AI96" s="447"/>
      <c r="AJ96" s="382"/>
      <c r="AK96" s="382"/>
      <c r="AL96" s="382"/>
      <c r="AM96" s="382"/>
      <c r="AN96" s="382"/>
      <c r="AO96" s="382"/>
      <c r="AP96" s="382"/>
      <c r="AQ96" s="382"/>
      <c r="AR96" s="382"/>
      <c r="AS96" s="382"/>
      <c r="AT96" s="382"/>
      <c r="AU96" s="382"/>
      <c r="AV96" s="382"/>
      <c r="AW96" s="382"/>
      <c r="AX96" s="382"/>
      <c r="AY96" s="382"/>
      <c r="AZ96" s="382"/>
      <c r="BA96" s="382"/>
      <c r="BB96" s="382"/>
      <c r="BC96" s="382"/>
      <c r="BD96" s="382"/>
      <c r="BE96" s="382"/>
      <c r="BF96" s="382"/>
      <c r="BG96" s="382"/>
      <c r="BH96" s="382"/>
      <c r="BI96" s="382"/>
      <c r="BJ96" s="382"/>
      <c r="BK96" s="382"/>
      <c r="BL96" s="382"/>
      <c r="BM96" s="382"/>
      <c r="BN96" s="382"/>
      <c r="BO96" s="382"/>
      <c r="BP96" s="382"/>
    </row>
    <row r="97" spans="1:69" s="88" customFormat="1" ht="11.25" customHeight="1" x14ac:dyDescent="0.2">
      <c r="A97" s="751" t="str">
        <f t="shared" si="12"/>
        <v>Netzrückspeisung nicht erneuerbar, HT</v>
      </c>
      <c r="B97" s="752"/>
      <c r="C97" s="752"/>
      <c r="D97" s="1119"/>
      <c r="E97" s="2568">
        <f>IF(G97=0,0,Grunddaten!$AH31/100)</f>
        <v>0</v>
      </c>
      <c r="F97" s="2569"/>
      <c r="G97" s="2578">
        <f t="shared" si="13"/>
        <v>0</v>
      </c>
      <c r="H97" s="2579"/>
      <c r="I97" s="2580"/>
      <c r="J97" s="2581">
        <f>$R$109*Grunddaten!Q31/100*G68</f>
        <v>0</v>
      </c>
      <c r="K97" s="2582"/>
      <c r="L97" s="2525">
        <f t="shared" ca="1" si="14"/>
        <v>0</v>
      </c>
      <c r="M97" s="2526"/>
      <c r="N97" s="2527"/>
      <c r="O97" s="294"/>
      <c r="P97" s="2641">
        <f ca="1">ROUND(NPV($J$9,S68:OFFSET(S68,0,$E$83-1)),-1)</f>
        <v>0</v>
      </c>
      <c r="Q97" s="2642"/>
      <c r="R97" s="554"/>
      <c r="S97" s="1359"/>
      <c r="T97" s="1359"/>
      <c r="U97" s="1359"/>
      <c r="V97" s="1359"/>
      <c r="AE97" s="284"/>
      <c r="AF97" s="284"/>
      <c r="AG97" s="447"/>
      <c r="AH97" s="447"/>
      <c r="AI97" s="447"/>
      <c r="AJ97" s="382"/>
      <c r="AK97" s="382"/>
      <c r="AL97" s="382"/>
      <c r="AM97" s="382"/>
      <c r="AN97" s="382"/>
      <c r="AO97" s="382"/>
      <c r="AP97" s="382"/>
      <c r="AQ97" s="382"/>
      <c r="AR97" s="382"/>
      <c r="AS97" s="382"/>
      <c r="AT97" s="382"/>
      <c r="AU97" s="382"/>
      <c r="AV97" s="382"/>
      <c r="AW97" s="382"/>
      <c r="AX97" s="382"/>
      <c r="AY97" s="382"/>
      <c r="AZ97" s="382"/>
      <c r="BA97" s="382"/>
      <c r="BB97" s="382"/>
      <c r="BC97" s="382"/>
      <c r="BD97" s="382"/>
      <c r="BE97" s="382"/>
      <c r="BF97" s="382"/>
      <c r="BG97" s="382"/>
      <c r="BH97" s="382"/>
      <c r="BI97" s="382"/>
      <c r="BJ97" s="382"/>
      <c r="BK97" s="382"/>
      <c r="BL97" s="382"/>
      <c r="BM97" s="382"/>
      <c r="BN97" s="382"/>
      <c r="BO97" s="382"/>
      <c r="BP97" s="382"/>
    </row>
    <row r="98" spans="1:69" s="88" customFormat="1" ht="11.25" customHeight="1" x14ac:dyDescent="0.2">
      <c r="A98" s="698" t="str">
        <f t="shared" si="12"/>
        <v>Netzrückspeisung nicht erneuerbar, NT</v>
      </c>
      <c r="B98" s="699"/>
      <c r="C98" s="699"/>
      <c r="D98" s="1121"/>
      <c r="E98" s="2564">
        <f>IF(G98=0,0,Grunddaten!$AH32/100)</f>
        <v>0</v>
      </c>
      <c r="F98" s="2565"/>
      <c r="G98" s="2618">
        <f t="shared" si="13"/>
        <v>0</v>
      </c>
      <c r="H98" s="2619"/>
      <c r="I98" s="2620"/>
      <c r="J98" s="2583">
        <f>$R$109*Grunddaten!Q31/100*G69</f>
        <v>0</v>
      </c>
      <c r="K98" s="2584"/>
      <c r="L98" s="2531">
        <f t="shared" ca="1" si="14"/>
        <v>0</v>
      </c>
      <c r="M98" s="2532"/>
      <c r="N98" s="2533"/>
      <c r="O98" s="294"/>
      <c r="P98" s="2643">
        <f ca="1">ROUND(NPV($J$9,S69:OFFSET(S69,0,$E$83-1)),-1)</f>
        <v>0</v>
      </c>
      <c r="Q98" s="2644"/>
      <c r="R98" s="554"/>
      <c r="S98" s="1359"/>
      <c r="T98" s="1359"/>
      <c r="U98" s="1359"/>
      <c r="V98" s="1359"/>
      <c r="AE98" s="284"/>
      <c r="AF98" s="284"/>
      <c r="AG98" s="447"/>
      <c r="AH98" s="447"/>
      <c r="AI98" s="447"/>
      <c r="AJ98" s="382"/>
      <c r="AK98" s="382"/>
      <c r="AL98" s="382"/>
      <c r="AM98" s="382"/>
      <c r="AN98" s="382"/>
      <c r="AO98" s="382"/>
      <c r="AP98" s="382"/>
      <c r="AQ98" s="382"/>
      <c r="AR98" s="382"/>
      <c r="AS98" s="382"/>
      <c r="AT98" s="382"/>
      <c r="AU98" s="382"/>
      <c r="AV98" s="382"/>
      <c r="AW98" s="382"/>
      <c r="AX98" s="382"/>
      <c r="AY98" s="382"/>
      <c r="AZ98" s="382"/>
      <c r="BA98" s="382"/>
      <c r="BB98" s="382"/>
      <c r="BC98" s="382"/>
      <c r="BD98" s="382"/>
      <c r="BE98" s="382"/>
      <c r="BF98" s="382"/>
      <c r="BG98" s="382"/>
      <c r="BH98" s="382"/>
      <c r="BI98" s="382"/>
      <c r="BJ98" s="382"/>
      <c r="BK98" s="382"/>
      <c r="BL98" s="382"/>
      <c r="BM98" s="382"/>
      <c r="BN98" s="382"/>
      <c r="BO98" s="382"/>
      <c r="BP98" s="382"/>
    </row>
    <row r="99" spans="1:69" s="88" customFormat="1" ht="11.25" customHeight="1" x14ac:dyDescent="0.2">
      <c r="A99" s="753" t="str">
        <f t="shared" si="12"/>
        <v>Holzpellets</v>
      </c>
      <c r="B99" s="754"/>
      <c r="C99" s="754"/>
      <c r="D99" s="1079"/>
      <c r="E99" s="2589">
        <f ca="1">IF(G99=0,0,Grunddaten!$AH45/100)</f>
        <v>0</v>
      </c>
      <c r="F99" s="2590"/>
      <c r="G99" s="2591">
        <f t="shared" ca="1" si="13"/>
        <v>0</v>
      </c>
      <c r="H99" s="2592"/>
      <c r="I99" s="2593"/>
      <c r="J99" s="2477">
        <f ca="1">$R$109*Grunddaten!Q45/100*G70</f>
        <v>0</v>
      </c>
      <c r="K99" s="2478"/>
      <c r="L99" s="2645">
        <f t="shared" ca="1" si="14"/>
        <v>0</v>
      </c>
      <c r="M99" s="2646"/>
      <c r="N99" s="2647"/>
      <c r="O99" s="294"/>
      <c r="P99" s="2638">
        <f ca="1">ROUND(NPV($J$9,S70:OFFSET(S70,0,$E$83-1)),-1)</f>
        <v>0</v>
      </c>
      <c r="Q99" s="2639"/>
      <c r="R99" s="554"/>
      <c r="S99" s="1069"/>
      <c r="T99" s="1069"/>
      <c r="U99" s="1069"/>
      <c r="V99" s="1069"/>
      <c r="AE99" s="284"/>
      <c r="AF99" s="284"/>
      <c r="AG99" s="447"/>
      <c r="AH99" s="447"/>
      <c r="AI99" s="447"/>
      <c r="AJ99" s="382"/>
      <c r="AK99" s="382"/>
      <c r="AL99" s="382"/>
      <c r="AM99" s="382"/>
      <c r="AN99" s="382"/>
      <c r="AO99" s="382"/>
      <c r="AP99" s="382"/>
      <c r="AQ99" s="382"/>
      <c r="AR99" s="382"/>
      <c r="AS99" s="382"/>
      <c r="AT99" s="382"/>
      <c r="AU99" s="382"/>
      <c r="AV99" s="382"/>
      <c r="AW99" s="382"/>
      <c r="AX99" s="382"/>
      <c r="AY99" s="382"/>
      <c r="AZ99" s="382"/>
      <c r="BA99" s="382"/>
      <c r="BB99" s="382"/>
      <c r="BC99" s="382"/>
      <c r="BD99" s="382"/>
      <c r="BE99" s="382"/>
      <c r="BF99" s="382"/>
      <c r="BG99" s="382"/>
      <c r="BH99" s="382"/>
      <c r="BI99" s="382"/>
      <c r="BJ99" s="382"/>
      <c r="BK99" s="382"/>
      <c r="BL99" s="382"/>
      <c r="BM99" s="382"/>
      <c r="BN99" s="382"/>
      <c r="BO99" s="382"/>
      <c r="BP99" s="382"/>
    </row>
    <row r="100" spans="1:69" s="88" customFormat="1" ht="11.25" customHeight="1" x14ac:dyDescent="0.2">
      <c r="A100" s="753" t="str">
        <f t="shared" si="12"/>
        <v>Holzschnitzel</v>
      </c>
      <c r="B100" s="754"/>
      <c r="C100" s="754"/>
      <c r="D100" s="1079"/>
      <c r="E100" s="2589">
        <f ca="1">IF(G100=0,0,Grunddaten!$AH46/100)</f>
        <v>0</v>
      </c>
      <c r="F100" s="2590"/>
      <c r="G100" s="2591">
        <f t="shared" ca="1" si="13"/>
        <v>0</v>
      </c>
      <c r="H100" s="2592"/>
      <c r="I100" s="2593"/>
      <c r="J100" s="2477">
        <f ca="1">$R$109*Grunddaten!Q46/100*G71</f>
        <v>0</v>
      </c>
      <c r="K100" s="2478"/>
      <c r="L100" s="2645">
        <f t="shared" ca="1" si="14"/>
        <v>0</v>
      </c>
      <c r="M100" s="2646"/>
      <c r="N100" s="2647"/>
      <c r="O100" s="294"/>
      <c r="P100" s="2638">
        <f ca="1">ROUND(NPV($J$9,S71:OFFSET(S71,0,$E$83-1)),-1)</f>
        <v>0</v>
      </c>
      <c r="Q100" s="2639"/>
      <c r="R100" s="554"/>
      <c r="S100" s="1069"/>
      <c r="T100" s="1069"/>
      <c r="U100" s="1069"/>
      <c r="V100" s="1069"/>
      <c r="AE100" s="284"/>
      <c r="AF100" s="284"/>
      <c r="AG100" s="447"/>
      <c r="AH100" s="447"/>
      <c r="AI100" s="447"/>
      <c r="AJ100" s="382"/>
      <c r="AK100" s="382"/>
      <c r="AL100" s="382"/>
      <c r="AM100" s="382"/>
      <c r="AN100" s="382"/>
      <c r="AO100" s="382"/>
      <c r="AP100" s="382"/>
      <c r="AQ100" s="382"/>
      <c r="AR100" s="382"/>
      <c r="AS100" s="382"/>
      <c r="AT100" s="382"/>
      <c r="AU100" s="382"/>
      <c r="AV100" s="382"/>
      <c r="AW100" s="382"/>
      <c r="AX100" s="382"/>
      <c r="AY100" s="382"/>
      <c r="AZ100" s="382"/>
      <c r="BA100" s="382"/>
      <c r="BB100" s="382"/>
      <c r="BC100" s="382"/>
      <c r="BD100" s="382"/>
      <c r="BE100" s="382"/>
      <c r="BF100" s="382"/>
      <c r="BG100" s="382"/>
      <c r="BH100" s="382"/>
      <c r="BI100" s="382"/>
      <c r="BJ100" s="382"/>
      <c r="BK100" s="382"/>
      <c r="BL100" s="382"/>
      <c r="BM100" s="382"/>
      <c r="BN100" s="382"/>
      <c r="BO100" s="382"/>
      <c r="BP100" s="382"/>
    </row>
    <row r="101" spans="1:69" s="88" customFormat="1" ht="11.25" customHeight="1" x14ac:dyDescent="0.2">
      <c r="A101" s="753" t="str">
        <f t="shared" si="12"/>
        <v>Biogas</v>
      </c>
      <c r="B101" s="754"/>
      <c r="C101" s="754"/>
      <c r="D101" s="1079"/>
      <c r="E101" s="2700">
        <f ca="1">IF(G101=0,0,VLOOKUP(Projektdaten!G24,Grunddaten!C47:AI48,32,FALSE)/100)</f>
        <v>0</v>
      </c>
      <c r="F101" s="2701"/>
      <c r="G101" s="2591">
        <f t="shared" ca="1" si="13"/>
        <v>0</v>
      </c>
      <c r="H101" s="2592"/>
      <c r="I101" s="2593"/>
      <c r="J101" s="2477">
        <f ca="1">$R$109*VLOOKUP(Projektdaten!G24,Grunddaten!C47:AI48,15,FALSE)/100*G72</f>
        <v>0</v>
      </c>
      <c r="K101" s="2478"/>
      <c r="L101" s="2645">
        <f t="shared" ca="1" si="14"/>
        <v>0</v>
      </c>
      <c r="M101" s="2646"/>
      <c r="N101" s="2647"/>
      <c r="O101" s="294"/>
      <c r="P101" s="2638">
        <f ca="1">ROUND(NPV($J$9,S72:OFFSET(S72,0,$E$83-1)),-1)</f>
        <v>0</v>
      </c>
      <c r="Q101" s="2639"/>
      <c r="R101" s="554"/>
      <c r="S101" s="1069"/>
      <c r="T101" s="1069"/>
      <c r="U101" s="1069"/>
      <c r="V101" s="1069"/>
      <c r="AE101" s="284"/>
      <c r="AF101" s="284"/>
      <c r="AG101" s="447"/>
      <c r="AH101" s="447"/>
      <c r="AI101" s="447"/>
      <c r="AJ101" s="382"/>
      <c r="AK101" s="382"/>
      <c r="AL101" s="382"/>
      <c r="AM101" s="382"/>
      <c r="AN101" s="382"/>
      <c r="AO101" s="382"/>
      <c r="AP101" s="382"/>
      <c r="AQ101" s="382"/>
      <c r="AR101" s="382"/>
      <c r="AS101" s="382"/>
      <c r="AT101" s="382"/>
      <c r="AU101" s="382"/>
      <c r="AV101" s="382"/>
      <c r="AW101" s="382"/>
      <c r="AX101" s="382"/>
      <c r="AY101" s="382"/>
      <c r="AZ101" s="382"/>
      <c r="BA101" s="382"/>
      <c r="BB101" s="382"/>
      <c r="BC101" s="382"/>
      <c r="BD101" s="382"/>
      <c r="BE101" s="382"/>
      <c r="BF101" s="382"/>
      <c r="BG101" s="382"/>
      <c r="BH101" s="382"/>
      <c r="BI101" s="382"/>
      <c r="BJ101" s="382"/>
      <c r="BK101" s="382"/>
      <c r="BL101" s="382"/>
      <c r="BM101" s="382"/>
      <c r="BN101" s="382"/>
      <c r="BO101" s="382"/>
      <c r="BP101" s="382"/>
    </row>
    <row r="102" spans="1:69" s="88" customFormat="1" ht="11.25" customHeight="1" x14ac:dyDescent="0.2">
      <c r="A102" s="753" t="str">
        <f t="shared" si="12"/>
        <v>Erdgas</v>
      </c>
      <c r="B102" s="754"/>
      <c r="C102" s="754"/>
      <c r="D102" s="1079"/>
      <c r="E102" s="2589">
        <f ca="1">IF(G102=0,0,Grunddaten!$AH49/100)</f>
        <v>0</v>
      </c>
      <c r="F102" s="2590"/>
      <c r="G102" s="2591">
        <f t="shared" ca="1" si="13"/>
        <v>0</v>
      </c>
      <c r="H102" s="2592"/>
      <c r="I102" s="2593"/>
      <c r="J102" s="2477">
        <f ca="1">$R$109*Grunddaten!Q49/100*G73</f>
        <v>0</v>
      </c>
      <c r="K102" s="2478"/>
      <c r="L102" s="2645">
        <f t="shared" ca="1" si="14"/>
        <v>0</v>
      </c>
      <c r="M102" s="2646"/>
      <c r="N102" s="2647"/>
      <c r="O102" s="294"/>
      <c r="P102" s="2638">
        <f ca="1">ROUND(NPV($J$9,S73:OFFSET(S73,0,$E$83-1)),-1)</f>
        <v>0</v>
      </c>
      <c r="Q102" s="2639"/>
      <c r="R102" s="554"/>
      <c r="S102" s="1069"/>
      <c r="T102" s="1069"/>
      <c r="U102" s="1069"/>
      <c r="V102" s="1069"/>
      <c r="AE102" s="284"/>
      <c r="AF102" s="284"/>
      <c r="AG102" s="447"/>
      <c r="AH102" s="447"/>
      <c r="AI102" s="447"/>
      <c r="AJ102" s="382"/>
      <c r="AK102" s="382"/>
      <c r="AL102" s="382"/>
      <c r="AM102" s="382"/>
      <c r="AN102" s="382"/>
      <c r="AO102" s="382"/>
      <c r="AP102" s="382"/>
      <c r="AQ102" s="382"/>
      <c r="AR102" s="382"/>
      <c r="AS102" s="382"/>
      <c r="AT102" s="382"/>
      <c r="AU102" s="382"/>
      <c r="AV102" s="382"/>
      <c r="AW102" s="382"/>
      <c r="AX102" s="382"/>
      <c r="AY102" s="382"/>
      <c r="AZ102" s="382"/>
      <c r="BA102" s="382"/>
      <c r="BB102" s="382"/>
      <c r="BC102" s="382"/>
      <c r="BD102" s="382"/>
      <c r="BE102" s="382"/>
      <c r="BF102" s="382"/>
      <c r="BG102" s="382"/>
      <c r="BH102" s="382"/>
      <c r="BI102" s="382"/>
      <c r="BJ102" s="382"/>
      <c r="BK102" s="382"/>
      <c r="BL102" s="382"/>
      <c r="BM102" s="382"/>
      <c r="BN102" s="382"/>
      <c r="BO102" s="382"/>
      <c r="BP102" s="382"/>
    </row>
    <row r="103" spans="1:69" s="88" customFormat="1" ht="11.25" customHeight="1" x14ac:dyDescent="0.2">
      <c r="A103" s="753" t="str">
        <f t="shared" si="12"/>
        <v>Heizöl EL</v>
      </c>
      <c r="B103" s="754"/>
      <c r="C103" s="754"/>
      <c r="D103" s="1079"/>
      <c r="E103" s="2589">
        <f ca="1">IF(G103=0,0,Grunddaten!$AH50/100)</f>
        <v>0</v>
      </c>
      <c r="F103" s="2590"/>
      <c r="G103" s="2591">
        <f t="shared" ca="1" si="13"/>
        <v>0</v>
      </c>
      <c r="H103" s="2592"/>
      <c r="I103" s="2593"/>
      <c r="J103" s="2477">
        <f ca="1">$R$109*Grunddaten!Q50/100*G74</f>
        <v>0</v>
      </c>
      <c r="K103" s="2478"/>
      <c r="L103" s="2645">
        <f t="shared" ca="1" si="14"/>
        <v>0</v>
      </c>
      <c r="M103" s="2646"/>
      <c r="N103" s="2647"/>
      <c r="O103" s="294"/>
      <c r="P103" s="2638">
        <f ca="1">ROUND(NPV($J$9,S74:OFFSET(S74,0,$E$83-1)),-1)</f>
        <v>0</v>
      </c>
      <c r="Q103" s="2639"/>
      <c r="R103" s="554"/>
      <c r="S103" s="1069"/>
      <c r="T103" s="1069"/>
      <c r="U103" s="1069"/>
      <c r="V103" s="1069"/>
      <c r="AE103" s="284"/>
      <c r="AF103" s="284"/>
      <c r="AG103" s="447"/>
      <c r="AH103" s="447"/>
      <c r="AI103" s="447"/>
      <c r="AJ103" s="382"/>
      <c r="AK103" s="382"/>
      <c r="AL103" s="382"/>
      <c r="AM103" s="382"/>
      <c r="AN103" s="382"/>
      <c r="AO103" s="382"/>
      <c r="AP103" s="382"/>
      <c r="AQ103" s="382"/>
      <c r="AR103" s="382"/>
      <c r="AS103" s="382"/>
      <c r="AT103" s="382"/>
      <c r="AU103" s="382"/>
      <c r="AV103" s="382"/>
      <c r="AW103" s="382"/>
      <c r="AX103" s="382"/>
      <c r="AY103" s="382"/>
      <c r="AZ103" s="382"/>
      <c r="BA103" s="382"/>
      <c r="BB103" s="382"/>
      <c r="BC103" s="382"/>
      <c r="BD103" s="382"/>
      <c r="BE103" s="382"/>
      <c r="BF103" s="382"/>
      <c r="BG103" s="382"/>
      <c r="BH103" s="382"/>
      <c r="BI103" s="382"/>
      <c r="BJ103" s="382"/>
      <c r="BK103" s="382"/>
      <c r="BL103" s="382"/>
      <c r="BM103" s="382"/>
      <c r="BN103" s="382"/>
      <c r="BO103" s="382"/>
      <c r="BP103" s="382"/>
    </row>
    <row r="104" spans="1:69" s="88" customFormat="1" ht="11.25" customHeight="1" x14ac:dyDescent="0.2">
      <c r="A104" s="753" t="str">
        <f t="shared" si="12"/>
        <v>Brennstoff XY</v>
      </c>
      <c r="B104" s="754"/>
      <c r="C104" s="754"/>
      <c r="D104" s="1079"/>
      <c r="E104" s="2589">
        <f ca="1">IF(G104=0,0,Grunddaten!$AH51/100)</f>
        <v>0</v>
      </c>
      <c r="F104" s="2590"/>
      <c r="G104" s="2591">
        <f t="shared" ca="1" si="13"/>
        <v>0</v>
      </c>
      <c r="H104" s="2592"/>
      <c r="I104" s="2593"/>
      <c r="J104" s="2477">
        <f ca="1">$R$109*Grunddaten!Q51/100*G75</f>
        <v>0</v>
      </c>
      <c r="K104" s="2478"/>
      <c r="L104" s="2645">
        <f t="shared" ca="1" si="14"/>
        <v>0</v>
      </c>
      <c r="M104" s="2646"/>
      <c r="N104" s="2647"/>
      <c r="O104" s="294"/>
      <c r="P104" s="2638">
        <f ca="1">ROUND(NPV($J$9,S75:OFFSET(S75,0,$E$83-1)),-1)</f>
        <v>0</v>
      </c>
      <c r="Q104" s="2639"/>
      <c r="R104" s="554"/>
      <c r="S104" s="1069"/>
      <c r="T104" s="1069"/>
      <c r="U104" s="1069"/>
      <c r="V104" s="1069"/>
      <c r="AE104" s="284"/>
      <c r="AF104" s="284"/>
      <c r="AG104" s="447"/>
      <c r="AH104" s="447"/>
      <c r="AI104" s="447"/>
      <c r="AJ104" s="382"/>
      <c r="AK104" s="382"/>
      <c r="AL104" s="382"/>
      <c r="AM104" s="382"/>
      <c r="AN104" s="382"/>
      <c r="AO104" s="382"/>
      <c r="AP104" s="382"/>
      <c r="AQ104" s="382"/>
      <c r="AR104" s="382"/>
      <c r="AS104" s="382"/>
      <c r="AT104" s="382"/>
      <c r="AU104" s="382"/>
      <c r="AV104" s="382"/>
      <c r="AW104" s="382"/>
      <c r="AX104" s="382"/>
      <c r="AY104" s="382"/>
      <c r="AZ104" s="382"/>
      <c r="BA104" s="382"/>
      <c r="BB104" s="382"/>
      <c r="BC104" s="382"/>
      <c r="BD104" s="382"/>
      <c r="BE104" s="382"/>
      <c r="BF104" s="382"/>
      <c r="BG104" s="382"/>
      <c r="BH104" s="382"/>
      <c r="BI104" s="382"/>
      <c r="BJ104" s="382"/>
      <c r="BK104" s="382"/>
      <c r="BL104" s="382"/>
      <c r="BM104" s="382"/>
      <c r="BN104" s="382"/>
      <c r="BO104" s="382"/>
      <c r="BP104" s="382"/>
    </row>
    <row r="105" spans="1:69" s="88" customFormat="1" ht="11.25" customHeight="1" x14ac:dyDescent="0.2">
      <c r="A105" s="751" t="str">
        <f t="shared" si="12"/>
        <v>Fernwärme</v>
      </c>
      <c r="B105" s="752"/>
      <c r="C105" s="752"/>
      <c r="D105" s="1081"/>
      <c r="E105" s="2614">
        <f ca="1">IF(G105=0,0,OFFSET(Grunddaten!$AH$52,FW_Produkt,0))/100</f>
        <v>0</v>
      </c>
      <c r="F105" s="2615"/>
      <c r="G105" s="2578">
        <f t="shared" ca="1" si="13"/>
        <v>0</v>
      </c>
      <c r="H105" s="2579"/>
      <c r="I105" s="2580"/>
      <c r="J105" s="2581">
        <f ca="1">$R$109*OFFSET(Grunddaten!$Q$52,FW_Produkt,0)/100*G76</f>
        <v>0</v>
      </c>
      <c r="K105" s="2582"/>
      <c r="L105" s="2525">
        <f t="shared" ca="1" si="14"/>
        <v>0</v>
      </c>
      <c r="M105" s="2526"/>
      <c r="N105" s="2527"/>
      <c r="O105" s="294"/>
      <c r="P105" s="2638">
        <f ca="1">ROUND(NPV($J$9,S76:OFFSET(S76,0,$E$83-1)),-1)</f>
        <v>0</v>
      </c>
      <c r="Q105" s="2639"/>
      <c r="R105" s="554"/>
      <c r="S105" s="1069"/>
      <c r="T105" s="1069"/>
      <c r="U105" s="1069"/>
      <c r="V105" s="1069"/>
      <c r="AE105" s="284"/>
      <c r="AF105" s="284"/>
      <c r="AG105" s="447"/>
      <c r="AH105" s="447"/>
      <c r="AI105" s="447"/>
      <c r="AJ105" s="382"/>
      <c r="AK105" s="382"/>
      <c r="AL105" s="382"/>
      <c r="AM105" s="382"/>
      <c r="AN105" s="382"/>
      <c r="AO105" s="382"/>
      <c r="AP105" s="382"/>
      <c r="AQ105" s="382"/>
      <c r="AR105" s="382"/>
      <c r="AS105" s="382"/>
      <c r="AT105" s="382"/>
      <c r="AU105" s="382"/>
      <c r="AV105" s="382"/>
      <c r="AW105" s="382"/>
      <c r="AX105" s="382"/>
      <c r="AY105" s="382"/>
      <c r="AZ105" s="382"/>
      <c r="BA105" s="382"/>
      <c r="BB105" s="382"/>
      <c r="BC105" s="382"/>
      <c r="BD105" s="382"/>
      <c r="BE105" s="382"/>
      <c r="BF105" s="382"/>
      <c r="BG105" s="382"/>
      <c r="BH105" s="382"/>
      <c r="BI105" s="382"/>
      <c r="BJ105" s="382"/>
      <c r="BK105" s="382"/>
      <c r="BL105" s="382"/>
      <c r="BM105" s="382"/>
      <c r="BN105" s="382"/>
      <c r="BO105" s="382"/>
      <c r="BP105" s="382"/>
    </row>
    <row r="106" spans="1:69" s="88" customFormat="1" ht="11.25" customHeight="1" x14ac:dyDescent="0.2">
      <c r="A106" s="753" t="str">
        <f t="shared" ref="A106:A107" si="15">A77</f>
        <v>Wärmeverbund XY</v>
      </c>
      <c r="B106" s="754"/>
      <c r="C106" s="754"/>
      <c r="D106" s="1260"/>
      <c r="E106" s="2589">
        <f ca="1">IF(G106=0,0,Grunddaten!$AH55/100)</f>
        <v>0</v>
      </c>
      <c r="F106" s="2590"/>
      <c r="G106" s="2591">
        <f t="shared" ref="G106" ca="1" si="16">L77-J106</f>
        <v>0</v>
      </c>
      <c r="H106" s="2592"/>
      <c r="I106" s="2593"/>
      <c r="J106" s="2477">
        <f ca="1">$R$109*Grunddaten!Q55/100*G77</f>
        <v>0</v>
      </c>
      <c r="K106" s="2478"/>
      <c r="L106" s="2645">
        <f t="shared" ca="1" si="14"/>
        <v>0</v>
      </c>
      <c r="M106" s="2646"/>
      <c r="N106" s="2647"/>
      <c r="O106" s="294"/>
      <c r="P106" s="2638">
        <f ca="1">ROUND(NPV($J$9,S77:OFFSET(S77,0,$E$83-1)),-1)</f>
        <v>0</v>
      </c>
      <c r="Q106" s="2639"/>
      <c r="R106" s="554"/>
      <c r="S106" s="1709"/>
      <c r="T106" s="1709"/>
      <c r="U106" s="1709"/>
      <c r="V106" s="1709"/>
      <c r="AE106" s="284"/>
      <c r="AF106" s="284"/>
      <c r="AG106" s="447"/>
      <c r="AH106" s="447"/>
      <c r="AI106" s="447"/>
      <c r="AJ106" s="382"/>
      <c r="AK106" s="382"/>
      <c r="AL106" s="382"/>
      <c r="AM106" s="382"/>
      <c r="AN106" s="382"/>
      <c r="AO106" s="382"/>
      <c r="AP106" s="382"/>
      <c r="AQ106" s="382"/>
      <c r="AR106" s="382"/>
      <c r="AS106" s="382"/>
      <c r="AT106" s="382"/>
      <c r="AU106" s="382"/>
      <c r="AV106" s="382"/>
      <c r="AW106" s="382"/>
      <c r="AX106" s="382"/>
      <c r="AY106" s="382"/>
      <c r="AZ106" s="382"/>
      <c r="BA106" s="382"/>
      <c r="BB106" s="382"/>
      <c r="BC106" s="382"/>
      <c r="BD106" s="382"/>
      <c r="BE106" s="382"/>
      <c r="BF106" s="382"/>
      <c r="BG106" s="382"/>
      <c r="BH106" s="382"/>
      <c r="BI106" s="382"/>
      <c r="BJ106" s="382"/>
      <c r="BK106" s="382"/>
      <c r="BL106" s="382"/>
      <c r="BM106" s="382"/>
      <c r="BN106" s="382"/>
      <c r="BO106" s="382"/>
      <c r="BP106" s="382"/>
    </row>
    <row r="107" spans="1:69" s="88" customFormat="1" ht="11.25" customHeight="1" x14ac:dyDescent="0.2">
      <c r="A107" s="753" t="str">
        <f t="shared" si="15"/>
        <v>Kälteverbund XY</v>
      </c>
      <c r="B107" s="754"/>
      <c r="C107" s="754"/>
      <c r="D107" s="1260"/>
      <c r="E107" s="2589">
        <f ca="1">IF(G107=0,0,Grunddaten!$AH56/100)</f>
        <v>0</v>
      </c>
      <c r="F107" s="2590"/>
      <c r="G107" s="2591">
        <f t="shared" ref="G107" ca="1" si="17">L78-J107</f>
        <v>0</v>
      </c>
      <c r="H107" s="2592"/>
      <c r="I107" s="2593"/>
      <c r="J107" s="2477">
        <f ca="1">$R$109*Grunddaten!Q56/100*G78</f>
        <v>0</v>
      </c>
      <c r="K107" s="2478"/>
      <c r="L107" s="2645">
        <f t="shared" ca="1" si="14"/>
        <v>0</v>
      </c>
      <c r="M107" s="2646"/>
      <c r="N107" s="2647"/>
      <c r="O107" s="294"/>
      <c r="P107" s="2648">
        <f ca="1">ROUND(NPV($J$9,S78:OFFSET(S78,0,$E$83-1)),-1)</f>
        <v>0</v>
      </c>
      <c r="Q107" s="2649"/>
      <c r="R107" s="554"/>
      <c r="S107" s="1259"/>
      <c r="T107" s="1259"/>
      <c r="U107" s="1259"/>
      <c r="V107" s="1259"/>
      <c r="AE107" s="284"/>
      <c r="AF107" s="284"/>
      <c r="AG107" s="447"/>
      <c r="AH107" s="447"/>
      <c r="AI107" s="447"/>
      <c r="AJ107" s="382"/>
      <c r="AK107" s="382"/>
      <c r="AL107" s="382"/>
      <c r="AM107" s="382"/>
      <c r="AN107" s="382"/>
      <c r="AO107" s="382"/>
      <c r="AP107" s="382"/>
      <c r="AQ107" s="382"/>
      <c r="AR107" s="382"/>
      <c r="AS107" s="382"/>
      <c r="AT107" s="382"/>
      <c r="AU107" s="382"/>
      <c r="AV107" s="382"/>
      <c r="AW107" s="382"/>
      <c r="AX107" s="382"/>
      <c r="AY107" s="382"/>
      <c r="AZ107" s="382"/>
      <c r="BA107" s="382"/>
      <c r="BB107" s="382"/>
      <c r="BC107" s="382"/>
      <c r="BD107" s="382"/>
      <c r="BE107" s="382"/>
      <c r="BF107" s="382"/>
      <c r="BG107" s="382"/>
      <c r="BH107" s="382"/>
      <c r="BI107" s="382"/>
      <c r="BJ107" s="382"/>
      <c r="BK107" s="382"/>
      <c r="BL107" s="382"/>
      <c r="BM107" s="382"/>
      <c r="BN107" s="382"/>
      <c r="BO107" s="382"/>
      <c r="BP107" s="382"/>
    </row>
    <row r="108" spans="1:69" s="88" customFormat="1" ht="12.1" customHeight="1" x14ac:dyDescent="0.2">
      <c r="A108" s="756" t="s">
        <v>48</v>
      </c>
      <c r="B108" s="1391"/>
      <c r="C108" s="757"/>
      <c r="D108" s="757"/>
      <c r="E108" s="1066"/>
      <c r="F108" s="1067"/>
      <c r="G108" s="2575">
        <f ca="1">ROUND(SUM(G91:G107),-1)</f>
        <v>0</v>
      </c>
      <c r="H108" s="2576"/>
      <c r="I108" s="2577"/>
      <c r="J108" s="2466" t="s">
        <v>49</v>
      </c>
      <c r="K108" s="2467"/>
      <c r="L108" s="2575">
        <f ca="1">ROUND(SUM(L91:N107),-1)</f>
        <v>0</v>
      </c>
      <c r="M108" s="2576"/>
      <c r="N108" s="2664"/>
      <c r="O108" s="293"/>
      <c r="S108" s="382"/>
      <c r="AE108" s="284"/>
      <c r="AF108" s="284"/>
      <c r="AG108" s="447"/>
      <c r="AH108" s="447"/>
      <c r="AI108" s="447"/>
      <c r="AJ108" s="382"/>
      <c r="AK108" s="382"/>
      <c r="AL108" s="382"/>
      <c r="AM108" s="382"/>
      <c r="AN108" s="382"/>
      <c r="AO108" s="382"/>
      <c r="AP108" s="382"/>
      <c r="AQ108" s="382"/>
      <c r="AR108" s="382"/>
      <c r="AS108" s="382"/>
      <c r="AT108" s="382"/>
      <c r="AU108" s="382"/>
      <c r="AV108" s="382"/>
      <c r="AW108" s="382"/>
      <c r="AX108" s="382"/>
      <c r="AY108" s="382"/>
      <c r="AZ108" s="382"/>
      <c r="BA108" s="382"/>
      <c r="BB108" s="382"/>
      <c r="BC108" s="382"/>
      <c r="BD108" s="382"/>
      <c r="BE108" s="382"/>
      <c r="BF108" s="382"/>
      <c r="BG108" s="382"/>
      <c r="BH108" s="382"/>
      <c r="BI108" s="382"/>
      <c r="BJ108" s="382"/>
      <c r="BK108" s="382"/>
      <c r="BL108" s="382"/>
      <c r="BM108" s="382"/>
      <c r="BN108" s="382"/>
      <c r="BO108" s="382"/>
      <c r="BP108" s="382"/>
    </row>
    <row r="109" spans="1:69" s="88" customFormat="1" ht="12.1" customHeight="1" thickBot="1" x14ac:dyDescent="0.25">
      <c r="A109" s="755" t="s">
        <v>752</v>
      </c>
      <c r="B109" s="1392"/>
      <c r="C109" s="2704" t="str">
        <f>IF($R$109=1,"(berücksichtigt)","(nicht berücksichtigt)")</f>
        <v>(nicht berücksichtigt)</v>
      </c>
      <c r="D109" s="2704"/>
      <c r="E109" s="1068"/>
      <c r="F109" s="1068"/>
      <c r="G109" s="1524"/>
      <c r="H109" s="1524"/>
      <c r="I109" s="1525"/>
      <c r="J109" s="2680">
        <f ca="1">$R$109*ROUND(SUM(J91:J107),-1)</f>
        <v>0</v>
      </c>
      <c r="K109" s="2588"/>
      <c r="L109" s="2665">
        <f ca="1">J109</f>
        <v>0</v>
      </c>
      <c r="M109" s="2666"/>
      <c r="N109" s="2667"/>
      <c r="O109" s="293"/>
      <c r="P109" s="546" t="s">
        <v>753</v>
      </c>
      <c r="Q109" s="547"/>
      <c r="R109" s="548">
        <f>Projektdaten!$T$29</f>
        <v>0</v>
      </c>
      <c r="S109" s="321" t="s">
        <v>486</v>
      </c>
      <c r="AE109" s="284"/>
      <c r="AF109" s="284"/>
      <c r="AG109" s="447"/>
      <c r="AH109" s="447"/>
      <c r="AI109" s="447"/>
      <c r="AJ109" s="382"/>
      <c r="AK109" s="382"/>
      <c r="AL109" s="382"/>
      <c r="AM109" s="382"/>
      <c r="AN109" s="382"/>
      <c r="AO109" s="382"/>
      <c r="AP109" s="382"/>
      <c r="AQ109" s="382"/>
      <c r="AR109" s="382"/>
      <c r="AS109" s="382"/>
      <c r="AT109" s="382"/>
      <c r="AU109" s="382"/>
      <c r="AV109" s="382"/>
      <c r="AW109" s="382"/>
      <c r="AX109" s="382"/>
      <c r="AY109" s="382"/>
      <c r="AZ109" s="382"/>
      <c r="BA109" s="382"/>
      <c r="BB109" s="382"/>
      <c r="BC109" s="382"/>
      <c r="BD109" s="382"/>
      <c r="BE109" s="382"/>
      <c r="BF109" s="382"/>
      <c r="BG109" s="382"/>
      <c r="BH109" s="382"/>
      <c r="BI109" s="382"/>
      <c r="BJ109" s="382"/>
      <c r="BK109" s="382"/>
      <c r="BL109" s="382"/>
      <c r="BM109" s="382"/>
      <c r="BN109" s="382"/>
      <c r="BO109" s="382"/>
      <c r="BP109" s="382"/>
    </row>
    <row r="110" spans="1:69" s="88" customFormat="1" ht="13.6" customHeight="1" thickBot="1" x14ac:dyDescent="0.25">
      <c r="A110" s="391" t="s">
        <v>47</v>
      </c>
      <c r="B110" s="91"/>
      <c r="C110" s="393"/>
      <c r="D110" s="393"/>
      <c r="E110" s="1078"/>
      <c r="F110" s="1078"/>
      <c r="G110" s="2606">
        <f ca="1">G88+G89+G108+J109</f>
        <v>0</v>
      </c>
      <c r="H110" s="2607"/>
      <c r="I110" s="2607"/>
      <c r="J110" s="2607"/>
      <c r="K110" s="2608"/>
      <c r="L110" s="2668">
        <f ca="1">ROUND(SUM(L88+L89+L108+L109),-1)</f>
        <v>0</v>
      </c>
      <c r="M110" s="2669"/>
      <c r="N110" s="2670"/>
      <c r="O110" s="293"/>
      <c r="P110" s="290"/>
      <c r="R110" s="382"/>
      <c r="S110" s="382"/>
      <c r="AE110" s="284"/>
      <c r="AF110" s="284"/>
      <c r="AG110" s="447"/>
      <c r="AH110" s="447"/>
      <c r="AI110" s="447"/>
      <c r="AJ110" s="382"/>
      <c r="AK110" s="382"/>
      <c r="AL110" s="382"/>
      <c r="AM110" s="382"/>
      <c r="AN110" s="382"/>
      <c r="AO110" s="382"/>
      <c r="AP110" s="382"/>
      <c r="AQ110" s="382"/>
      <c r="AR110" s="382"/>
      <c r="AS110" s="382"/>
      <c r="AT110" s="382"/>
      <c r="AU110" s="382"/>
      <c r="AV110" s="382"/>
      <c r="AW110" s="382"/>
      <c r="AX110" s="382"/>
      <c r="AY110" s="382"/>
      <c r="AZ110" s="382"/>
      <c r="BA110" s="382"/>
      <c r="BB110" s="382"/>
      <c r="BC110" s="382"/>
      <c r="BD110" s="382"/>
      <c r="BE110" s="382"/>
      <c r="BF110" s="382"/>
      <c r="BG110" s="382"/>
      <c r="BH110" s="382"/>
      <c r="BI110" s="382"/>
      <c r="BJ110" s="382"/>
      <c r="BK110" s="382"/>
      <c r="BL110" s="382"/>
      <c r="BM110" s="382"/>
      <c r="BN110" s="382"/>
      <c r="BO110" s="382"/>
      <c r="BP110" s="382"/>
    </row>
    <row r="111" spans="1:69" s="172" customFormat="1" ht="5.95" customHeight="1" x14ac:dyDescent="0.2">
      <c r="A111" s="96" t="s">
        <v>12</v>
      </c>
      <c r="B111" s="96"/>
      <c r="C111" s="95"/>
      <c r="D111" s="95"/>
      <c r="E111" s="95"/>
      <c r="F111" s="95"/>
      <c r="G111" s="95"/>
      <c r="H111" s="171" t="s">
        <v>12</v>
      </c>
      <c r="I111" s="171"/>
      <c r="K111" s="173" t="s">
        <v>12</v>
      </c>
      <c r="L111" s="173"/>
      <c r="M111" s="173"/>
      <c r="N111" s="173"/>
      <c r="O111" s="173"/>
      <c r="P111" s="87"/>
      <c r="Q111" s="270"/>
      <c r="S111" s="454"/>
      <c r="T111" s="454"/>
      <c r="AD111" s="270"/>
      <c r="AE111" s="270"/>
      <c r="AF111" s="270"/>
      <c r="AG111" s="270"/>
      <c r="AH111" s="455"/>
      <c r="AI111" s="455"/>
      <c r="AJ111" s="455"/>
      <c r="AK111" s="454"/>
      <c r="AL111" s="454"/>
      <c r="AM111" s="454"/>
      <c r="AN111" s="454"/>
      <c r="AO111" s="454"/>
      <c r="AP111" s="454"/>
      <c r="AQ111" s="454"/>
      <c r="AR111" s="454"/>
      <c r="AS111" s="454"/>
      <c r="AT111" s="454"/>
      <c r="AU111" s="454"/>
      <c r="AV111" s="454"/>
      <c r="AW111" s="454"/>
      <c r="AX111" s="454"/>
      <c r="AY111" s="454"/>
      <c r="AZ111" s="454"/>
      <c r="BA111" s="454"/>
      <c r="BB111" s="454"/>
      <c r="BC111" s="454"/>
      <c r="BD111" s="454"/>
      <c r="BE111" s="454"/>
      <c r="BF111" s="454"/>
      <c r="BG111" s="454"/>
      <c r="BH111" s="454"/>
      <c r="BI111" s="454"/>
      <c r="BJ111" s="454"/>
      <c r="BK111" s="454"/>
      <c r="BL111" s="454"/>
      <c r="BM111" s="454"/>
      <c r="BN111" s="454"/>
      <c r="BO111" s="454"/>
      <c r="BP111" s="454"/>
      <c r="BQ111" s="454"/>
    </row>
    <row r="112" spans="1:69" s="84" customFormat="1" ht="17.350000000000001" customHeight="1" x14ac:dyDescent="0.25">
      <c r="A112" s="107" t="s">
        <v>478</v>
      </c>
      <c r="B112" s="107"/>
      <c r="E112" s="1379" t="str">
        <f>$D$88</f>
        <v>(Förderbeiträge berücksichtigen)</v>
      </c>
      <c r="F112" s="1379"/>
      <c r="G112" s="102"/>
      <c r="H112" s="83"/>
      <c r="I112" s="83"/>
      <c r="J112" s="83"/>
      <c r="K112" s="101"/>
      <c r="L112" s="101"/>
      <c r="M112" s="101"/>
      <c r="N112" s="101"/>
      <c r="O112" s="101"/>
      <c r="P112" s="506" t="s">
        <v>474</v>
      </c>
      <c r="S112" s="381"/>
      <c r="T112" s="381"/>
      <c r="U112" s="381"/>
      <c r="V112" s="381"/>
      <c r="W112" s="381"/>
      <c r="X112" s="381"/>
      <c r="AB112" s="395"/>
      <c r="AC112" s="270"/>
      <c r="AD112" s="270"/>
      <c r="AE112" s="270"/>
      <c r="AF112" s="270"/>
      <c r="AG112" s="270"/>
      <c r="AH112" s="380"/>
      <c r="AI112" s="380"/>
      <c r="AJ112" s="380"/>
      <c r="AK112" s="381"/>
      <c r="AL112" s="381"/>
      <c r="AM112" s="381"/>
      <c r="AN112" s="381"/>
      <c r="AO112" s="381"/>
      <c r="AP112" s="381"/>
      <c r="AQ112" s="381"/>
      <c r="AR112" s="381"/>
      <c r="AS112" s="381"/>
      <c r="AT112" s="381"/>
      <c r="AU112" s="381"/>
      <c r="AV112" s="381"/>
      <c r="AW112" s="381"/>
      <c r="AX112" s="381"/>
      <c r="AY112" s="381"/>
      <c r="AZ112" s="381"/>
      <c r="BA112" s="381"/>
      <c r="BB112" s="381"/>
      <c r="BC112" s="381"/>
      <c r="BD112" s="381"/>
      <c r="BE112" s="381"/>
      <c r="BF112" s="381"/>
      <c r="BG112" s="381"/>
      <c r="BH112" s="381"/>
      <c r="BI112" s="381"/>
      <c r="BJ112" s="381"/>
      <c r="BK112" s="381"/>
      <c r="BL112" s="381"/>
      <c r="BM112" s="381"/>
      <c r="BN112" s="381"/>
      <c r="BO112" s="381"/>
      <c r="BP112" s="381"/>
      <c r="BQ112" s="381"/>
    </row>
    <row r="113" spans="1:69" s="84" customFormat="1" ht="2.25" customHeight="1" thickBot="1" x14ac:dyDescent="0.25">
      <c r="A113" s="94"/>
      <c r="B113" s="94"/>
      <c r="C113" s="100"/>
      <c r="D113" s="100"/>
      <c r="E113" s="100"/>
      <c r="F113" s="100"/>
      <c r="G113" s="101"/>
      <c r="H113" s="86"/>
      <c r="I113" s="86"/>
      <c r="J113" s="86"/>
      <c r="K113" s="86"/>
      <c r="L113" s="86"/>
      <c r="M113" s="86"/>
      <c r="N113" s="86"/>
      <c r="O113" s="86"/>
      <c r="Q113" s="270"/>
      <c r="S113" s="381"/>
      <c r="T113" s="381"/>
      <c r="U113" s="381"/>
      <c r="V113" s="381"/>
      <c r="W113" s="381"/>
      <c r="X113" s="381"/>
      <c r="AB113" s="270"/>
      <c r="AC113" s="270"/>
      <c r="AD113" s="270"/>
      <c r="AE113" s="270"/>
      <c r="AF113" s="270"/>
      <c r="AG113" s="270"/>
      <c r="AH113" s="380"/>
      <c r="AI113" s="380"/>
      <c r="AJ113" s="380"/>
      <c r="AK113" s="381"/>
      <c r="AL113" s="381"/>
      <c r="AM113" s="381"/>
      <c r="AN113" s="381"/>
      <c r="AO113" s="381"/>
      <c r="AP113" s="381"/>
      <c r="AQ113" s="381"/>
      <c r="AR113" s="381"/>
      <c r="AS113" s="381"/>
      <c r="AT113" s="381"/>
      <c r="AU113" s="381"/>
      <c r="AV113" s="381"/>
      <c r="AW113" s="381"/>
      <c r="AX113" s="381"/>
      <c r="AY113" s="381"/>
      <c r="AZ113" s="381"/>
      <c r="BA113" s="381"/>
      <c r="BB113" s="381"/>
      <c r="BC113" s="381"/>
      <c r="BD113" s="381"/>
      <c r="BE113" s="381"/>
      <c r="BF113" s="381"/>
      <c r="BG113" s="381"/>
      <c r="BH113" s="381"/>
      <c r="BI113" s="381"/>
      <c r="BJ113" s="381"/>
      <c r="BK113" s="381"/>
      <c r="BL113" s="381"/>
      <c r="BM113" s="381"/>
      <c r="BN113" s="381"/>
      <c r="BO113" s="381"/>
      <c r="BP113" s="381"/>
      <c r="BQ113" s="381"/>
    </row>
    <row r="114" spans="1:69" s="84" customFormat="1" ht="12.9" customHeight="1" thickBot="1" x14ac:dyDescent="0.25">
      <c r="A114" s="388"/>
      <c r="B114" s="99"/>
      <c r="C114" s="2441" t="s">
        <v>480</v>
      </c>
      <c r="D114" s="2442"/>
      <c r="E114" s="2442"/>
      <c r="F114" s="2443"/>
      <c r="G114" s="2441" t="s">
        <v>678</v>
      </c>
      <c r="H114" s="2442"/>
      <c r="I114" s="2442"/>
      <c r="J114" s="2442"/>
      <c r="K114" s="2442"/>
      <c r="L114" s="2442"/>
      <c r="M114" s="2442"/>
      <c r="N114" s="2679"/>
      <c r="O114" s="1069"/>
      <c r="P114" s="435" t="s">
        <v>475</v>
      </c>
      <c r="Q114" s="381"/>
      <c r="R114" s="381"/>
      <c r="S114" s="381"/>
      <c r="T114" s="381"/>
      <c r="U114" s="381"/>
      <c r="V114" s="381"/>
      <c r="W114" s="381"/>
      <c r="AA114" s="270"/>
      <c r="AB114" s="270"/>
      <c r="AC114" s="270"/>
      <c r="AD114" s="270"/>
      <c r="AE114" s="270"/>
      <c r="AF114" s="380"/>
      <c r="AG114" s="380"/>
      <c r="AH114" s="380"/>
      <c r="AI114" s="381"/>
      <c r="AJ114" s="381"/>
      <c r="AK114" s="381"/>
      <c r="AL114" s="381"/>
      <c r="AM114" s="381"/>
      <c r="AN114" s="381"/>
      <c r="AO114" s="381"/>
      <c r="AP114" s="381"/>
      <c r="AQ114" s="381"/>
      <c r="AR114" s="381"/>
      <c r="AS114" s="381"/>
      <c r="AT114" s="381"/>
      <c r="AU114" s="381"/>
      <c r="AV114" s="381"/>
      <c r="AW114" s="381"/>
      <c r="AX114" s="381"/>
      <c r="AY114" s="381"/>
      <c r="AZ114" s="381"/>
      <c r="BA114" s="381"/>
      <c r="BB114" s="381"/>
      <c r="BC114" s="381"/>
      <c r="BD114" s="381"/>
      <c r="BE114" s="381"/>
      <c r="BF114" s="381"/>
      <c r="BG114" s="381"/>
      <c r="BH114" s="381"/>
      <c r="BI114" s="381"/>
      <c r="BJ114" s="381"/>
      <c r="BK114" s="381"/>
      <c r="BL114" s="381"/>
      <c r="BM114" s="381"/>
      <c r="BN114" s="381"/>
      <c r="BO114" s="381"/>
    </row>
    <row r="115" spans="1:69" s="84" customFormat="1" ht="12.9" customHeight="1" thickBot="1" x14ac:dyDescent="0.25">
      <c r="A115" s="507"/>
      <c r="B115" s="98"/>
      <c r="C115" s="2444" t="s">
        <v>32</v>
      </c>
      <c r="D115" s="2445"/>
      <c r="E115" s="2445"/>
      <c r="F115" s="2446"/>
      <c r="G115" s="2444" t="s">
        <v>472</v>
      </c>
      <c r="H115" s="2445"/>
      <c r="I115" s="2446"/>
      <c r="J115" s="2672" t="s">
        <v>473</v>
      </c>
      <c r="K115" s="2672"/>
      <c r="L115" s="2671" t="s">
        <v>452</v>
      </c>
      <c r="M115" s="2672"/>
      <c r="N115" s="2673"/>
      <c r="O115" s="1069"/>
      <c r="P115" s="505">
        <f>SUM(P116:P118)</f>
        <v>0</v>
      </c>
      <c r="Q115" s="503">
        <v>2</v>
      </c>
      <c r="R115" s="503">
        <v>3</v>
      </c>
      <c r="S115" s="503">
        <v>4</v>
      </c>
      <c r="T115" s="503">
        <v>5</v>
      </c>
      <c r="U115" s="503">
        <v>6</v>
      </c>
      <c r="V115" s="504">
        <v>7</v>
      </c>
      <c r="W115" s="381"/>
      <c r="AA115" s="270"/>
      <c r="AB115" s="270"/>
      <c r="AC115" s="270"/>
      <c r="AD115" s="270"/>
      <c r="AE115" s="270"/>
      <c r="AF115" s="380"/>
      <c r="AG115" s="380"/>
      <c r="AH115" s="380"/>
      <c r="AI115" s="381"/>
      <c r="AJ115" s="381"/>
      <c r="AK115" s="381"/>
      <c r="AL115" s="381"/>
      <c r="AM115" s="381"/>
      <c r="AN115" s="381"/>
      <c r="AO115" s="381"/>
      <c r="AP115" s="381"/>
      <c r="AQ115" s="381"/>
      <c r="AR115" s="381"/>
      <c r="AS115" s="381"/>
      <c r="AT115" s="381"/>
      <c r="AU115" s="381"/>
      <c r="AV115" s="381"/>
      <c r="AW115" s="381"/>
      <c r="AX115" s="381"/>
      <c r="AY115" s="381"/>
      <c r="AZ115" s="381"/>
      <c r="BA115" s="381"/>
      <c r="BB115" s="381"/>
      <c r="BC115" s="381"/>
      <c r="BD115" s="381"/>
      <c r="BE115" s="381"/>
      <c r="BF115" s="381"/>
      <c r="BG115" s="381"/>
      <c r="BH115" s="381"/>
      <c r="BI115" s="381"/>
      <c r="BJ115" s="381"/>
      <c r="BK115" s="381"/>
      <c r="BL115" s="381"/>
      <c r="BM115" s="381"/>
      <c r="BN115" s="381"/>
      <c r="BO115" s="381"/>
    </row>
    <row r="116" spans="1:69" s="84" customFormat="1" ht="12.75" customHeight="1" x14ac:dyDescent="0.2">
      <c r="A116" s="518" t="s">
        <v>469</v>
      </c>
      <c r="B116" s="1393"/>
      <c r="C116" s="2542">
        <f>SUM(EV_Var1!$M$10:$M$39,EV_Var1!$M$43,EV_Var1!$M$47,EV_Var1!$M$58,EV_Var1!$R$58)</f>
        <v>0</v>
      </c>
      <c r="D116" s="2543"/>
      <c r="E116" s="2543"/>
      <c r="F116" s="2544"/>
      <c r="G116" s="2594" t="str">
        <f>IF(C116=0,"",IF(OR($P$115=0,NOT(ISBLANK(J116))),$L$119,HLOOKUP($P$115,$Q$115:$V$118,2,FALSE)))</f>
        <v/>
      </c>
      <c r="H116" s="2595"/>
      <c r="I116" s="2596"/>
      <c r="J116" s="2683"/>
      <c r="K116" s="2684"/>
      <c r="L116" s="2689" t="str">
        <f>IF(ISBLANK(J116),G116,J116)</f>
        <v/>
      </c>
      <c r="M116" s="2690"/>
      <c r="N116" s="2691"/>
      <c r="O116" s="1069"/>
      <c r="P116" s="408">
        <f>IF(ISBLANK(J116),0,2)</f>
        <v>0</v>
      </c>
      <c r="Q116" s="501">
        <f>$J116*$C116/100</f>
        <v>0</v>
      </c>
      <c r="R116" s="494" t="e">
        <f ca="1">($L$110-SUM($J$91:$N$94)*$V$124-$R$117)/($C$116+$C$118)*100</f>
        <v>#DIV/0!</v>
      </c>
      <c r="S116" s="494" t="e">
        <f ca="1">($L$110-SUM($J$91:$N$94)*$V$124-$S$118)/($C$116+$C$117)*100</f>
        <v>#DIV/0!</v>
      </c>
      <c r="T116" s="502">
        <f>$J116*$C116/100</f>
        <v>0</v>
      </c>
      <c r="U116" s="499">
        <f>$J116*$C116/100</f>
        <v>0</v>
      </c>
      <c r="V116" s="495" t="e">
        <f ca="1">($L$110-SUM($J$91:$N$94)*$V$124-SUM($V$117,$V$118))/$C$116*100</f>
        <v>#DIV/0!</v>
      </c>
      <c r="W116" s="493"/>
      <c r="AA116" s="493"/>
      <c r="AB116" s="493"/>
      <c r="AC116" s="493"/>
      <c r="AD116" s="493"/>
      <c r="AE116" s="493"/>
      <c r="AF116" s="270"/>
      <c r="AG116" s="380"/>
      <c r="AH116" s="380"/>
      <c r="AI116" s="380"/>
      <c r="AJ116" s="381"/>
      <c r="AK116" s="381"/>
      <c r="AL116" s="381"/>
      <c r="AM116" s="381"/>
      <c r="AN116" s="381"/>
      <c r="AO116" s="381"/>
      <c r="AP116" s="381"/>
      <c r="AQ116" s="381"/>
      <c r="AR116" s="381"/>
      <c r="AS116" s="381"/>
      <c r="AT116" s="381"/>
      <c r="AU116" s="381"/>
      <c r="AV116" s="381"/>
      <c r="AW116" s="381"/>
      <c r="AX116" s="381"/>
      <c r="AY116" s="381"/>
      <c r="AZ116" s="381"/>
      <c r="BA116" s="381"/>
      <c r="BB116" s="381"/>
      <c r="BC116" s="381"/>
      <c r="BD116" s="381"/>
      <c r="BE116" s="381"/>
      <c r="BF116" s="381"/>
      <c r="BG116" s="381"/>
      <c r="BH116" s="381"/>
      <c r="BI116" s="381"/>
      <c r="BJ116" s="381"/>
      <c r="BK116" s="381"/>
      <c r="BL116" s="381"/>
      <c r="BM116" s="381"/>
      <c r="BN116" s="381"/>
      <c r="BO116" s="381"/>
      <c r="BP116" s="381"/>
    </row>
    <row r="117" spans="1:69" s="84" customFormat="1" ht="12.75" customHeight="1" x14ac:dyDescent="0.2">
      <c r="A117" s="519" t="s">
        <v>470</v>
      </c>
      <c r="B117" s="1394"/>
      <c r="C117" s="2545">
        <f>SUM(EV_Var1!$M$41,EV_Var1!$M$45,EV_Var1!$M$49,EV_Var1!$M$52,EV_Var1!$M$55)</f>
        <v>0</v>
      </c>
      <c r="D117" s="2546"/>
      <c r="E117" s="2546"/>
      <c r="F117" s="2547"/>
      <c r="G117" s="2597" t="str">
        <f>IF(C117=0,"",IF(OR($P$115=0,NOT(ISBLANK(J117))),$L$119,HLOOKUP($P$115,$Q$115:$V$118,3,FALSE)))</f>
        <v/>
      </c>
      <c r="H117" s="2598"/>
      <c r="I117" s="2599"/>
      <c r="J117" s="2685"/>
      <c r="K117" s="2686"/>
      <c r="L117" s="2692" t="str">
        <f>IF(ISBLANK(J117),G117,J117)</f>
        <v/>
      </c>
      <c r="M117" s="2693"/>
      <c r="N117" s="2694"/>
      <c r="O117" s="1069"/>
      <c r="P117" s="425">
        <f>IF(ISBLANK(J117),0,3)</f>
        <v>0</v>
      </c>
      <c r="Q117" s="500" t="e">
        <f ca="1">($L$110-SUM($J$91:$N$94)*$V$124-$Q$116)/($C$117+$C$118)*100</f>
        <v>#DIV/0!</v>
      </c>
      <c r="R117" s="496">
        <f>$J117*$C117/100</f>
        <v>0</v>
      </c>
      <c r="S117" s="494" t="e">
        <f ca="1">S116</f>
        <v>#DIV/0!</v>
      </c>
      <c r="T117" s="498">
        <f>$J117*$C117/100</f>
        <v>0</v>
      </c>
      <c r="U117" s="495" t="e">
        <f ca="1">($L$110-SUM($J$91:$N$94)*$V$124-SUM($U$116,$U$118))/$C$117*100</f>
        <v>#DIV/0!</v>
      </c>
      <c r="V117" s="497">
        <f>$J117*$C117/100</f>
        <v>0</v>
      </c>
      <c r="W117" s="493"/>
      <c r="X117" s="101"/>
      <c r="Y117" s="101"/>
      <c r="Z117" s="101"/>
      <c r="AA117" s="493"/>
      <c r="AB117" s="493"/>
      <c r="AC117" s="493"/>
      <c r="AD117" s="493"/>
      <c r="AE117" s="493"/>
      <c r="AF117" s="270"/>
      <c r="AG117" s="380"/>
      <c r="AH117" s="380"/>
      <c r="AI117" s="380"/>
      <c r="AJ117" s="381"/>
      <c r="AK117" s="381"/>
      <c r="AL117" s="381"/>
      <c r="AM117" s="381"/>
      <c r="AN117" s="381"/>
      <c r="AO117" s="381"/>
      <c r="AP117" s="381"/>
      <c r="AQ117" s="381"/>
      <c r="AR117" s="381"/>
      <c r="AS117" s="381"/>
      <c r="AT117" s="381"/>
      <c r="AU117" s="381"/>
      <c r="AV117" s="381"/>
      <c r="AW117" s="381"/>
      <c r="AX117" s="381"/>
      <c r="AY117" s="381"/>
      <c r="AZ117" s="381"/>
      <c r="BA117" s="381"/>
      <c r="BB117" s="381"/>
      <c r="BC117" s="381"/>
      <c r="BD117" s="381"/>
      <c r="BE117" s="381"/>
      <c r="BF117" s="381"/>
      <c r="BG117" s="381"/>
      <c r="BH117" s="381"/>
      <c r="BI117" s="381"/>
      <c r="BJ117" s="381"/>
      <c r="BK117" s="381"/>
      <c r="BL117" s="381"/>
      <c r="BM117" s="381"/>
      <c r="BN117" s="381"/>
      <c r="BO117" s="381"/>
      <c r="BP117" s="381"/>
    </row>
    <row r="118" spans="1:69" s="84" customFormat="1" ht="12.75" customHeight="1" x14ac:dyDescent="0.2">
      <c r="A118" s="511" t="s">
        <v>481</v>
      </c>
      <c r="B118" s="1387"/>
      <c r="C118" s="2548">
        <f>$T$129</f>
        <v>0</v>
      </c>
      <c r="D118" s="2549"/>
      <c r="E118" s="2549"/>
      <c r="F118" s="2550"/>
      <c r="G118" s="2600" t="str">
        <f>IF(C118=0,"",IF(OR($P$115=0,NOT(ISBLANK(J118))),$L$119,HLOOKUP($P$115,$Q$115:$V$118,4,FALSE)))</f>
        <v/>
      </c>
      <c r="H118" s="2601"/>
      <c r="I118" s="2602"/>
      <c r="J118" s="2687"/>
      <c r="K118" s="2688"/>
      <c r="L118" s="2661" t="str">
        <f>IF(ISBLANK(J118),G118,J118)</f>
        <v/>
      </c>
      <c r="M118" s="2662"/>
      <c r="N118" s="2663"/>
      <c r="O118" s="1069"/>
      <c r="P118" s="425">
        <f>IF(ISBLANK(J118),0,4)</f>
        <v>0</v>
      </c>
      <c r="Q118" s="488" t="e">
        <f ca="1">Q117</f>
        <v>#DIV/0!</v>
      </c>
      <c r="R118" s="489" t="e">
        <f ca="1">R116</f>
        <v>#DIV/0!</v>
      </c>
      <c r="S118" s="496">
        <f>$J118*$C118/100</f>
        <v>0</v>
      </c>
      <c r="T118" s="489" t="e">
        <f ca="1">($L$110-SUM($J$91:$N$94)*$V$124-SUM($T$116,$T$117))/$C$118*100</f>
        <v>#DIV/0!</v>
      </c>
      <c r="U118" s="499">
        <f>$J118*$C118/100</f>
        <v>0</v>
      </c>
      <c r="V118" s="499">
        <f>$J118*$C118/100</f>
        <v>0</v>
      </c>
      <c r="W118" s="493"/>
      <c r="X118" s="2695"/>
      <c r="Y118" s="2695"/>
      <c r="Z118" s="2695"/>
      <c r="AA118" s="493"/>
      <c r="AB118" s="493"/>
      <c r="AC118" s="493"/>
      <c r="AD118" s="493"/>
      <c r="AE118" s="493"/>
      <c r="AF118" s="270"/>
      <c r="AG118" s="380"/>
      <c r="AH118" s="380"/>
      <c r="AI118" s="380"/>
      <c r="AJ118" s="381"/>
      <c r="AK118" s="381"/>
      <c r="AL118" s="381"/>
      <c r="AM118" s="381"/>
      <c r="AN118" s="381"/>
      <c r="AO118" s="381"/>
      <c r="AP118" s="381"/>
      <c r="AQ118" s="381"/>
      <c r="AR118" s="381"/>
      <c r="AS118" s="381"/>
      <c r="AT118" s="381"/>
      <c r="AU118" s="381"/>
      <c r="AV118" s="381"/>
      <c r="AW118" s="381"/>
      <c r="AX118" s="381"/>
      <c r="AY118" s="381"/>
      <c r="AZ118" s="381"/>
      <c r="BA118" s="381"/>
      <c r="BB118" s="381"/>
      <c r="BC118" s="381"/>
      <c r="BD118" s="381"/>
      <c r="BE118" s="381"/>
      <c r="BF118" s="381"/>
      <c r="BG118" s="381"/>
      <c r="BH118" s="381"/>
      <c r="BI118" s="381"/>
      <c r="BJ118" s="381"/>
      <c r="BK118" s="381"/>
      <c r="BL118" s="381"/>
      <c r="BM118" s="381"/>
      <c r="BN118" s="381"/>
      <c r="BO118" s="381"/>
      <c r="BP118" s="381"/>
    </row>
    <row r="119" spans="1:69" s="84" customFormat="1" ht="12.75" customHeight="1" thickBot="1" x14ac:dyDescent="0.25">
      <c r="A119" s="520" t="s">
        <v>491</v>
      </c>
      <c r="B119" s="1395"/>
      <c r="C119" s="2572">
        <f>SUM(C116:F118)</f>
        <v>0</v>
      </c>
      <c r="D119" s="2573"/>
      <c r="E119" s="2573"/>
      <c r="F119" s="2574"/>
      <c r="G119" s="2603">
        <f>$L119</f>
        <v>0</v>
      </c>
      <c r="H119" s="2604"/>
      <c r="I119" s="2605"/>
      <c r="J119" s="2681"/>
      <c r="K119" s="2682"/>
      <c r="L119" s="2676">
        <f>IF(C119=0,0,($L$110-SUM($J$91:$N$94)*$V$124)/$C$119*100)</f>
        <v>0</v>
      </c>
      <c r="M119" s="2677"/>
      <c r="N119" s="2678"/>
      <c r="O119" s="1069"/>
      <c r="P119" s="493"/>
      <c r="Q119" s="493"/>
      <c r="R119" s="493"/>
      <c r="S119" s="493"/>
      <c r="T119" s="493"/>
      <c r="U119" s="493"/>
      <c r="V119" s="493"/>
      <c r="W119" s="493"/>
      <c r="X119" s="493"/>
      <c r="Y119" s="493"/>
      <c r="Z119" s="493"/>
      <c r="AA119" s="493"/>
      <c r="AB119" s="493"/>
      <c r="AC119" s="493"/>
      <c r="AD119" s="493"/>
      <c r="AE119" s="270"/>
      <c r="AF119" s="380"/>
      <c r="AG119" s="380"/>
      <c r="AH119" s="380"/>
      <c r="AI119" s="381"/>
      <c r="AJ119" s="381"/>
      <c r="AK119" s="381"/>
      <c r="AL119" s="381"/>
      <c r="AM119" s="381"/>
      <c r="AN119" s="381"/>
      <c r="AO119" s="381"/>
      <c r="AP119" s="381"/>
      <c r="AQ119" s="381"/>
      <c r="AR119" s="381"/>
      <c r="AS119" s="381"/>
      <c r="AT119" s="381"/>
      <c r="AU119" s="381"/>
      <c r="AV119" s="381"/>
      <c r="AW119" s="381"/>
      <c r="AX119" s="381"/>
      <c r="AY119" s="381"/>
      <c r="AZ119" s="381"/>
      <c r="BA119" s="381"/>
      <c r="BB119" s="381"/>
      <c r="BC119" s="381"/>
      <c r="BD119" s="381"/>
      <c r="BE119" s="381"/>
      <c r="BF119" s="381"/>
      <c r="BG119" s="381"/>
      <c r="BH119" s="381"/>
      <c r="BI119" s="381"/>
      <c r="BJ119" s="381"/>
      <c r="BK119" s="381"/>
      <c r="BL119" s="381"/>
      <c r="BM119" s="381"/>
      <c r="BN119" s="381"/>
      <c r="BO119" s="381"/>
    </row>
    <row r="120" spans="1:69" s="84" customFormat="1" ht="12.9" customHeight="1" x14ac:dyDescent="0.2">
      <c r="A120" s="534" t="s">
        <v>487</v>
      </c>
      <c r="B120" s="534"/>
      <c r="P120" s="270"/>
      <c r="R120" s="381"/>
      <c r="S120" s="381"/>
      <c r="T120" s="381"/>
      <c r="U120" s="381"/>
      <c r="V120" s="381"/>
      <c r="W120" s="381"/>
      <c r="X120" s="381"/>
      <c r="Y120" s="381"/>
      <c r="Z120" s="381"/>
      <c r="AA120" s="270"/>
      <c r="AB120" s="270"/>
      <c r="AC120" s="270"/>
      <c r="AD120" s="270"/>
      <c r="AE120" s="270"/>
      <c r="AF120" s="270"/>
      <c r="AG120" s="380"/>
      <c r="AH120" s="380"/>
      <c r="AI120" s="380"/>
      <c r="AJ120" s="381"/>
      <c r="AK120" s="381"/>
      <c r="AL120" s="381"/>
      <c r="AM120" s="381"/>
      <c r="AN120" s="381"/>
      <c r="AO120" s="381"/>
      <c r="AP120" s="381"/>
      <c r="AQ120" s="381"/>
      <c r="AR120" s="381"/>
      <c r="AS120" s="381"/>
      <c r="AT120" s="381"/>
      <c r="AU120" s="381"/>
      <c r="AV120" s="381"/>
      <c r="AW120" s="381"/>
      <c r="AX120" s="381"/>
      <c r="AY120" s="381"/>
      <c r="AZ120" s="381"/>
      <c r="BA120" s="381"/>
      <c r="BB120" s="381"/>
      <c r="BC120" s="381"/>
      <c r="BD120" s="381"/>
      <c r="BE120" s="381"/>
      <c r="BF120" s="381"/>
      <c r="BG120" s="381"/>
      <c r="BH120" s="381"/>
      <c r="BI120" s="381"/>
      <c r="BJ120" s="381"/>
      <c r="BK120" s="381"/>
      <c r="BL120" s="381"/>
      <c r="BM120" s="381"/>
      <c r="BN120" s="381"/>
      <c r="BO120" s="381"/>
      <c r="BP120" s="381"/>
    </row>
    <row r="121" spans="1:69" s="381" customFormat="1" ht="12.1" customHeight="1" x14ac:dyDescent="0.2">
      <c r="N121" s="673"/>
      <c r="P121" s="538" t="s">
        <v>483</v>
      </c>
      <c r="Q121" s="539"/>
      <c r="R121" s="539"/>
      <c r="S121" s="539"/>
      <c r="T121" s="539"/>
      <c r="U121" s="539"/>
      <c r="V121" s="539"/>
      <c r="AA121" s="270"/>
      <c r="AB121" s="270"/>
      <c r="AC121" s="270"/>
      <c r="AD121" s="270"/>
      <c r="AE121" s="270"/>
      <c r="AF121" s="270"/>
      <c r="AG121" s="380"/>
      <c r="AH121" s="380"/>
      <c r="AI121" s="380"/>
    </row>
    <row r="122" spans="1:69" s="381" customFormat="1" ht="12.1" customHeight="1" x14ac:dyDescent="0.2">
      <c r="N122" s="673"/>
      <c r="AA122" s="270"/>
      <c r="AB122" s="270"/>
      <c r="AC122" s="270"/>
      <c r="AD122" s="270"/>
      <c r="AE122" s="270"/>
      <c r="AF122" s="270"/>
      <c r="AG122" s="380"/>
      <c r="AH122" s="380"/>
      <c r="AI122" s="380"/>
    </row>
    <row r="123" spans="1:69" s="381" customFormat="1" ht="12.1" customHeight="1" x14ac:dyDescent="0.2">
      <c r="N123" s="673"/>
      <c r="P123" s="789" t="s">
        <v>522</v>
      </c>
      <c r="Q123" s="790"/>
      <c r="R123" s="790"/>
      <c r="S123" s="790"/>
      <c r="AA123" s="270"/>
      <c r="AB123" s="270"/>
      <c r="AC123" s="270"/>
      <c r="AD123" s="270"/>
      <c r="AE123" s="270"/>
      <c r="AF123" s="270"/>
      <c r="AG123" s="380"/>
      <c r="AH123" s="380"/>
      <c r="AI123" s="380"/>
    </row>
    <row r="124" spans="1:69" s="381" customFormat="1" ht="12.1" customHeight="1" x14ac:dyDescent="0.2">
      <c r="P124" s="536" t="s">
        <v>523</v>
      </c>
      <c r="T124" s="2633">
        <f>MAX(T126-T140,0)</f>
        <v>0</v>
      </c>
      <c r="U124" s="2633"/>
      <c r="V124" s="670">
        <f>IF(T126=0,0,T124/T126)</f>
        <v>0</v>
      </c>
      <c r="AA124" s="270"/>
      <c r="AB124" s="270"/>
      <c r="AC124" s="270"/>
      <c r="AD124" s="270"/>
      <c r="AE124" s="270"/>
      <c r="AF124" s="270"/>
      <c r="AG124" s="380"/>
      <c r="AH124" s="380"/>
      <c r="AI124" s="380"/>
    </row>
    <row r="125" spans="1:69" s="381" customFormat="1" ht="12.1" customHeight="1" x14ac:dyDescent="0.2">
      <c r="P125" s="536" t="s">
        <v>524</v>
      </c>
      <c r="T125" s="2640">
        <f>MAX(T126-T124,0)</f>
        <v>0</v>
      </c>
      <c r="U125" s="2640"/>
      <c r="V125" s="793">
        <f>IF(T126=0,0,T125/T126)</f>
        <v>0</v>
      </c>
      <c r="AA125" s="270"/>
      <c r="AB125" s="270"/>
      <c r="AC125" s="270"/>
      <c r="AD125" s="270"/>
      <c r="AE125" s="270"/>
      <c r="AF125" s="270"/>
      <c r="AG125" s="380"/>
      <c r="AH125" s="380"/>
      <c r="AI125" s="380"/>
    </row>
    <row r="126" spans="1:69" s="381" customFormat="1" ht="12.1" customHeight="1" x14ac:dyDescent="0.2">
      <c r="P126" s="791" t="s">
        <v>532</v>
      </c>
      <c r="Q126" s="792"/>
      <c r="R126" s="792"/>
      <c r="S126" s="792"/>
      <c r="T126" s="2634">
        <f>EV_Var1!$E$67</f>
        <v>0</v>
      </c>
      <c r="U126" s="2634"/>
      <c r="V126" s="794">
        <f>IF(T126=0,0,T126/T126)</f>
        <v>0</v>
      </c>
      <c r="AA126" s="270"/>
      <c r="AB126" s="270"/>
      <c r="AC126" s="270"/>
      <c r="AD126" s="270"/>
      <c r="AE126" s="270"/>
      <c r="AF126" s="270"/>
      <c r="AG126" s="380"/>
      <c r="AH126" s="380"/>
      <c r="AI126" s="380"/>
    </row>
    <row r="127" spans="1:69" s="381" customFormat="1" ht="12.1" customHeight="1" x14ac:dyDescent="0.2">
      <c r="AA127" s="270"/>
      <c r="AB127" s="270"/>
      <c r="AC127" s="270"/>
      <c r="AD127" s="270"/>
      <c r="AE127" s="270"/>
      <c r="AF127" s="270"/>
      <c r="AG127" s="380"/>
      <c r="AH127" s="380"/>
      <c r="AI127" s="380"/>
    </row>
    <row r="128" spans="1:69" s="381" customFormat="1" ht="12.1" customHeight="1" x14ac:dyDescent="0.2">
      <c r="P128" s="789" t="s">
        <v>525</v>
      </c>
      <c r="Q128" s="790"/>
      <c r="R128" s="790"/>
      <c r="S128" s="790"/>
      <c r="AA128" s="270"/>
      <c r="AB128" s="270"/>
      <c r="AC128" s="270"/>
      <c r="AD128" s="270"/>
      <c r="AE128" s="270"/>
      <c r="AF128" s="270"/>
      <c r="AG128" s="380"/>
      <c r="AH128" s="380"/>
      <c r="AI128" s="380"/>
    </row>
    <row r="129" spans="1:69" s="381" customFormat="1" ht="12.1" customHeight="1" x14ac:dyDescent="0.2">
      <c r="P129" s="669" t="s">
        <v>534</v>
      </c>
      <c r="Q129" s="796"/>
      <c r="R129" s="796"/>
      <c r="S129" s="796"/>
      <c r="T129" s="2633">
        <f>IF(T124&gt;0,T132-T131,(T132-T131)-(T140-T125))</f>
        <v>0</v>
      </c>
      <c r="U129" s="2633"/>
      <c r="V129" s="672">
        <f>IF($T$132=0,0,T129/$T$132)</f>
        <v>0</v>
      </c>
      <c r="Z129" s="1009"/>
      <c r="AA129" s="1009"/>
      <c r="AB129" s="270"/>
      <c r="AC129" s="270"/>
      <c r="AD129" s="270"/>
      <c r="AE129" s="270"/>
      <c r="AF129" s="270"/>
      <c r="AG129" s="380"/>
      <c r="AH129" s="380"/>
      <c r="AI129" s="380"/>
    </row>
    <row r="130" spans="1:69" s="381" customFormat="1" ht="12.1" customHeight="1" x14ac:dyDescent="0.2">
      <c r="A130" s="1069"/>
      <c r="B130" s="1381"/>
      <c r="C130" s="1069"/>
      <c r="D130" s="1069"/>
      <c r="E130" s="1069"/>
      <c r="F130" s="1069"/>
      <c r="G130" s="1069"/>
      <c r="H130" s="1069"/>
      <c r="P130" s="536" t="s">
        <v>524</v>
      </c>
      <c r="Q130" s="535"/>
      <c r="R130" s="535"/>
      <c r="S130" s="535"/>
      <c r="T130" s="2675">
        <f>T131-T129</f>
        <v>0</v>
      </c>
      <c r="U130" s="2675"/>
      <c r="V130" s="1060">
        <f>IF($T$132=0,0,T130/$T$132)</f>
        <v>0</v>
      </c>
      <c r="Z130" s="1009"/>
      <c r="AA130" s="1009"/>
      <c r="AB130" s="270"/>
      <c r="AC130" s="270"/>
      <c r="AD130" s="270"/>
      <c r="AE130" s="270"/>
      <c r="AF130" s="270"/>
      <c r="AG130" s="380"/>
      <c r="AH130" s="380"/>
      <c r="AI130" s="380"/>
    </row>
    <row r="131" spans="1:69" s="381" customFormat="1" ht="12.1" customHeight="1" x14ac:dyDescent="0.2">
      <c r="A131" s="1069"/>
      <c r="B131" s="1381"/>
      <c r="C131" s="1069"/>
      <c r="D131" s="1069"/>
      <c r="E131" s="1069"/>
      <c r="F131" s="1069"/>
      <c r="G131" s="1069"/>
      <c r="H131" s="1069"/>
      <c r="P131" s="560" t="s">
        <v>526</v>
      </c>
      <c r="Q131" s="790"/>
      <c r="R131" s="790"/>
      <c r="S131" s="790"/>
      <c r="T131" s="2674">
        <f>EV_Var1!$M$73</f>
        <v>0</v>
      </c>
      <c r="U131" s="2674"/>
      <c r="V131" s="671">
        <f>IF($T$132=0,0,T131/$T$132)</f>
        <v>0</v>
      </c>
      <c r="Z131" s="1009"/>
      <c r="AA131" s="1009"/>
      <c r="AB131" s="270"/>
      <c r="AC131" s="270"/>
      <c r="AD131" s="270"/>
      <c r="AE131" s="270"/>
      <c r="AF131" s="270"/>
      <c r="AG131" s="380"/>
      <c r="AH131" s="380"/>
      <c r="AI131" s="380"/>
    </row>
    <row r="132" spans="1:69" s="381" customFormat="1" ht="12.1" customHeight="1" x14ac:dyDescent="0.2">
      <c r="A132" s="1069"/>
      <c r="B132" s="1381"/>
      <c r="C132" s="1069"/>
      <c r="D132" s="1069"/>
      <c r="E132" s="1069"/>
      <c r="F132" s="1069"/>
      <c r="G132" s="1069"/>
      <c r="H132" s="1069"/>
      <c r="P132" s="791" t="s">
        <v>529</v>
      </c>
      <c r="Q132" s="792"/>
      <c r="R132" s="792"/>
      <c r="S132" s="792"/>
      <c r="T132" s="2632">
        <f>EV_Var1!$M$70+EV_Var1!$M$60</f>
        <v>0</v>
      </c>
      <c r="U132" s="2632"/>
      <c r="V132" s="794">
        <f>IF($T$132=0,0,T132/$T$132)</f>
        <v>0</v>
      </c>
      <c r="Z132" s="1009"/>
      <c r="AA132" s="1009"/>
      <c r="AB132" s="270"/>
      <c r="AC132" s="270"/>
      <c r="AD132" s="270"/>
      <c r="AE132" s="270"/>
      <c r="AF132" s="270"/>
      <c r="AG132" s="380"/>
      <c r="AH132" s="380"/>
      <c r="AI132" s="380"/>
    </row>
    <row r="133" spans="1:69" s="381" customFormat="1" ht="12.1" customHeight="1" x14ac:dyDescent="0.2">
      <c r="A133" s="1069"/>
      <c r="B133" s="1381"/>
      <c r="C133" s="1069"/>
      <c r="D133" s="1069"/>
      <c r="E133" s="1069"/>
      <c r="F133" s="1069"/>
      <c r="G133" s="1069"/>
      <c r="H133" s="1069"/>
      <c r="P133" s="536"/>
      <c r="Q133" s="535"/>
      <c r="R133" s="535"/>
      <c r="S133" s="535"/>
      <c r="T133" s="1061"/>
      <c r="U133" s="1061"/>
      <c r="V133" s="797"/>
      <c r="Z133" s="1009"/>
      <c r="AA133" s="1009"/>
      <c r="AB133" s="270"/>
      <c r="AC133" s="270"/>
      <c r="AD133" s="270"/>
      <c r="AE133" s="270"/>
      <c r="AF133" s="270"/>
      <c r="AG133" s="380"/>
      <c r="AH133" s="380"/>
      <c r="AI133" s="380"/>
    </row>
    <row r="134" spans="1:69" s="381" customFormat="1" ht="12.1" customHeight="1" x14ac:dyDescent="0.2">
      <c r="A134" s="1069"/>
      <c r="B134" s="1381"/>
      <c r="C134" s="1069"/>
      <c r="D134" s="1069"/>
      <c r="E134" s="1069"/>
      <c r="F134" s="1069"/>
      <c r="G134" s="1069"/>
      <c r="H134" s="1069"/>
      <c r="P134" s="560" t="s">
        <v>530</v>
      </c>
      <c r="Q134" s="790"/>
      <c r="R134" s="790"/>
      <c r="S134" s="790"/>
      <c r="T134" s="2635">
        <f>T132-T131</f>
        <v>0</v>
      </c>
      <c r="U134" s="2635">
        <f>T132-T131</f>
        <v>0</v>
      </c>
      <c r="V134" s="671"/>
      <c r="AA134" s="270"/>
      <c r="AB134" s="270"/>
      <c r="AC134" s="270"/>
      <c r="AD134" s="270"/>
      <c r="AE134" s="270"/>
      <c r="AF134" s="270"/>
      <c r="AG134" s="380"/>
      <c r="AH134" s="380"/>
      <c r="AI134" s="380"/>
    </row>
    <row r="135" spans="1:69" s="381" customFormat="1" ht="12.1" customHeight="1" x14ac:dyDescent="0.2">
      <c r="A135" s="1069"/>
      <c r="B135" s="1381"/>
      <c r="C135" s="1069"/>
      <c r="D135" s="1069"/>
      <c r="E135" s="1069"/>
      <c r="F135" s="1069"/>
      <c r="G135" s="1069"/>
      <c r="H135" s="1069"/>
      <c r="P135" s="791" t="s">
        <v>531</v>
      </c>
      <c r="Q135" s="792"/>
      <c r="R135" s="792"/>
      <c r="S135" s="792"/>
      <c r="T135" s="2632">
        <f>T132+T126</f>
        <v>0</v>
      </c>
      <c r="U135" s="2632"/>
      <c r="V135" s="794"/>
      <c r="Z135" s="1009"/>
      <c r="AA135" s="1009"/>
      <c r="AB135" s="270"/>
      <c r="AC135" s="270"/>
      <c r="AD135" s="270"/>
      <c r="AE135" s="270"/>
      <c r="AF135" s="270"/>
      <c r="AG135" s="380"/>
      <c r="AH135" s="380"/>
      <c r="AI135" s="380"/>
    </row>
    <row r="136" spans="1:69" s="381" customFormat="1" ht="12.1" customHeight="1" x14ac:dyDescent="0.2">
      <c r="A136" s="1069"/>
      <c r="B136" s="1381"/>
      <c r="C136" s="1069"/>
      <c r="D136" s="1069"/>
      <c r="E136" s="1069"/>
      <c r="F136" s="1069"/>
      <c r="G136" s="1069"/>
      <c r="H136" s="1069"/>
      <c r="P136" s="791" t="s">
        <v>533</v>
      </c>
      <c r="Q136" s="792"/>
      <c r="R136" s="792"/>
      <c r="S136" s="792"/>
      <c r="T136" s="2632">
        <f>T135-T131</f>
        <v>0</v>
      </c>
      <c r="U136" s="2632"/>
      <c r="V136" s="794"/>
      <c r="Z136" s="1009"/>
      <c r="AA136" s="1009"/>
      <c r="AB136" s="270"/>
      <c r="AC136" s="270"/>
      <c r="AD136" s="270"/>
      <c r="AE136" s="270"/>
      <c r="AF136" s="270"/>
      <c r="AG136" s="380"/>
      <c r="AH136" s="380"/>
      <c r="AI136" s="380"/>
    </row>
    <row r="137" spans="1:69" s="381" customFormat="1" ht="12.1" customHeight="1" x14ac:dyDescent="0.2">
      <c r="A137" s="1069"/>
      <c r="B137" s="1381"/>
      <c r="C137" s="1069"/>
      <c r="D137" s="1069"/>
      <c r="E137" s="1069"/>
      <c r="F137" s="1069"/>
      <c r="G137" s="1069"/>
      <c r="H137" s="1069"/>
      <c r="Z137" s="1009"/>
      <c r="AA137" s="1009"/>
      <c r="AB137" s="270"/>
      <c r="AC137" s="270"/>
      <c r="AD137" s="270"/>
      <c r="AE137" s="270"/>
      <c r="AF137" s="270"/>
      <c r="AG137" s="380"/>
      <c r="AH137" s="380"/>
      <c r="AI137" s="380"/>
    </row>
    <row r="138" spans="1:69" s="381" customFormat="1" ht="12.1" customHeight="1" x14ac:dyDescent="0.2">
      <c r="P138" s="789" t="s">
        <v>31</v>
      </c>
      <c r="Q138" s="790"/>
      <c r="R138" s="790"/>
      <c r="S138" s="790"/>
      <c r="T138" s="790"/>
      <c r="U138" s="790"/>
      <c r="V138" s="790"/>
      <c r="Z138" s="1009"/>
      <c r="AA138" s="1009"/>
      <c r="AB138" s="270"/>
      <c r="AC138" s="270"/>
      <c r="AD138" s="270"/>
      <c r="AE138" s="270"/>
      <c r="AF138" s="270"/>
      <c r="AG138" s="380"/>
      <c r="AH138" s="380"/>
      <c r="AI138" s="380"/>
    </row>
    <row r="139" spans="1:69" s="381" customFormat="1" ht="12.1" customHeight="1" x14ac:dyDescent="0.2">
      <c r="P139" s="536" t="s">
        <v>527</v>
      </c>
      <c r="T139" s="2640">
        <f>EV_Var1!$S$72</f>
        <v>0</v>
      </c>
      <c r="U139" s="2640"/>
      <c r="V139" s="537" t="e">
        <f>T139/$T$141</f>
        <v>#DIV/0!</v>
      </c>
      <c r="Z139" s="1009"/>
      <c r="AA139" s="1009"/>
      <c r="AB139" s="270"/>
      <c r="AC139" s="270"/>
      <c r="AD139" s="270"/>
      <c r="AE139" s="270"/>
      <c r="AF139" s="270"/>
      <c r="AG139" s="380"/>
      <c r="AH139" s="380"/>
      <c r="AI139" s="380"/>
    </row>
    <row r="140" spans="1:69" s="381" customFormat="1" ht="12.1" customHeight="1" x14ac:dyDescent="0.2">
      <c r="A140" s="535"/>
      <c r="B140" s="535"/>
      <c r="M140" s="535"/>
      <c r="N140" s="535"/>
      <c r="O140" s="535"/>
      <c r="P140" s="536" t="s">
        <v>528</v>
      </c>
      <c r="T140" s="2640">
        <f>SUM(EV_Var1!$M$62,EV_Var1!$M$65)</f>
        <v>0</v>
      </c>
      <c r="U140" s="2640"/>
      <c r="V140" s="537" t="e">
        <f>T140/$T$141</f>
        <v>#DIV/0!</v>
      </c>
      <c r="Z140" s="1009"/>
      <c r="AA140" s="1009"/>
      <c r="AB140" s="270"/>
      <c r="AC140" s="270"/>
      <c r="AD140" s="270"/>
      <c r="AE140" s="270"/>
      <c r="AF140" s="270"/>
      <c r="AG140" s="380"/>
      <c r="AH140" s="380"/>
      <c r="AI140" s="380"/>
    </row>
    <row r="141" spans="1:69" s="381" customFormat="1" ht="12.1" customHeight="1" x14ac:dyDescent="0.2">
      <c r="A141" s="535"/>
      <c r="B141" s="535"/>
      <c r="M141" s="535"/>
      <c r="N141" s="535"/>
      <c r="O141" s="535"/>
      <c r="P141" s="791" t="s">
        <v>482</v>
      </c>
      <c r="Q141" s="795"/>
      <c r="R141" s="795"/>
      <c r="S141" s="795"/>
      <c r="T141" s="2632">
        <f>SUM(T139:U140)</f>
        <v>0</v>
      </c>
      <c r="U141" s="2632"/>
      <c r="V141" s="794" t="e">
        <f>T141/$T$141</f>
        <v>#DIV/0!</v>
      </c>
      <c r="Z141" s="1009"/>
      <c r="AA141" s="1009"/>
      <c r="AB141" s="270"/>
      <c r="AC141" s="270"/>
      <c r="AD141" s="270"/>
      <c r="AE141" s="270"/>
      <c r="AF141" s="270"/>
      <c r="AG141" s="380"/>
      <c r="AH141" s="380"/>
      <c r="AI141" s="380"/>
    </row>
    <row r="142" spans="1:69" x14ac:dyDescent="0.2">
      <c r="G142" s="83"/>
      <c r="J142" s="86"/>
      <c r="T142" s="270"/>
      <c r="U142" s="278"/>
      <c r="W142" s="83"/>
      <c r="X142" s="83"/>
      <c r="Y142" s="83"/>
      <c r="Z142" s="1069"/>
      <c r="AA142" s="1069"/>
      <c r="AG142" s="380"/>
      <c r="AJ142" s="381"/>
      <c r="BQ142" s="83"/>
    </row>
    <row r="143" spans="1:69" x14ac:dyDescent="0.2">
      <c r="G143" s="83"/>
      <c r="J143" s="86"/>
      <c r="T143" s="270"/>
      <c r="U143" s="278"/>
      <c r="W143" s="83"/>
      <c r="X143" s="83"/>
      <c r="Y143" s="83"/>
      <c r="Z143" s="1069"/>
      <c r="AA143" s="1069"/>
      <c r="AG143" s="380"/>
      <c r="AJ143" s="381"/>
      <c r="BQ143" s="83"/>
    </row>
    <row r="144" spans="1:69" x14ac:dyDescent="0.2">
      <c r="G144" s="83"/>
      <c r="J144" s="86"/>
      <c r="P144" s="1069"/>
      <c r="Q144" s="1069"/>
      <c r="R144" s="1069"/>
      <c r="S144" s="1069"/>
      <c r="T144" s="1069"/>
      <c r="U144" s="1069"/>
      <c r="V144" s="1069"/>
      <c r="W144" s="1069"/>
      <c r="X144" s="83"/>
      <c r="Y144" s="83"/>
      <c r="Z144" s="1069"/>
      <c r="AA144" s="1069"/>
      <c r="AG144" s="380"/>
      <c r="AJ144" s="381"/>
      <c r="BQ144" s="83"/>
    </row>
    <row r="145" spans="7:69" x14ac:dyDescent="0.2">
      <c r="G145" s="83"/>
      <c r="J145" s="86"/>
      <c r="P145" s="1069"/>
      <c r="Q145" s="1069"/>
      <c r="R145" s="1069"/>
      <c r="S145" s="1069"/>
      <c r="T145" s="1069"/>
      <c r="U145" s="1069"/>
      <c r="V145" s="1069"/>
      <c r="W145" s="1069"/>
      <c r="X145" s="83"/>
      <c r="Y145" s="83"/>
      <c r="Z145" s="1069"/>
      <c r="AA145" s="1069"/>
      <c r="AG145" s="380"/>
      <c r="AJ145" s="381"/>
      <c r="BQ145" s="83"/>
    </row>
    <row r="146" spans="7:69" x14ac:dyDescent="0.2">
      <c r="G146" s="83"/>
      <c r="J146" s="86"/>
      <c r="P146" s="1069"/>
      <c r="Q146" s="1069"/>
      <c r="R146" s="1069"/>
      <c r="S146" s="1069"/>
      <c r="T146" s="1069"/>
      <c r="U146" s="1069"/>
      <c r="V146" s="1069"/>
      <c r="W146" s="1069"/>
      <c r="X146" s="83"/>
      <c r="Y146" s="83"/>
      <c r="Z146" s="1069"/>
      <c r="AA146" s="1069"/>
      <c r="AG146" s="380"/>
      <c r="AJ146" s="381"/>
      <c r="BQ146" s="83"/>
    </row>
    <row r="147" spans="7:69" x14ac:dyDescent="0.2">
      <c r="G147" s="83"/>
      <c r="J147" s="86"/>
      <c r="P147" s="1069"/>
      <c r="Q147" s="1069"/>
      <c r="R147" s="1069"/>
      <c r="S147" s="1069"/>
      <c r="T147" s="1069"/>
      <c r="U147" s="1069"/>
      <c r="V147" s="1069"/>
      <c r="W147" s="1069"/>
      <c r="X147" s="83"/>
      <c r="Y147" s="83"/>
      <c r="Z147" s="1069"/>
      <c r="AA147" s="1069"/>
      <c r="AG147" s="380"/>
      <c r="AJ147" s="381"/>
      <c r="BQ147" s="83"/>
    </row>
    <row r="148" spans="7:69" x14ac:dyDescent="0.2">
      <c r="G148" s="83"/>
      <c r="J148" s="86"/>
      <c r="P148" s="1069"/>
      <c r="Q148" s="1069"/>
      <c r="R148" s="1069"/>
      <c r="S148" s="1069"/>
      <c r="T148" s="1069"/>
      <c r="U148" s="1069"/>
      <c r="V148" s="1069"/>
      <c r="W148" s="1069"/>
      <c r="X148" s="83"/>
      <c r="Y148" s="83"/>
      <c r="Z148" s="1069"/>
      <c r="AA148" s="1069"/>
      <c r="AG148" s="380"/>
      <c r="AJ148" s="381"/>
      <c r="BQ148" s="83"/>
    </row>
    <row r="149" spans="7:69" x14ac:dyDescent="0.2">
      <c r="P149" s="1069"/>
      <c r="Q149" s="1069"/>
      <c r="R149" s="1069"/>
      <c r="S149" s="1069"/>
      <c r="T149" s="1069"/>
      <c r="U149" s="1069"/>
      <c r="V149" s="1069"/>
      <c r="W149" s="1069"/>
      <c r="X149" s="83"/>
      <c r="Y149" s="83"/>
      <c r="Z149" s="1069"/>
      <c r="AA149" s="1069"/>
      <c r="AB149" s="1069"/>
    </row>
    <row r="150" spans="7:69" x14ac:dyDescent="0.2">
      <c r="P150" s="1069"/>
      <c r="Q150" s="1069"/>
      <c r="R150" s="1069"/>
      <c r="S150" s="1069"/>
      <c r="T150" s="1069"/>
      <c r="U150" s="1069"/>
      <c r="V150" s="1069"/>
      <c r="W150" s="1069"/>
      <c r="X150" s="83"/>
      <c r="Y150" s="83"/>
      <c r="Z150" s="1069"/>
      <c r="AA150" s="1069"/>
      <c r="AB150" s="1069"/>
    </row>
    <row r="151" spans="7:69" x14ac:dyDescent="0.2">
      <c r="P151" s="1069"/>
      <c r="Q151" s="1069"/>
      <c r="R151" s="1069"/>
      <c r="S151" s="1069"/>
      <c r="T151" s="1069"/>
      <c r="U151" s="1069"/>
      <c r="V151" s="1069"/>
      <c r="W151" s="1069"/>
      <c r="X151" s="83"/>
      <c r="Y151" s="83"/>
      <c r="Z151" s="1069"/>
      <c r="AA151" s="1069"/>
      <c r="AB151" s="1069"/>
    </row>
    <row r="152" spans="7:69" x14ac:dyDescent="0.2">
      <c r="P152" s="1069"/>
      <c r="Q152" s="1069"/>
      <c r="R152" s="1069"/>
      <c r="S152" s="1069"/>
      <c r="T152" s="1069"/>
      <c r="U152" s="1069"/>
      <c r="V152" s="1069"/>
      <c r="W152" s="1069"/>
      <c r="X152" s="83"/>
      <c r="Y152" s="83"/>
      <c r="Z152" s="1069"/>
      <c r="AA152" s="1069"/>
      <c r="AB152" s="1069"/>
    </row>
    <row r="153" spans="7:69" x14ac:dyDescent="0.2">
      <c r="P153" s="1069"/>
      <c r="Q153" s="1069"/>
      <c r="R153" s="1069"/>
      <c r="S153" s="1069"/>
      <c r="T153" s="1069"/>
      <c r="U153" s="1069"/>
      <c r="V153" s="1069"/>
      <c r="W153" s="1069"/>
      <c r="X153" s="83"/>
      <c r="Y153" s="83"/>
      <c r="Z153" s="1069"/>
      <c r="AA153" s="1069"/>
      <c r="AB153" s="1069"/>
    </row>
    <row r="154" spans="7:69" x14ac:dyDescent="0.2">
      <c r="P154" s="1069"/>
      <c r="Q154" s="1069"/>
      <c r="R154" s="1069"/>
      <c r="S154" s="1069"/>
      <c r="T154" s="1069"/>
      <c r="U154" s="1069"/>
      <c r="V154" s="1069"/>
      <c r="W154" s="1069"/>
      <c r="X154" s="83"/>
      <c r="Y154" s="83"/>
      <c r="Z154" s="1069"/>
      <c r="AA154" s="1069"/>
      <c r="AB154" s="1069"/>
    </row>
    <row r="155" spans="7:69" x14ac:dyDescent="0.2">
      <c r="P155" s="1069"/>
      <c r="Q155" s="1069"/>
      <c r="R155" s="1069"/>
      <c r="S155" s="1069"/>
      <c r="T155" s="1069"/>
      <c r="U155" s="1069"/>
      <c r="V155" s="1069"/>
      <c r="W155" s="1069"/>
      <c r="X155" s="83"/>
      <c r="Y155" s="83"/>
      <c r="Z155" s="1069"/>
      <c r="AA155" s="1069"/>
      <c r="AB155" s="1069"/>
    </row>
    <row r="156" spans="7:69" x14ac:dyDescent="0.2">
      <c r="P156" s="1069"/>
      <c r="Q156" s="1069"/>
      <c r="R156" s="1069"/>
      <c r="S156" s="1069"/>
      <c r="T156" s="1069"/>
      <c r="U156" s="1069"/>
      <c r="V156" s="1069"/>
      <c r="W156" s="1069"/>
      <c r="X156" s="1069"/>
      <c r="Y156" s="1069"/>
      <c r="Z156" s="1069"/>
      <c r="AA156" s="1069"/>
      <c r="AB156" s="1069"/>
    </row>
    <row r="157" spans="7:69" x14ac:dyDescent="0.2">
      <c r="P157" s="1069"/>
      <c r="Q157" s="1069"/>
      <c r="R157" s="1069"/>
      <c r="S157" s="1069"/>
      <c r="T157" s="1069"/>
      <c r="U157" s="1069"/>
      <c r="V157" s="1069"/>
      <c r="W157" s="1069"/>
      <c r="X157" s="1069"/>
      <c r="Y157" s="1069"/>
      <c r="Z157" s="1069"/>
      <c r="AA157" s="1069"/>
      <c r="AB157" s="1069"/>
    </row>
    <row r="158" spans="7:69" x14ac:dyDescent="0.2">
      <c r="P158" s="1069"/>
      <c r="Q158" s="1069"/>
      <c r="R158" s="1069"/>
      <c r="S158" s="1069"/>
      <c r="T158" s="1069"/>
      <c r="U158" s="1069"/>
      <c r="V158" s="1069"/>
      <c r="W158" s="1069"/>
      <c r="X158" s="1069"/>
      <c r="Y158" s="1069"/>
      <c r="Z158" s="1069"/>
      <c r="AA158" s="1069"/>
      <c r="AB158" s="1069"/>
    </row>
    <row r="159" spans="7:69" x14ac:dyDescent="0.2">
      <c r="P159" s="1069"/>
      <c r="Q159" s="1069"/>
      <c r="R159" s="1069"/>
      <c r="S159" s="1069"/>
      <c r="T159" s="1069"/>
      <c r="U159" s="1069"/>
      <c r="V159" s="1069"/>
      <c r="W159" s="1069"/>
      <c r="X159" s="1069"/>
      <c r="Y159" s="1069"/>
      <c r="Z159" s="1069"/>
      <c r="AA159" s="1069"/>
      <c r="AB159" s="1069"/>
    </row>
    <row r="160" spans="7:69" x14ac:dyDescent="0.2">
      <c r="P160" s="1069"/>
      <c r="Q160" s="1069"/>
      <c r="R160" s="1069"/>
      <c r="S160" s="1069"/>
      <c r="T160" s="1069"/>
      <c r="U160" s="1069"/>
      <c r="V160" s="1069"/>
      <c r="W160" s="1069"/>
      <c r="X160" s="1069"/>
      <c r="Y160" s="1069"/>
      <c r="Z160" s="1069"/>
      <c r="AA160" s="1069"/>
      <c r="AB160" s="1069"/>
    </row>
    <row r="161" spans="16:28" x14ac:dyDescent="0.2">
      <c r="P161" s="1069"/>
      <c r="Q161" s="1069"/>
      <c r="R161" s="1069"/>
      <c r="S161" s="1069"/>
      <c r="T161" s="1069"/>
      <c r="U161" s="1069"/>
      <c r="V161" s="1069"/>
      <c r="W161" s="1069"/>
      <c r="X161" s="1069"/>
      <c r="Y161" s="1069"/>
      <c r="Z161" s="1069"/>
      <c r="AA161" s="1069"/>
      <c r="AB161" s="1069"/>
    </row>
    <row r="162" spans="16:28" x14ac:dyDescent="0.2">
      <c r="P162" s="1069"/>
      <c r="Q162" s="1069"/>
      <c r="R162" s="1069"/>
      <c r="S162" s="1069"/>
      <c r="T162" s="1069"/>
      <c r="U162" s="1069"/>
      <c r="V162" s="1069"/>
      <c r="W162" s="1069"/>
      <c r="X162" s="1069"/>
      <c r="Y162" s="1069"/>
      <c r="Z162" s="1069"/>
      <c r="AA162" s="1069"/>
      <c r="AB162" s="1069"/>
    </row>
    <row r="163" spans="16:28" x14ac:dyDescent="0.2">
      <c r="P163" s="1069"/>
      <c r="Q163" s="1069"/>
      <c r="R163" s="1069"/>
      <c r="S163" s="1069"/>
      <c r="T163" s="1069"/>
      <c r="U163" s="1069"/>
      <c r="V163" s="1069"/>
      <c r="W163" s="1069"/>
      <c r="X163" s="1069"/>
      <c r="Y163" s="1069"/>
      <c r="Z163" s="1069"/>
      <c r="AA163" s="1069"/>
      <c r="AB163" s="1069"/>
    </row>
    <row r="164" spans="16:28" x14ac:dyDescent="0.2">
      <c r="P164" s="1069"/>
      <c r="Q164" s="1069"/>
      <c r="R164" s="1069"/>
      <c r="S164" s="1069"/>
      <c r="T164" s="1069"/>
      <c r="U164" s="1069"/>
      <c r="V164" s="1069"/>
      <c r="W164" s="1069"/>
    </row>
    <row r="165" spans="16:28" x14ac:dyDescent="0.2">
      <c r="P165" s="1069"/>
      <c r="Q165" s="1069"/>
      <c r="R165" s="1069"/>
      <c r="S165" s="1069"/>
      <c r="T165" s="1069"/>
      <c r="U165" s="1069"/>
      <c r="V165" s="1069"/>
      <c r="W165" s="1069"/>
    </row>
    <row r="166" spans="16:28" x14ac:dyDescent="0.2">
      <c r="P166" s="1069"/>
      <c r="Q166" s="1069"/>
      <c r="R166" s="1069"/>
      <c r="S166" s="1069"/>
      <c r="T166" s="1069"/>
      <c r="U166" s="1069"/>
      <c r="V166" s="1069"/>
      <c r="W166" s="1069"/>
    </row>
    <row r="167" spans="16:28" ht="12.9" customHeight="1" x14ac:dyDescent="0.2">
      <c r="P167" s="1069"/>
      <c r="Q167" s="1069"/>
      <c r="R167" s="1069"/>
      <c r="S167" s="1069"/>
      <c r="T167" s="1069"/>
      <c r="U167" s="1069"/>
      <c r="V167" s="1069"/>
      <c r="W167" s="1069"/>
    </row>
  </sheetData>
  <sheetProtection algorithmName="SHA-512" hashValue="cnu47O5PGCgWJwMHlBM/j0lWjxvUMCG/EVqdeRYItr8j3qK4Hm6cWjXoqKPr7qwX2+4CxcgJh0LboXd+dFU4Vg==" saltValue="NdNrhvkjhKGDKOHLyjlUmg==" spinCount="100000" sheet="1" objects="1" scenarios="1" selectLockedCells="1"/>
  <mergeCells count="384">
    <mergeCell ref="C77:D77"/>
    <mergeCell ref="E77:F77"/>
    <mergeCell ref="G77:I77"/>
    <mergeCell ref="J77:K77"/>
    <mergeCell ref="L77:N77"/>
    <mergeCell ref="E106:F106"/>
    <mergeCell ref="G106:I106"/>
    <mergeCell ref="J106:K106"/>
    <mergeCell ref="L106:N106"/>
    <mergeCell ref="L79:N79"/>
    <mergeCell ref="L78:N78"/>
    <mergeCell ref="L85:N85"/>
    <mergeCell ref="L86:N86"/>
    <mergeCell ref="L88:N88"/>
    <mergeCell ref="L89:N89"/>
    <mergeCell ref="L90:N90"/>
    <mergeCell ref="L91:N91"/>
    <mergeCell ref="L92:N92"/>
    <mergeCell ref="L93:N93"/>
    <mergeCell ref="L103:N103"/>
    <mergeCell ref="L98:N98"/>
    <mergeCell ref="J86:K86"/>
    <mergeCell ref="J78:K78"/>
    <mergeCell ref="E87:F87"/>
    <mergeCell ref="J11:J12"/>
    <mergeCell ref="L24:M24"/>
    <mergeCell ref="L19:M19"/>
    <mergeCell ref="L20:M20"/>
    <mergeCell ref="L21:M21"/>
    <mergeCell ref="L25:M25"/>
    <mergeCell ref="L26:M26"/>
    <mergeCell ref="L22:M22"/>
    <mergeCell ref="L23:M23"/>
    <mergeCell ref="L13:M13"/>
    <mergeCell ref="B43:D43"/>
    <mergeCell ref="B11:D11"/>
    <mergeCell ref="A14:D14"/>
    <mergeCell ref="H14:I14"/>
    <mergeCell ref="H15:I15"/>
    <mergeCell ref="H16:I16"/>
    <mergeCell ref="G11:G12"/>
    <mergeCell ref="H17:I17"/>
    <mergeCell ref="H18:I18"/>
    <mergeCell ref="E11:F12"/>
    <mergeCell ref="E13:F13"/>
    <mergeCell ref="E14:F14"/>
    <mergeCell ref="E15:F15"/>
    <mergeCell ref="H36:I36"/>
    <mergeCell ref="H37:I37"/>
    <mergeCell ref="H38:I38"/>
    <mergeCell ref="H39:I39"/>
    <mergeCell ref="H19:I19"/>
    <mergeCell ref="H20:I20"/>
    <mergeCell ref="H21:I21"/>
    <mergeCell ref="H22:I22"/>
    <mergeCell ref="H23:I23"/>
    <mergeCell ref="H24:I24"/>
    <mergeCell ref="H25:I25"/>
    <mergeCell ref="J51:J52"/>
    <mergeCell ref="L28:M28"/>
    <mergeCell ref="L29:M29"/>
    <mergeCell ref="L30:M30"/>
    <mergeCell ref="E31:F31"/>
    <mergeCell ref="E32:F32"/>
    <mergeCell ref="E33:F33"/>
    <mergeCell ref="E36:F36"/>
    <mergeCell ref="E37:F37"/>
    <mergeCell ref="E38:F38"/>
    <mergeCell ref="E28:F28"/>
    <mergeCell ref="E29:F29"/>
    <mergeCell ref="E30:F30"/>
    <mergeCell ref="L35:M35"/>
    <mergeCell ref="L36:M36"/>
    <mergeCell ref="L37:M37"/>
    <mergeCell ref="L38:M38"/>
    <mergeCell ref="E62:F62"/>
    <mergeCell ref="E63:F63"/>
    <mergeCell ref="G61:I61"/>
    <mergeCell ref="G58:I59"/>
    <mergeCell ref="E53:F53"/>
    <mergeCell ref="E23:F23"/>
    <mergeCell ref="E34:F34"/>
    <mergeCell ref="E35:F35"/>
    <mergeCell ref="H29:I29"/>
    <mergeCell ref="H28:I28"/>
    <mergeCell ref="H30:I30"/>
    <mergeCell ref="H31:I31"/>
    <mergeCell ref="H32:I32"/>
    <mergeCell ref="H33:I33"/>
    <mergeCell ref="H34:I34"/>
    <mergeCell ref="H35:I35"/>
    <mergeCell ref="E27:F27"/>
    <mergeCell ref="E51:F52"/>
    <mergeCell ref="H26:I26"/>
    <mergeCell ref="H27:I27"/>
    <mergeCell ref="E25:F25"/>
    <mergeCell ref="G91:I91"/>
    <mergeCell ref="J95:K95"/>
    <mergeCell ref="G95:I95"/>
    <mergeCell ref="E98:F98"/>
    <mergeCell ref="C1:H1"/>
    <mergeCell ref="E90:F90"/>
    <mergeCell ref="E91:F91"/>
    <mergeCell ref="E72:F72"/>
    <mergeCell ref="E73:F73"/>
    <mergeCell ref="E70:F70"/>
    <mergeCell ref="E71:F71"/>
    <mergeCell ref="C76:D76"/>
    <mergeCell ref="C64:D64"/>
    <mergeCell ref="C65:D65"/>
    <mergeCell ref="E66:F66"/>
    <mergeCell ref="E76:F76"/>
    <mergeCell ref="G85:K85"/>
    <mergeCell ref="G86:I86"/>
    <mergeCell ref="G63:I63"/>
    <mergeCell ref="J58:K59"/>
    <mergeCell ref="E16:F16"/>
    <mergeCell ref="E17:F17"/>
    <mergeCell ref="E18:F18"/>
    <mergeCell ref="E61:F61"/>
    <mergeCell ref="X118:Z118"/>
    <mergeCell ref="D79:F79"/>
    <mergeCell ref="M83:N83"/>
    <mergeCell ref="M81:N81"/>
    <mergeCell ref="H79:I79"/>
    <mergeCell ref="J79:K79"/>
    <mergeCell ref="E100:F100"/>
    <mergeCell ref="P105:Q105"/>
    <mergeCell ref="E101:F101"/>
    <mergeCell ref="E102:F102"/>
    <mergeCell ref="G96:I96"/>
    <mergeCell ref="G99:I99"/>
    <mergeCell ref="G100:I100"/>
    <mergeCell ref="G101:I101"/>
    <mergeCell ref="E86:F86"/>
    <mergeCell ref="E88:F88"/>
    <mergeCell ref="E89:F89"/>
    <mergeCell ref="P93:Q93"/>
    <mergeCell ref="C109:D109"/>
    <mergeCell ref="E96:F96"/>
    <mergeCell ref="P94:Q94"/>
    <mergeCell ref="L104:N104"/>
    <mergeCell ref="E99:F99"/>
    <mergeCell ref="E95:F95"/>
    <mergeCell ref="L76:N76"/>
    <mergeCell ref="J75:K75"/>
    <mergeCell ref="J70:K70"/>
    <mergeCell ref="E67:F67"/>
    <mergeCell ref="J72:K72"/>
    <mergeCell ref="C66:D66"/>
    <mergeCell ref="J71:K71"/>
    <mergeCell ref="G74:I74"/>
    <mergeCell ref="G75:I75"/>
    <mergeCell ref="G76:I76"/>
    <mergeCell ref="G71:I71"/>
    <mergeCell ref="L67:N67"/>
    <mergeCell ref="L70:N70"/>
    <mergeCell ref="L71:N71"/>
    <mergeCell ref="J67:K67"/>
    <mergeCell ref="L72:N72"/>
    <mergeCell ref="L73:N73"/>
    <mergeCell ref="C73:D73"/>
    <mergeCell ref="L74:N74"/>
    <mergeCell ref="L75:N75"/>
    <mergeCell ref="L118:N118"/>
    <mergeCell ref="L108:N108"/>
    <mergeCell ref="L109:N109"/>
    <mergeCell ref="L110:N110"/>
    <mergeCell ref="L115:N115"/>
    <mergeCell ref="T131:U131"/>
    <mergeCell ref="T130:U130"/>
    <mergeCell ref="T125:U125"/>
    <mergeCell ref="L119:N119"/>
    <mergeCell ref="G114:N114"/>
    <mergeCell ref="J109:K109"/>
    <mergeCell ref="J119:K119"/>
    <mergeCell ref="J115:K115"/>
    <mergeCell ref="J116:K116"/>
    <mergeCell ref="J117:K117"/>
    <mergeCell ref="J118:K118"/>
    <mergeCell ref="L116:N116"/>
    <mergeCell ref="L117:N117"/>
    <mergeCell ref="L107:N107"/>
    <mergeCell ref="P107:Q107"/>
    <mergeCell ref="P86:Q86"/>
    <mergeCell ref="P88:Q88"/>
    <mergeCell ref="P89:Q89"/>
    <mergeCell ref="P90:Q90"/>
    <mergeCell ref="P91:Q91"/>
    <mergeCell ref="P92:Q92"/>
    <mergeCell ref="L95:N95"/>
    <mergeCell ref="L96:N96"/>
    <mergeCell ref="L99:N99"/>
    <mergeCell ref="L100:N100"/>
    <mergeCell ref="L101:N101"/>
    <mergeCell ref="L102:N102"/>
    <mergeCell ref="P87:Q87"/>
    <mergeCell ref="L87:N87"/>
    <mergeCell ref="P106:Q106"/>
    <mergeCell ref="L105:N105"/>
    <mergeCell ref="L94:N94"/>
    <mergeCell ref="T141:U141"/>
    <mergeCell ref="T129:U129"/>
    <mergeCell ref="T126:U126"/>
    <mergeCell ref="T135:U135"/>
    <mergeCell ref="T134:U134"/>
    <mergeCell ref="T136:U136"/>
    <mergeCell ref="P95:Q95"/>
    <mergeCell ref="P96:Q96"/>
    <mergeCell ref="P99:Q99"/>
    <mergeCell ref="P100:Q100"/>
    <mergeCell ref="P101:Q101"/>
    <mergeCell ref="P102:Q102"/>
    <mergeCell ref="P103:Q103"/>
    <mergeCell ref="P104:Q104"/>
    <mergeCell ref="T124:U124"/>
    <mergeCell ref="T132:U132"/>
    <mergeCell ref="T140:U140"/>
    <mergeCell ref="T139:U139"/>
    <mergeCell ref="P97:Q97"/>
    <mergeCell ref="P98:Q98"/>
    <mergeCell ref="G87:I87"/>
    <mergeCell ref="J87:K87"/>
    <mergeCell ref="E105:F105"/>
    <mergeCell ref="C78:D78"/>
    <mergeCell ref="E78:F78"/>
    <mergeCell ref="G98:I98"/>
    <mergeCell ref="J98:K98"/>
    <mergeCell ref="J102:K102"/>
    <mergeCell ref="G97:I97"/>
    <mergeCell ref="J97:K97"/>
    <mergeCell ref="J88:K88"/>
    <mergeCell ref="G78:I78"/>
    <mergeCell ref="E85:F85"/>
    <mergeCell ref="E103:F103"/>
    <mergeCell ref="E97:F97"/>
    <mergeCell ref="J93:K93"/>
    <mergeCell ref="J94:K94"/>
    <mergeCell ref="G92:I92"/>
    <mergeCell ref="G93:I93"/>
    <mergeCell ref="G94:I94"/>
    <mergeCell ref="G102:I102"/>
    <mergeCell ref="G88:I88"/>
    <mergeCell ref="G89:I89"/>
    <mergeCell ref="G90:I90"/>
    <mergeCell ref="C119:F119"/>
    <mergeCell ref="G108:I108"/>
    <mergeCell ref="G105:I105"/>
    <mergeCell ref="J91:K91"/>
    <mergeCell ref="J92:K92"/>
    <mergeCell ref="J89:K89"/>
    <mergeCell ref="J90:K90"/>
    <mergeCell ref="E104:F104"/>
    <mergeCell ref="J96:K96"/>
    <mergeCell ref="J99:K99"/>
    <mergeCell ref="G103:I103"/>
    <mergeCell ref="G104:I104"/>
    <mergeCell ref="J103:K103"/>
    <mergeCell ref="E107:F107"/>
    <mergeCell ref="G107:I107"/>
    <mergeCell ref="J107:K107"/>
    <mergeCell ref="G115:I115"/>
    <mergeCell ref="G116:I116"/>
    <mergeCell ref="G117:I117"/>
    <mergeCell ref="G118:I118"/>
    <mergeCell ref="G119:I119"/>
    <mergeCell ref="J104:K104"/>
    <mergeCell ref="G110:K110"/>
    <mergeCell ref="J105:K105"/>
    <mergeCell ref="E20:F20"/>
    <mergeCell ref="E26:F26"/>
    <mergeCell ref="E21:F21"/>
    <mergeCell ref="E24:F24"/>
    <mergeCell ref="L97:N97"/>
    <mergeCell ref="C56:D56"/>
    <mergeCell ref="E54:F54"/>
    <mergeCell ref="E92:F92"/>
    <mergeCell ref="F55:G55"/>
    <mergeCell ref="C55:E55"/>
    <mergeCell ref="E93:F93"/>
    <mergeCell ref="E94:F94"/>
    <mergeCell ref="E58:F59"/>
    <mergeCell ref="G64:I64"/>
    <mergeCell ref="G65:I65"/>
    <mergeCell ref="C74:D74"/>
    <mergeCell ref="C75:D75"/>
    <mergeCell ref="J64:K64"/>
    <mergeCell ref="J65:K65"/>
    <mergeCell ref="L69:N69"/>
    <mergeCell ref="C62:D62"/>
    <mergeCell ref="C63:D63"/>
    <mergeCell ref="C67:D67"/>
    <mergeCell ref="L66:N66"/>
    <mergeCell ref="P9:S9"/>
    <mergeCell ref="L15:M15"/>
    <mergeCell ref="L27:M27"/>
    <mergeCell ref="L31:M31"/>
    <mergeCell ref="C116:F116"/>
    <mergeCell ref="C117:F117"/>
    <mergeCell ref="C118:F118"/>
    <mergeCell ref="J66:K66"/>
    <mergeCell ref="J101:K101"/>
    <mergeCell ref="J61:K61"/>
    <mergeCell ref="J62:K62"/>
    <mergeCell ref="J63:K63"/>
    <mergeCell ref="L65:N65"/>
    <mergeCell ref="C68:D68"/>
    <mergeCell ref="E68:F68"/>
    <mergeCell ref="G68:I68"/>
    <mergeCell ref="J68:K68"/>
    <mergeCell ref="L68:N68"/>
    <mergeCell ref="C69:D69"/>
    <mergeCell ref="E69:F69"/>
    <mergeCell ref="G69:I69"/>
    <mergeCell ref="J69:K69"/>
    <mergeCell ref="E19:F19"/>
    <mergeCell ref="E22:F22"/>
    <mergeCell ref="Q11:S13"/>
    <mergeCell ref="P14:S14"/>
    <mergeCell ref="P26:P27"/>
    <mergeCell ref="Q26:S27"/>
    <mergeCell ref="L64:N64"/>
    <mergeCell ref="L61:N61"/>
    <mergeCell ref="L62:N62"/>
    <mergeCell ref="L63:N63"/>
    <mergeCell ref="L58:N59"/>
    <mergeCell ref="L16:M16"/>
    <mergeCell ref="L17:M17"/>
    <mergeCell ref="L18:M18"/>
    <mergeCell ref="L32:M32"/>
    <mergeCell ref="L33:M33"/>
    <mergeCell ref="L34:M34"/>
    <mergeCell ref="L39:M39"/>
    <mergeCell ref="K11:N12"/>
    <mergeCell ref="Q64:Q65"/>
    <mergeCell ref="P64:P65"/>
    <mergeCell ref="H11:I12"/>
    <mergeCell ref="H13:I13"/>
    <mergeCell ref="H51:I52"/>
    <mergeCell ref="H53:I53"/>
    <mergeCell ref="E60:F60"/>
    <mergeCell ref="G60:I60"/>
    <mergeCell ref="J60:K60"/>
    <mergeCell ref="L60:N60"/>
    <mergeCell ref="C61:D61"/>
    <mergeCell ref="G51:G52"/>
    <mergeCell ref="H54:I54"/>
    <mergeCell ref="K51:N52"/>
    <mergeCell ref="L53:M53"/>
    <mergeCell ref="L54:M54"/>
    <mergeCell ref="B44:D44"/>
    <mergeCell ref="B45:D45"/>
    <mergeCell ref="B46:D46"/>
    <mergeCell ref="E44:F44"/>
    <mergeCell ref="E45:F45"/>
    <mergeCell ref="E46:F46"/>
    <mergeCell ref="E47:F47"/>
    <mergeCell ref="E43:F43"/>
    <mergeCell ref="E39:F39"/>
    <mergeCell ref="L14:M14"/>
    <mergeCell ref="C114:F114"/>
    <mergeCell ref="C115:F115"/>
    <mergeCell ref="G44:N44"/>
    <mergeCell ref="G45:N45"/>
    <mergeCell ref="G46:N46"/>
    <mergeCell ref="G73:I73"/>
    <mergeCell ref="E75:F75"/>
    <mergeCell ref="J76:K76"/>
    <mergeCell ref="G62:I62"/>
    <mergeCell ref="E74:F74"/>
    <mergeCell ref="J108:K108"/>
    <mergeCell ref="C70:D70"/>
    <mergeCell ref="C71:D71"/>
    <mergeCell ref="C72:D72"/>
    <mergeCell ref="G66:I66"/>
    <mergeCell ref="G67:I67"/>
    <mergeCell ref="G70:I70"/>
    <mergeCell ref="E64:F64"/>
    <mergeCell ref="E65:F65"/>
    <mergeCell ref="G72:I72"/>
    <mergeCell ref="J100:K100"/>
    <mergeCell ref="J73:K73"/>
    <mergeCell ref="J74:K74"/>
    <mergeCell ref="E83:F83"/>
  </mergeCells>
  <conditionalFormatting sqref="C118">
    <cfRule type="cellIs" dxfId="842" priority="158" operator="lessThan">
      <formula>0</formula>
    </cfRule>
  </conditionalFormatting>
  <conditionalFormatting sqref="L116:N118">
    <cfRule type="expression" dxfId="841" priority="27">
      <formula>IF(ISBLANK($J116),FALSE,TRUE)</formula>
    </cfRule>
  </conditionalFormatting>
  <conditionalFormatting sqref="J116:K118">
    <cfRule type="expression" dxfId="840" priority="26">
      <formula>IF($C116&lt;&gt;0,TRUE,FALSE)</formula>
    </cfRule>
  </conditionalFormatting>
  <conditionalFormatting sqref="E83:F83">
    <cfRule type="expression" dxfId="839" priority="16">
      <formula>IF(ISBLANK($M$83),FALSE,TRUE)</formula>
    </cfRule>
  </conditionalFormatting>
  <conditionalFormatting sqref="A14:N14">
    <cfRule type="expression" dxfId="838" priority="167">
      <formula>$X$12</formula>
    </cfRule>
  </conditionalFormatting>
  <conditionalFormatting sqref="A18:N37 H15:J17 H38:N38 L15:N17">
    <cfRule type="expression" dxfId="837" priority="171">
      <formula>$X$11</formula>
    </cfRule>
  </conditionalFormatting>
  <conditionalFormatting sqref="K18:K38">
    <cfRule type="expression" dxfId="836" priority="8">
      <formula>L18&lt;&gt;0</formula>
    </cfRule>
  </conditionalFormatting>
  <conditionalFormatting sqref="A15:G17">
    <cfRule type="expression" dxfId="835" priority="5">
      <formula>$X$11</formula>
    </cfRule>
  </conditionalFormatting>
  <conditionalFormatting sqref="A38:G38">
    <cfRule type="expression" dxfId="834" priority="4">
      <formula>$X$11</formula>
    </cfRule>
  </conditionalFormatting>
  <conditionalFormatting sqref="K15:K17">
    <cfRule type="expression" dxfId="833" priority="3">
      <formula>$X$11</formula>
    </cfRule>
  </conditionalFormatting>
  <conditionalFormatting sqref="K15">
    <cfRule type="expression" dxfId="832" priority="2">
      <formula>L15&lt;&gt;0</formula>
    </cfRule>
  </conditionalFormatting>
  <conditionalFormatting sqref="K16:K17">
    <cfRule type="expression" dxfId="831" priority="1">
      <formula>L16&lt;&gt;0</formula>
    </cfRule>
  </conditionalFormatting>
  <dataValidations disablePrompts="1" count="5">
    <dataValidation type="list" allowBlank="1" showInputMessage="1" showErrorMessage="1" sqref="B11">
      <formula1>$U$11:$U$12</formula1>
    </dataValidation>
    <dataValidation allowBlank="1" showInputMessage="1" showErrorMessage="1" errorTitle="Fehlerhafte Eingabe" error="Auswahl der Berücksichtigung Förderbeiträge aus Drop-Down selektieren." sqref="D88"/>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formula1>IF(COUNTIF($J$116:$J$118,"")-1&gt;=COUNTIF($C$116:$C$118,0),TRUE,FALSE)</formula1>
    </dataValidation>
    <dataValidation type="custom" allowBlank="1" showInputMessage="1" showErrorMessage="1" errorTitle="Eingabe ausserhalb Bereich" error="Bitte wählen Sie eine Betrachtungsdauer zwischen 1 und 50 Jahren." sqref="M83:N83">
      <formula1>IF(AND(M83&gt;0,M83&lt;=50),TRUE,FALSE)</formula1>
    </dataValidation>
    <dataValidation type="decimal" allowBlank="1" showInputMessage="1" showErrorMessage="1" error="Wert muss zwischen 0 und 100 liegen" sqref="C66 C68 C62 C64">
      <formula1>0</formula1>
      <formula2>1</formula2>
    </dataValidation>
  </dataValidations>
  <hyperlinks>
    <hyperlink ref="G2" location="Neu_in_Version" display="i"/>
  </hyperlinks>
  <pageMargins left="0.70866141732283472" right="0.70866141732283472" top="0.39370078740157483" bottom="0.98425196850393704" header="0.39370078740157483" footer="0.39370078740157483"/>
  <pageSetup paperSize="9" scale="81" firstPageNumber="3" fitToHeight="0" orientation="portrait" r:id="rId1"/>
  <headerFooter scaleWithDoc="0">
    <oddFooter>&amp;L&amp;8Das Amt für Hochbauten ist eine Dienstabteilung des
Hochbaudepartements der Stadt Zürich&amp;CSeite &amp;P/&amp;N&amp;6
                                                          &amp;D/&amp;F&amp;R&amp;G</oddFooter>
  </headerFooter>
  <rowBreaks count="1" manualBreakCount="1">
    <brk id="80" max="12" man="1"/>
  </rowBreaks>
  <cellWatches>
    <cellWatch r="E39"/>
  </cellWatches>
  <drawing r:id="rId2"/>
  <legacyDrawing r:id="rId3"/>
  <legacyDrawingHF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19</vt:i4>
      </vt:variant>
      <vt:variant>
        <vt:lpstr>Benannte Bereiche</vt:lpstr>
      </vt:variant>
      <vt:variant>
        <vt:i4>83</vt:i4>
      </vt:variant>
    </vt:vector>
  </HeadingPairs>
  <TitlesOfParts>
    <vt:vector size="102" baseType="lpstr">
      <vt:lpstr>Versionsinfo</vt:lpstr>
      <vt:lpstr>INFO</vt:lpstr>
      <vt:lpstr>Projektdaten</vt:lpstr>
      <vt:lpstr>Grunddaten</vt:lpstr>
      <vt:lpstr>EV_Var1</vt:lpstr>
      <vt:lpstr>EV_Var2</vt:lpstr>
      <vt:lpstr>EV_Var3</vt:lpstr>
      <vt:lpstr>EV_Var4</vt:lpstr>
      <vt:lpstr>WR_Var1</vt:lpstr>
      <vt:lpstr>DK_Var1</vt:lpstr>
      <vt:lpstr>WR_Var2</vt:lpstr>
      <vt:lpstr>DK_Var2</vt:lpstr>
      <vt:lpstr>WR_Var3</vt:lpstr>
      <vt:lpstr>DK_Var3</vt:lpstr>
      <vt:lpstr>WR_Var4</vt:lpstr>
      <vt:lpstr>DK_Var4</vt:lpstr>
      <vt:lpstr>WR_Übersicht</vt:lpstr>
      <vt:lpstr>Ergebnisse</vt:lpstr>
      <vt:lpstr>Berechnungen</vt:lpstr>
      <vt:lpstr>Brennstoffe</vt:lpstr>
      <vt:lpstr>Berechnungen!Druckbereich</vt:lpstr>
      <vt:lpstr>DK_Var1!Druckbereich</vt:lpstr>
      <vt:lpstr>DK_Var2!Druckbereich</vt:lpstr>
      <vt:lpstr>DK_Var3!Druckbereich</vt:lpstr>
      <vt:lpstr>DK_Var4!Druckbereich</vt:lpstr>
      <vt:lpstr>Ergebnisse!Druckbereich</vt:lpstr>
      <vt:lpstr>EV_Var1!Druckbereich</vt:lpstr>
      <vt:lpstr>EV_Var2!Druckbereich</vt:lpstr>
      <vt:lpstr>EV_Var3!Druckbereich</vt:lpstr>
      <vt:lpstr>EV_Var4!Druckbereich</vt:lpstr>
      <vt:lpstr>Grunddaten!Druckbereich</vt:lpstr>
      <vt:lpstr>INFO!Druckbereich</vt:lpstr>
      <vt:lpstr>Projektdaten!Druckbereich</vt:lpstr>
      <vt:lpstr>WR_Übersicht!Druckbereich</vt:lpstr>
      <vt:lpstr>WR_Var1!Druckbereich</vt:lpstr>
      <vt:lpstr>WR_Var2!Druckbereich</vt:lpstr>
      <vt:lpstr>WR_Var3!Druckbereich</vt:lpstr>
      <vt:lpstr>WR_Var4!Druckbereich</vt:lpstr>
      <vt:lpstr>Berechnungen!Drucktitel</vt:lpstr>
      <vt:lpstr>DK_Var1!Drucktitel</vt:lpstr>
      <vt:lpstr>DK_Var2!Drucktitel</vt:lpstr>
      <vt:lpstr>DK_Var3!Drucktitel</vt:lpstr>
      <vt:lpstr>DK_Var4!Drucktitel</vt:lpstr>
      <vt:lpstr>Ergebnisse!Drucktitel</vt:lpstr>
      <vt:lpstr>EV_Var1!Drucktitel</vt:lpstr>
      <vt:lpstr>EV_Var2!Drucktitel</vt:lpstr>
      <vt:lpstr>EV_Var3!Drucktitel</vt:lpstr>
      <vt:lpstr>EV_Var4!Drucktitel</vt:lpstr>
      <vt:lpstr>Grunddaten!Drucktitel</vt:lpstr>
      <vt:lpstr>INFO!Drucktitel</vt:lpstr>
      <vt:lpstr>WR_Var1!Drucktitel</vt:lpstr>
      <vt:lpstr>WR_Var2!Drucktitel</vt:lpstr>
      <vt:lpstr>WR_Var3!Drucktitel</vt:lpstr>
      <vt:lpstr>WR_Var4!Drucktitel</vt:lpstr>
      <vt:lpstr>Eigener_Brennstoff</vt:lpstr>
      <vt:lpstr>El_Produkt</vt:lpstr>
      <vt:lpstr>FW_Produkt</vt:lpstr>
      <vt:lpstr>Gasbrennstoffe</vt:lpstr>
      <vt:lpstr>Neu_in_Version</vt:lpstr>
      <vt:lpstr>Nutzungskategorien</vt:lpstr>
      <vt:lpstr>DK_Var1!testrange</vt:lpstr>
      <vt:lpstr>Vorgaben_Jahresarbeitszahl_Kältemaschine</vt:lpstr>
      <vt:lpstr>DK_Var1!WR_Var1_PBreak1</vt:lpstr>
      <vt:lpstr>DK_Var1!WR_Var1_PBreak2</vt:lpstr>
      <vt:lpstr>DK_Var1!WR_Var1_PBreak3</vt:lpstr>
      <vt:lpstr>DK_Var1!WR_Var1_PBreak4</vt:lpstr>
      <vt:lpstr>DK_Var1!WR_Var1_PBreak5</vt:lpstr>
      <vt:lpstr>WR_Var1_PBreakS1</vt:lpstr>
      <vt:lpstr>DK_Var1!WR_Var1_PrintArea_Invest</vt:lpstr>
      <vt:lpstr>WR_Var1_PrintArea_Invest</vt:lpstr>
      <vt:lpstr>DK_Var1!WR_Var1_PrintArea_Summary</vt:lpstr>
      <vt:lpstr>WR_Var1_PrintArea_Summary</vt:lpstr>
      <vt:lpstr>DK_Var2!WR_Var2_PBreak1</vt:lpstr>
      <vt:lpstr>DK_Var2!WR_Var2_PBreak2</vt:lpstr>
      <vt:lpstr>DK_Var2!WR_Var2_PBreak3</vt:lpstr>
      <vt:lpstr>DK_Var2!WR_Var2_PBreak4</vt:lpstr>
      <vt:lpstr>DK_Var2!WR_Var2_PBreak5</vt:lpstr>
      <vt:lpstr>WR_Var2_PBreakS1</vt:lpstr>
      <vt:lpstr>DK_Var2!WR_Var2_Printarea_Invest</vt:lpstr>
      <vt:lpstr>WR_Var2_Printarea_Invest</vt:lpstr>
      <vt:lpstr>DK_Var2!WR_Var2_Printarea_Summary</vt:lpstr>
      <vt:lpstr>WR_Var2_Printarea_Summary</vt:lpstr>
      <vt:lpstr>DK_Var3!WR_Var3_PBreak1</vt:lpstr>
      <vt:lpstr>DK_Var3!WR_Var3_PBreak2</vt:lpstr>
      <vt:lpstr>DK_Var3!WR_Var3_PBreak3</vt:lpstr>
      <vt:lpstr>DK_Var3!WR_Var3_PBreak4</vt:lpstr>
      <vt:lpstr>DK_Var3!WR_Var3_PBreak5</vt:lpstr>
      <vt:lpstr>WR_Var3_PBreakS1</vt:lpstr>
      <vt:lpstr>DK_Var3!WR_Var3_Printarea_Invest</vt:lpstr>
      <vt:lpstr>WR_Var3_Printarea_Invest</vt:lpstr>
      <vt:lpstr>DK_Var3!WR_Var3_Printarea_Summary</vt:lpstr>
      <vt:lpstr>WR_Var3_Printarea_Summary</vt:lpstr>
      <vt:lpstr>DK_Var4!WR_Var4_PBreak1</vt:lpstr>
      <vt:lpstr>DK_Var4!WR_Var4_PBreak2</vt:lpstr>
      <vt:lpstr>DK_Var4!WR_Var4_PBreak3</vt:lpstr>
      <vt:lpstr>DK_Var4!WR_Var4_PBreak4</vt:lpstr>
      <vt:lpstr>DK_Var4!WR_Var4_PBreak5</vt:lpstr>
      <vt:lpstr>WR_Var4_PBreakS1</vt:lpstr>
      <vt:lpstr>DK_Var4!WR_Var4_Printarea_Invest</vt:lpstr>
      <vt:lpstr>WR_Var4_Printarea_Invest</vt:lpstr>
      <vt:lpstr>DK_Var4!WR_Var4_Printarea_Summary</vt:lpstr>
      <vt:lpstr>WR_Var4_Printarea_Summary</vt:lpstr>
    </vt:vector>
  </TitlesOfParts>
  <Company>Stadt Zürich Amt für Hochbauten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Variantenvergleich Energiesysteme</dc:title>
  <dc:creator>Thomas Kessler</dc:creator>
  <cp:lastModifiedBy>Kerstin Leuenberger (ahblke)</cp:lastModifiedBy>
  <cp:lastPrinted>2016-01-22T15:01:40Z</cp:lastPrinted>
  <dcterms:created xsi:type="dcterms:W3CDTF">2005-01-25T09:58:35Z</dcterms:created>
  <dcterms:modified xsi:type="dcterms:W3CDTF">2016-03-30T07:28:51Z</dcterms:modified>
  <cp:version>1.0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mplate">
    <vt:lpwstr>Eliane Bucher</vt:lpwstr>
  </property>
  <property fmtid="{D5CDD505-2E9C-101B-9397-08002B2CF9AE}" pid="3" name="Version">
    <vt:lpwstr>Dezember 2009</vt:lpwstr>
  </property>
</Properties>
</file>